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12" l="1"/>
  <c r="F10" i="12"/>
  <c r="N9" i="1"/>
  <c r="F22" i="6"/>
  <c r="N14" i="1" l="1"/>
  <c r="N8" i="1"/>
  <c r="N7" i="1"/>
  <c r="L14" i="1"/>
  <c r="L8" i="1"/>
  <c r="L7" i="1"/>
  <c r="G21" i="6" l="1"/>
  <c r="F19" i="6"/>
  <c r="B7" i="4" l="1"/>
  <c r="I13" i="39"/>
  <c r="G13" i="39"/>
  <c r="E13" i="39"/>
  <c r="E120" i="39"/>
  <c r="F120" i="39" s="1"/>
  <c r="G120" i="39" s="1"/>
  <c r="H120" i="39" s="1"/>
  <c r="I120" i="39" s="1"/>
  <c r="J120" i="39" s="1"/>
  <c r="K120" i="39" s="1"/>
  <c r="D120" i="39"/>
  <c r="E73" i="39"/>
  <c r="F73" i="39" s="1"/>
  <c r="G73" i="39" s="1"/>
  <c r="H73" i="39" s="1"/>
  <c r="I73" i="39" s="1"/>
  <c r="J73" i="39" s="1"/>
  <c r="K73" i="39" s="1"/>
  <c r="L73" i="39" s="1"/>
  <c r="M73" i="39" s="1"/>
  <c r="N73" i="39" s="1"/>
  <c r="D73" i="39"/>
  <c r="I48" i="39"/>
  <c r="G48" i="39"/>
  <c r="E48" i="39"/>
  <c r="I40" i="39"/>
  <c r="G40" i="39"/>
  <c r="E40" i="39"/>
  <c r="I9" i="39"/>
  <c r="G9" i="39"/>
  <c r="E9" i="39"/>
  <c r="I7" i="39"/>
  <c r="G7" i="39"/>
  <c r="E7" i="39"/>
  <c r="AL3" i="68"/>
  <c r="AL2" i="68"/>
  <c r="AL1" i="68"/>
  <c r="AL54" i="68"/>
  <c r="AL53" i="68"/>
  <c r="AL52" i="68"/>
  <c r="AL51" i="68"/>
  <c r="AL50" i="68"/>
  <c r="AL49" i="68"/>
  <c r="AL48" i="68"/>
  <c r="AL47" i="68"/>
  <c r="AL46" i="68"/>
  <c r="AL45" i="68"/>
  <c r="AL44" i="68"/>
  <c r="AL43" i="68"/>
  <c r="AL42" i="68"/>
  <c r="AL41" i="68"/>
  <c r="AL40" i="68"/>
  <c r="AL39" i="68"/>
  <c r="AL38" i="68"/>
  <c r="AL37" i="68"/>
  <c r="AL36" i="68"/>
  <c r="AL35" i="68"/>
  <c r="AL34" i="68"/>
  <c r="AL33" i="68"/>
  <c r="AL32" i="68"/>
  <c r="AL31" i="68"/>
  <c r="AL30" i="68"/>
  <c r="AL29" i="68"/>
  <c r="AL28" i="68"/>
  <c r="AL27" i="68"/>
  <c r="AL26" i="68"/>
  <c r="AL25" i="68"/>
  <c r="AL24" i="68"/>
  <c r="AL23" i="68"/>
  <c r="AL22" i="68"/>
  <c r="AL21" i="68"/>
  <c r="AL20" i="68"/>
  <c r="AL19" i="68"/>
  <c r="AL18" i="68"/>
  <c r="AL17" i="68"/>
  <c r="AL16" i="68"/>
  <c r="AL15" i="68"/>
  <c r="AL14" i="68"/>
  <c r="AL13" i="68"/>
  <c r="AL12" i="68"/>
  <c r="AL11" i="68"/>
  <c r="AL10" i="68"/>
  <c r="AL9" i="68"/>
  <c r="AL8" i="68"/>
  <c r="AL7" i="68"/>
  <c r="AL6" i="68"/>
  <c r="AL5" i="68"/>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B67" i="63" s="1"/>
  <c r="A15" i="55"/>
  <c r="A14" i="55"/>
  <c r="A10" i="55"/>
  <c r="B61" i="63" s="1"/>
  <c r="A9" i="55"/>
  <c r="A8" i="55"/>
  <c r="B59" i="63" s="1"/>
  <c r="A6" i="54"/>
  <c r="A8" i="54"/>
  <c r="B53" i="63" s="1"/>
  <c r="A7" i="54"/>
  <c r="A27" i="51"/>
  <c r="B20" i="63" s="1"/>
  <c r="D5" i="46"/>
  <c r="Q9" i="59"/>
  <c r="O9" i="59"/>
  <c r="N10" i="59"/>
  <c r="O10" i="59"/>
  <c r="P10" i="59"/>
  <c r="Q10" i="59"/>
  <c r="N9" i="59"/>
  <c r="P9" i="59"/>
  <c r="K75" i="9"/>
  <c r="K6" i="4"/>
  <c r="L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s="1"/>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B41" i="63"/>
  <c r="G5" i="54"/>
  <c r="B34" i="63" s="1"/>
  <c r="E5" i="54"/>
  <c r="B32" i="63" s="1"/>
  <c r="R2" i="54"/>
  <c r="B24" i="63" s="1"/>
  <c r="B49" i="50"/>
  <c r="B5" i="63"/>
  <c r="B40" i="50"/>
  <c r="B3" i="63"/>
  <c r="N4" i="63"/>
  <c r="B21" i="63"/>
  <c r="I19" i="46"/>
  <c r="Q11" i="59"/>
  <c r="F11" i="59" s="1"/>
  <c r="V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c r="P22" i="59"/>
  <c r="O22" i="59"/>
  <c r="Y22" i="59" s="1"/>
  <c r="Z22" i="59" s="1"/>
  <c r="N22" i="59"/>
  <c r="X22" i="59"/>
  <c r="Q21" i="59"/>
  <c r="AB21" i="59" s="1"/>
  <c r="P21" i="59"/>
  <c r="AA21" i="59" s="1"/>
  <c r="O21" i="59"/>
  <c r="N21" i="59"/>
  <c r="X21" i="59" s="1"/>
  <c r="Q20" i="59"/>
  <c r="AB20" i="59" s="1"/>
  <c r="F21" i="59"/>
  <c r="P20" i="59"/>
  <c r="E21" i="59"/>
  <c r="E22" i="59" s="1"/>
  <c r="E23" i="59" s="1"/>
  <c r="U23" i="59" s="1"/>
  <c r="O20" i="59"/>
  <c r="Y20" i="59" s="1"/>
  <c r="Z20" i="59" s="1"/>
  <c r="N20" i="59"/>
  <c r="X20" i="59" s="1"/>
  <c r="D20" i="59"/>
  <c r="Q19" i="59"/>
  <c r="AB19" i="59" s="1"/>
  <c r="P19" i="59"/>
  <c r="O19" i="59"/>
  <c r="Y19" i="59" s="1"/>
  <c r="Z19" i="59" s="1"/>
  <c r="N19" i="59"/>
  <c r="Q18" i="59"/>
  <c r="AB18" i="59" s="1"/>
  <c r="P18" i="59"/>
  <c r="O18" i="59"/>
  <c r="Y18" i="59" s="1"/>
  <c r="Z18" i="59" s="1"/>
  <c r="N18" i="59"/>
  <c r="Q17" i="59"/>
  <c r="AB17" i="59" s="1"/>
  <c r="P17" i="59"/>
  <c r="AA17" i="59" s="1"/>
  <c r="O17" i="59"/>
  <c r="Y17" i="59" s="1"/>
  <c r="Z17" i="59" s="1"/>
  <c r="N17" i="59"/>
  <c r="Q16" i="59"/>
  <c r="AB16" i="59" s="1"/>
  <c r="P16" i="59"/>
  <c r="AA16" i="59" s="1"/>
  <c r="O16" i="59"/>
  <c r="C17" i="59"/>
  <c r="N16" i="59"/>
  <c r="B17" i="59"/>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F13" i="59"/>
  <c r="P12" i="59"/>
  <c r="O12" i="59"/>
  <c r="Y12" i="59" s="1"/>
  <c r="Z12" i="59" s="1"/>
  <c r="N12" i="59"/>
  <c r="X12" i="59" s="1"/>
  <c r="D12" i="59"/>
  <c r="X8" i="59"/>
  <c r="X10" i="59"/>
  <c r="AA3" i="59"/>
  <c r="AA9" i="59"/>
  <c r="AA11" i="59"/>
  <c r="AB11" i="59"/>
  <c r="AB3" i="59"/>
  <c r="AB8" i="59"/>
  <c r="AB9" i="59"/>
  <c r="AB10" i="59"/>
  <c r="E13" i="59"/>
  <c r="E14" i="59"/>
  <c r="E15" i="59" s="1"/>
  <c r="U15" i="59" s="1"/>
  <c r="S51" i="59"/>
  <c r="AA22" i="59"/>
  <c r="F14" i="59"/>
  <c r="F15" i="59" s="1"/>
  <c r="V15" i="59" s="1"/>
  <c r="F22" i="59"/>
  <c r="F23" i="59" s="1"/>
  <c r="V23" i="59" s="1"/>
  <c r="F30" i="59"/>
  <c r="F31" i="59" s="1"/>
  <c r="V31" i="59" s="1"/>
  <c r="F38" i="59"/>
  <c r="F39" i="59"/>
  <c r="V39" i="59" s="1"/>
  <c r="F42" i="59"/>
  <c r="F43" i="59" s="1"/>
  <c r="V43" i="59" s="1"/>
  <c r="F46" i="59"/>
  <c r="F47" i="59"/>
  <c r="V47" i="59" s="1"/>
  <c r="C26" i="59"/>
  <c r="D26" i="59" s="1"/>
  <c r="D25" i="59"/>
  <c r="C38" i="59"/>
  <c r="D37" i="59"/>
  <c r="C42" i="59"/>
  <c r="D41" i="59"/>
  <c r="C46" i="59"/>
  <c r="D45" i="59"/>
  <c r="C18" i="59"/>
  <c r="D17" i="59"/>
  <c r="E49" i="59"/>
  <c r="N50" i="59"/>
  <c r="B49" i="59"/>
  <c r="Q50" i="59"/>
  <c r="T51" i="59"/>
  <c r="O51" i="59"/>
  <c r="D51" i="59"/>
  <c r="C50" i="59"/>
  <c r="C49" i="59" s="1"/>
  <c r="P51" i="59"/>
  <c r="U51" i="59"/>
  <c r="Q51" i="59"/>
  <c r="C54" i="59"/>
  <c r="C53" i="59" s="1"/>
  <c r="D53" i="59" s="1"/>
  <c r="E54" i="59"/>
  <c r="E53" i="59"/>
  <c r="D55" i="59"/>
  <c r="C58" i="59"/>
  <c r="D58" i="59" s="1"/>
  <c r="E58" i="59"/>
  <c r="E57" i="59"/>
  <c r="D59" i="59"/>
  <c r="C62" i="59"/>
  <c r="D62" i="59" s="1"/>
  <c r="E62" i="59"/>
  <c r="E61" i="59"/>
  <c r="D63" i="59"/>
  <c r="C66" i="59"/>
  <c r="C65" i="59" s="1"/>
  <c r="D65" i="59" s="1"/>
  <c r="C70" i="59"/>
  <c r="U16" i="4"/>
  <c r="S16" i="4"/>
  <c r="Q16" i="4"/>
  <c r="O16" i="4"/>
  <c r="M16" i="4"/>
  <c r="K16" i="4"/>
  <c r="P48" i="59"/>
  <c r="P49" i="59"/>
  <c r="D70" i="59"/>
  <c r="C69" i="59"/>
  <c r="D69" i="59"/>
  <c r="C61" i="59"/>
  <c r="D61" i="59" s="1"/>
  <c r="D54" i="59"/>
  <c r="O50" i="59"/>
  <c r="D66" i="59"/>
  <c r="C57" i="59"/>
  <c r="D57" i="59" s="1"/>
  <c r="N48" i="59"/>
  <c r="N49" i="59"/>
  <c r="C19" i="59"/>
  <c r="D19" i="59" s="1"/>
  <c r="D18" i="59"/>
  <c r="C47" i="59"/>
  <c r="D47" i="59" s="1"/>
  <c r="D46" i="59"/>
  <c r="D42" i="59"/>
  <c r="C43" i="59"/>
  <c r="C39" i="59"/>
  <c r="D39" i="59" s="1"/>
  <c r="D38" i="59"/>
  <c r="C27" i="59"/>
  <c r="D27" i="59" s="1"/>
  <c r="T43" i="59"/>
  <c r="D43" i="59"/>
  <c r="T27" i="59"/>
  <c r="T39" i="59"/>
  <c r="T47" i="59"/>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s="1"/>
  <c r="L19" i="6" s="1"/>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26" i="35" s="1"/>
  <c r="AC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B110" i="37"/>
  <c r="J39" i="37"/>
  <c r="B108" i="37"/>
  <c r="J38" i="37" s="1"/>
  <c r="AC38" i="37" s="1"/>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W16" i="36" s="1"/>
  <c r="D62" i="36"/>
  <c r="E62" i="36"/>
  <c r="F62" i="36" s="1"/>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B126" i="33"/>
  <c r="H44" i="33" s="1"/>
  <c r="U44" i="33" s="1"/>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s="1"/>
  <c r="C16" i="20"/>
  <c r="B47" i="46"/>
  <c r="C15" i="20"/>
  <c r="B69" i="46" s="1"/>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C6" i="12" s="1"/>
  <c r="C24" i="12" s="1"/>
  <c r="BB12" i="3"/>
  <c r="F9" i="12"/>
  <c r="D9" i="12"/>
  <c r="E9" i="12"/>
  <c r="G9" i="12"/>
  <c r="K5" i="3"/>
  <c r="F20" i="6" s="1"/>
  <c r="E20" i="6" s="1"/>
  <c r="K7" i="1" s="1"/>
  <c r="M7" i="1" s="1"/>
  <c r="O7" i="1" s="1"/>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H10" i="21"/>
  <c r="U10" i="21" s="1"/>
  <c r="H39" i="21"/>
  <c r="AB39" i="21" s="1"/>
  <c r="J34" i="21"/>
  <c r="W34" i="21" s="1"/>
  <c r="H36" i="21"/>
  <c r="U36" i="21" s="1"/>
  <c r="F35" i="21"/>
  <c r="AA35" i="21" s="1"/>
  <c r="J33" i="21"/>
  <c r="W33" i="21" s="1"/>
  <c r="H33" i="21"/>
  <c r="U33" i="21" s="1"/>
  <c r="F33" i="21"/>
  <c r="J10" i="21"/>
  <c r="AC10" i="21"/>
  <c r="H26" i="21"/>
  <c r="F19" i="21"/>
  <c r="H19" i="21"/>
  <c r="AB19" i="21" s="1"/>
  <c r="J19" i="21"/>
  <c r="W19" i="21" s="1"/>
  <c r="J12" i="21"/>
  <c r="AC12" i="21" s="1"/>
  <c r="J26" i="21"/>
  <c r="W26" i="21"/>
  <c r="F26" i="21"/>
  <c r="AA26" i="21"/>
  <c r="AB41" i="21"/>
  <c r="S41" i="21"/>
  <c r="AA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W38"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G100" i="40" s="1"/>
  <c r="H100" i="40" s="1"/>
  <c r="AA12" i="33"/>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24" i="36"/>
  <c r="AA24" i="36" s="1"/>
  <c r="F34" i="36"/>
  <c r="S34" i="36" s="1"/>
  <c r="S10" i="36"/>
  <c r="H16" i="35"/>
  <c r="U16" i="35" s="1"/>
  <c r="H33" i="35"/>
  <c r="AB33" i="35" s="1"/>
  <c r="F35" i="37"/>
  <c r="S35" i="37" s="1"/>
  <c r="J34" i="37"/>
  <c r="W34" i="37" s="1"/>
  <c r="AA39" i="37"/>
  <c r="H43" i="34"/>
  <c r="U42" i="34"/>
  <c r="E114" i="34"/>
  <c r="H36" i="34"/>
  <c r="U36" i="34" s="1"/>
  <c r="F37" i="34"/>
  <c r="AA37" i="34" s="1"/>
  <c r="F33" i="34"/>
  <c r="S33" i="34" s="1"/>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G86" i="40"/>
  <c r="AB30" i="36"/>
  <c r="AC34" i="36"/>
  <c r="H29" i="35"/>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c r="F45" i="33"/>
  <c r="S45" i="33"/>
  <c r="S11" i="35"/>
  <c r="H28" i="36"/>
  <c r="U28" i="36"/>
  <c r="J11" i="36"/>
  <c r="W11" i="36" s="1"/>
  <c r="H13" i="36"/>
  <c r="AB13" i="36" s="1"/>
  <c r="J13" i="36"/>
  <c r="W13" i="36" s="1"/>
  <c r="F13" i="36"/>
  <c r="S13" i="36" s="1"/>
  <c r="E89" i="37"/>
  <c r="F89" i="37" s="1"/>
  <c r="G89" i="37" s="1"/>
  <c r="H89" i="37" s="1"/>
  <c r="I89" i="37" s="1"/>
  <c r="J89" i="37" s="1"/>
  <c r="K89" i="37" s="1"/>
  <c r="L89" i="37" s="1"/>
  <c r="M89" i="37" s="1"/>
  <c r="J29" i="37"/>
  <c r="W29" i="37"/>
  <c r="F29" i="37"/>
  <c r="AA29" i="37"/>
  <c r="J37" i="37"/>
  <c r="AC37" i="37" s="1"/>
  <c r="H37" i="37"/>
  <c r="U37" i="37" s="1"/>
  <c r="H40" i="37"/>
  <c r="J40" i="37"/>
  <c r="F40" i="37"/>
  <c r="AA40" i="37"/>
  <c r="J44" i="33"/>
  <c r="J46" i="33"/>
  <c r="F46" i="33"/>
  <c r="AA46" i="33" s="1"/>
  <c r="H46" i="33"/>
  <c r="H13" i="34"/>
  <c r="U13" i="34" s="1"/>
  <c r="J13" i="34"/>
  <c r="W13" i="34" s="1"/>
  <c r="F13" i="34"/>
  <c r="AA13" i="34" s="1"/>
  <c r="J29" i="34"/>
  <c r="AC29" i="34" s="1"/>
  <c r="F29" i="34"/>
  <c r="S29" i="34" s="1"/>
  <c r="H29" i="34"/>
  <c r="J31" i="34"/>
  <c r="H31" i="34"/>
  <c r="AB31" i="34" s="1"/>
  <c r="F31" i="34"/>
  <c r="S31" i="34" s="1"/>
  <c r="H45" i="34"/>
  <c r="J45" i="34"/>
  <c r="W45" i="34" s="1"/>
  <c r="F45" i="34"/>
  <c r="H47" i="34"/>
  <c r="U47" i="34" s="1"/>
  <c r="F47" i="34"/>
  <c r="J47" i="34"/>
  <c r="AC47" i="34" s="1"/>
  <c r="F13" i="35"/>
  <c r="S13" i="35" s="1"/>
  <c r="J13" i="35"/>
  <c r="AC13" i="35" s="1"/>
  <c r="H13" i="35"/>
  <c r="U13" i="35" s="1"/>
  <c r="J25" i="35"/>
  <c r="AC25" i="35" s="1"/>
  <c r="F25" i="35"/>
  <c r="AA25" i="35" s="1"/>
  <c r="H25" i="35"/>
  <c r="AB25" i="35" s="1"/>
  <c r="J35" i="35"/>
  <c r="F35" i="35"/>
  <c r="S35" i="35" s="1"/>
  <c r="H35" i="35"/>
  <c r="J25" i="36"/>
  <c r="W25" i="36" s="1"/>
  <c r="F25" i="36"/>
  <c r="H25" i="36"/>
  <c r="AB25" i="36" s="1"/>
  <c r="H13" i="37"/>
  <c r="AB13" i="37" s="1"/>
  <c r="J13" i="37"/>
  <c r="F28" i="37"/>
  <c r="AA28" i="37" s="1"/>
  <c r="J28" i="37"/>
  <c r="AC28" i="37" s="1"/>
  <c r="H28" i="37"/>
  <c r="U28" i="37" s="1"/>
  <c r="H38" i="37"/>
  <c r="AB38" i="37" s="1"/>
  <c r="F38" i="37"/>
  <c r="F14" i="37"/>
  <c r="AA14" i="37" s="1"/>
  <c r="F27" i="37"/>
  <c r="J14" i="37"/>
  <c r="W14" i="37" s="1"/>
  <c r="J27" i="37"/>
  <c r="J36" i="37"/>
  <c r="G105" i="37"/>
  <c r="AB28" i="36"/>
  <c r="S46" i="21"/>
  <c r="W14" i="21"/>
  <c r="W42" i="21"/>
  <c r="S46" i="33"/>
  <c r="AB31" i="33"/>
  <c r="AB27" i="33"/>
  <c r="AC28" i="33"/>
  <c r="AB44" i="21"/>
  <c r="G529" i="3"/>
  <c r="G521" i="3"/>
  <c r="G517" i="3"/>
  <c r="G493" i="3"/>
  <c r="G17" i="3"/>
  <c r="G561" i="3"/>
  <c r="G557" i="3"/>
  <c r="G549" i="3"/>
  <c r="G545" i="3"/>
  <c r="G539" i="3"/>
  <c r="BL569" i="3"/>
  <c r="AZ569" i="3"/>
  <c r="BL557" i="3"/>
  <c r="BL553" i="3"/>
  <c r="BL545" i="3"/>
  <c r="BL535" i="3"/>
  <c r="BL527" i="3"/>
  <c r="BL519" i="3"/>
  <c r="BL511" i="3"/>
  <c r="BL491" i="3"/>
  <c r="G16" i="3"/>
  <c r="BL559" i="3"/>
  <c r="BL555" i="3"/>
  <c r="BL541" i="3"/>
  <c r="BL533" i="3"/>
  <c r="BL525" i="3"/>
  <c r="G510" i="3"/>
  <c r="BL503" i="3"/>
  <c r="BL495" i="3"/>
  <c r="G18" i="3"/>
  <c r="BA569" i="3"/>
  <c r="BA561" i="3"/>
  <c r="BA557" i="3"/>
  <c r="AZ557" i="3"/>
  <c r="BA555" i="3"/>
  <c r="AZ555" i="3"/>
  <c r="BA545" i="3"/>
  <c r="BA543" i="3"/>
  <c r="BA541" i="3"/>
  <c r="AZ541" i="3"/>
  <c r="BA531" i="3"/>
  <c r="BA521" i="3"/>
  <c r="BA509" i="3"/>
  <c r="BA505" i="3"/>
  <c r="BA487" i="3"/>
  <c r="BA19" i="3"/>
  <c r="BA572" i="3"/>
  <c r="BA558" i="3"/>
  <c r="BA556" i="3"/>
  <c r="BA554" i="3"/>
  <c r="BA550" i="3"/>
  <c r="AZ550" i="3"/>
  <c r="BA546" i="3"/>
  <c r="BA544" i="3"/>
  <c r="BA528" i="3"/>
  <c r="BA520" i="3"/>
  <c r="BA516" i="3"/>
  <c r="BA488" i="3"/>
  <c r="BA20" i="3"/>
  <c r="AZ545" i="3"/>
  <c r="G562" i="3"/>
  <c r="G558" i="3"/>
  <c r="G556" i="3"/>
  <c r="G554" i="3"/>
  <c r="G550" i="3"/>
  <c r="G546" i="3"/>
  <c r="BL543" i="3"/>
  <c r="AZ543" i="3"/>
  <c r="BA542" i="3"/>
  <c r="AC542" i="3"/>
  <c r="G542" i="3" s="1"/>
  <c r="BQ542" i="3"/>
  <c r="BL542" i="3" s="1"/>
  <c r="AZ542" i="3"/>
  <c r="BQ568" i="3"/>
  <c r="BQ566" i="3"/>
  <c r="BQ564" i="3"/>
  <c r="BL564" i="3"/>
  <c r="BQ562" i="3"/>
  <c r="BL562" i="3"/>
  <c r="BQ560" i="3"/>
  <c r="BQ558" i="3"/>
  <c r="BL558" i="3" s="1"/>
  <c r="BQ556" i="3"/>
  <c r="BL556" i="3" s="1"/>
  <c r="AZ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c r="H17" i="37"/>
  <c r="U17" i="37"/>
  <c r="F23" i="37"/>
  <c r="S23" i="37"/>
  <c r="F79" i="37"/>
  <c r="AB27" i="37"/>
  <c r="F39" i="33"/>
  <c r="AA39" i="33"/>
  <c r="F42" i="33"/>
  <c r="AA42" i="33" s="1"/>
  <c r="H28" i="34"/>
  <c r="F22" i="36"/>
  <c r="S22" i="36" s="1"/>
  <c r="H35" i="34"/>
  <c r="F41" i="34"/>
  <c r="S41" i="34" s="1"/>
  <c r="H41" i="34"/>
  <c r="U41" i="34" s="1"/>
  <c r="J41" i="34"/>
  <c r="F10" i="35"/>
  <c r="F24" i="35"/>
  <c r="AA24" i="35" s="1"/>
  <c r="H24" i="35"/>
  <c r="AB24" i="35" s="1"/>
  <c r="H23" i="37"/>
  <c r="AB23" i="37" s="1"/>
  <c r="J32" i="37"/>
  <c r="F36" i="37"/>
  <c r="F37" i="37"/>
  <c r="U23" i="37"/>
  <c r="F123" i="33"/>
  <c r="G123" i="33" s="1"/>
  <c r="H123" i="33"/>
  <c r="I123" i="33" s="1"/>
  <c r="J123" i="33" s="1"/>
  <c r="K123" i="33" s="1"/>
  <c r="L123" i="33" s="1"/>
  <c r="M123" i="33" s="1"/>
  <c r="H42" i="33"/>
  <c r="U42" i="33" s="1"/>
  <c r="J43" i="33"/>
  <c r="AC43" i="33" s="1"/>
  <c r="G79" i="37"/>
  <c r="J23" i="37"/>
  <c r="W23" i="37"/>
  <c r="F17" i="37"/>
  <c r="AA17" i="37"/>
  <c r="AB43" i="33"/>
  <c r="D3" i="21"/>
  <c r="AC33" i="36"/>
  <c r="AC23" i="37"/>
  <c r="U39" i="37"/>
  <c r="AC8" i="37"/>
  <c r="AB8" i="34"/>
  <c r="AA13" i="33"/>
  <c r="AC45" i="33"/>
  <c r="U19" i="21"/>
  <c r="AC33" i="21"/>
  <c r="AA36" i="21"/>
  <c r="S39" i="33"/>
  <c r="F43" i="33"/>
  <c r="AA23" i="37"/>
  <c r="AB44" i="33"/>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U12" i="37"/>
  <c r="AB10" i="37"/>
  <c r="J11" i="37"/>
  <c r="U31" i="37"/>
  <c r="F21" i="40"/>
  <c r="W36" i="40"/>
  <c r="U40" i="39"/>
  <c r="F90" i="40"/>
  <c r="G90" i="40" s="1"/>
  <c r="J21" i="40"/>
  <c r="AC21" i="40"/>
  <c r="S27" i="31"/>
  <c r="G483" i="3"/>
  <c r="G507"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c r="U42" i="21"/>
  <c r="AC26" i="36"/>
  <c r="W25" i="35"/>
  <c r="AZ300" i="3"/>
  <c r="AA36" i="35"/>
  <c r="H11" i="37"/>
  <c r="AB11" i="37"/>
  <c r="S42" i="33"/>
  <c r="U32" i="33"/>
  <c r="AB17" i="37"/>
  <c r="AZ546" i="3"/>
  <c r="AA45" i="33"/>
  <c r="AC10" i="36"/>
  <c r="AC14" i="37"/>
  <c r="S25" i="35"/>
  <c r="AC29" i="37"/>
  <c r="U28" i="33"/>
  <c r="AB28" i="33"/>
  <c r="J33" i="34"/>
  <c r="AC33" i="34"/>
  <c r="J40" i="34"/>
  <c r="F16" i="35"/>
  <c r="S24" i="36"/>
  <c r="W42" i="33"/>
  <c r="J35" i="34"/>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G13" i="3"/>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F96" i="37"/>
  <c r="H32" i="37"/>
  <c r="AB32" i="37"/>
  <c r="F19" i="39"/>
  <c r="S19" i="39" s="1"/>
  <c r="H19" i="39"/>
  <c r="U19" i="39" s="1"/>
  <c r="J19" i="39"/>
  <c r="F43" i="39"/>
  <c r="AA43" i="39" s="1"/>
  <c r="H43" i="39"/>
  <c r="U43" i="39" s="1"/>
  <c r="J43" i="39"/>
  <c r="AC43" i="39" s="1"/>
  <c r="F99" i="37"/>
  <c r="U25" i="35"/>
  <c r="U31" i="34"/>
  <c r="AC40" i="37"/>
  <c r="W40" i="37"/>
  <c r="W27" i="33"/>
  <c r="AC45" i="21"/>
  <c r="S28" i="33"/>
  <c r="S14" i="21"/>
  <c r="AA44" i="34"/>
  <c r="AB29" i="35"/>
  <c r="U29" i="35"/>
  <c r="AC19" i="33"/>
  <c r="W19" i="33"/>
  <c r="U43" i="34"/>
  <c r="AB43" i="34"/>
  <c r="AC34" i="37"/>
  <c r="AA35" i="37"/>
  <c r="AA32" i="21"/>
  <c r="S32" i="21"/>
  <c r="U38" i="21"/>
  <c r="AB34" i="21"/>
  <c r="BL571" i="3"/>
  <c r="BA571" i="3"/>
  <c r="AZ571" i="3"/>
  <c r="BL570" i="3"/>
  <c r="AZ570" i="3"/>
  <c r="F42" i="21"/>
  <c r="AA42" i="21" s="1"/>
  <c r="AB40" i="33"/>
  <c r="U40" i="33"/>
  <c r="AA35" i="34"/>
  <c r="S35" i="34"/>
  <c r="E90" i="34"/>
  <c r="F90" i="34" s="1"/>
  <c r="H27" i="34"/>
  <c r="AB27" i="34"/>
  <c r="AB8" i="35"/>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F17" i="39"/>
  <c r="AA17" i="39" s="1"/>
  <c r="H17" i="39"/>
  <c r="U17" i="39" s="1"/>
  <c r="J17" i="39"/>
  <c r="W17" i="39" s="1"/>
  <c r="F33" i="39"/>
  <c r="S33" i="39" s="1"/>
  <c r="H33" i="39"/>
  <c r="U33" i="39"/>
  <c r="J33" i="39"/>
  <c r="AC33" i="39" s="1"/>
  <c r="F44" i="39"/>
  <c r="H44" i="39"/>
  <c r="J44" i="39"/>
  <c r="E128" i="39"/>
  <c r="F128" i="39" s="1"/>
  <c r="G128" i="39"/>
  <c r="H128" i="39" s="1"/>
  <c r="I128" i="39" s="1"/>
  <c r="J128" i="39" s="1"/>
  <c r="K128" i="39" s="1"/>
  <c r="L128" i="39" s="1"/>
  <c r="M128" i="39" s="1"/>
  <c r="S46" i="39"/>
  <c r="F29" i="39"/>
  <c r="AA29" i="39" s="1"/>
  <c r="E103" i="39"/>
  <c r="F103" i="39"/>
  <c r="G103" i="39" s="1"/>
  <c r="H29" i="39"/>
  <c r="F34" i="39"/>
  <c r="AA34" i="39" s="1"/>
  <c r="H34" i="39"/>
  <c r="AB34" i="39" s="1"/>
  <c r="J34" i="39"/>
  <c r="F39" i="39"/>
  <c r="S39" i="39" s="1"/>
  <c r="H39" i="39"/>
  <c r="AB39" i="39" s="1"/>
  <c r="J39" i="39"/>
  <c r="J29" i="35"/>
  <c r="F29" i="35"/>
  <c r="W30" i="36"/>
  <c r="F37" i="39"/>
  <c r="S37" i="39" s="1"/>
  <c r="H37" i="39"/>
  <c r="U37" i="39" s="1"/>
  <c r="J37" i="39"/>
  <c r="W37" i="39" s="1"/>
  <c r="BL568" i="3"/>
  <c r="BA568" i="3"/>
  <c r="AZ568" i="3"/>
  <c r="BA567" i="3"/>
  <c r="AZ567" i="3" s="1"/>
  <c r="BL566" i="3"/>
  <c r="BL565" i="3"/>
  <c r="BA564" i="3"/>
  <c r="AZ564" i="3" s="1"/>
  <c r="BA563" i="3"/>
  <c r="BL554" i="3"/>
  <c r="BA553" i="3"/>
  <c r="AZ553" i="3" s="1"/>
  <c r="BA552" i="3"/>
  <c r="BL549" i="3"/>
  <c r="AZ549" i="3" s="1"/>
  <c r="BA549" i="3"/>
  <c r="BL548" i="3"/>
  <c r="BA548" i="3"/>
  <c r="BL547" i="3"/>
  <c r="BL539" i="3"/>
  <c r="AZ539" i="3"/>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c r="BA515" i="3"/>
  <c r="AZ515" i="3" s="1"/>
  <c r="AZ514" i="3"/>
  <c r="BA513" i="3"/>
  <c r="AZ513" i="3" s="1"/>
  <c r="BL512" i="3"/>
  <c r="BA511" i="3"/>
  <c r="AZ511" i="3" s="1"/>
  <c r="BA510" i="3"/>
  <c r="AZ510" i="3" s="1"/>
  <c r="BL509" i="3"/>
  <c r="AZ509" i="3" s="1"/>
  <c r="BL507" i="3"/>
  <c r="AZ507" i="3" s="1"/>
  <c r="BA506" i="3"/>
  <c r="BL505" i="3"/>
  <c r="BL504" i="3"/>
  <c r="BA504" i="3"/>
  <c r="BA503" i="3"/>
  <c r="AZ503" i="3" s="1"/>
  <c r="BA500" i="3"/>
  <c r="BL499" i="3"/>
  <c r="AZ499" i="3" s="1"/>
  <c r="BA497" i="3"/>
  <c r="AZ497" i="3" s="1"/>
  <c r="BL496" i="3"/>
  <c r="BA496" i="3"/>
  <c r="AZ496" i="3" s="1"/>
  <c r="BA495" i="3"/>
  <c r="AZ495" i="3" s="1"/>
  <c r="BL494" i="3"/>
  <c r="AZ494" i="3"/>
  <c r="BA491" i="3"/>
  <c r="AZ491" i="3" s="1"/>
  <c r="BL490" i="3"/>
  <c r="AZ490" i="3" s="1"/>
  <c r="BA489" i="3"/>
  <c r="AZ489" i="3" s="1"/>
  <c r="BL487" i="3"/>
  <c r="BL486" i="3"/>
  <c r="BA486" i="3"/>
  <c r="BA485" i="3"/>
  <c r="AZ485" i="3" s="1"/>
  <c r="BA483" i="3"/>
  <c r="BA482" i="3"/>
  <c r="AZ482" i="3" s="1"/>
  <c r="BL481" i="3"/>
  <c r="BA481" i="3"/>
  <c r="AZ481" i="3" s="1"/>
  <c r="BB5" i="3"/>
  <c r="BL19" i="3"/>
  <c r="AZ19" i="3"/>
  <c r="BA18" i="3"/>
  <c r="F36" i="44"/>
  <c r="F114" i="34"/>
  <c r="G114" i="34"/>
  <c r="H114" i="34" s="1"/>
  <c r="I114" i="34"/>
  <c r="J114" i="34" s="1"/>
  <c r="K114" i="34" s="1"/>
  <c r="L114" i="34" s="1"/>
  <c r="M114" i="34" s="1"/>
  <c r="H38" i="34"/>
  <c r="U38" i="34"/>
  <c r="H30" i="40"/>
  <c r="AB30" i="40"/>
  <c r="J30" i="40"/>
  <c r="F38" i="40"/>
  <c r="AA36" i="34"/>
  <c r="W12" i="21"/>
  <c r="S35" i="21"/>
  <c r="U8" i="21"/>
  <c r="AB8" i="21"/>
  <c r="S34" i="21"/>
  <c r="AC36" i="21"/>
  <c r="AB8" i="33"/>
  <c r="U8" i="33"/>
  <c r="E106" i="33"/>
  <c r="F106" i="33" s="1"/>
  <c r="H34" i="33"/>
  <c r="U34" i="33"/>
  <c r="F34" i="33"/>
  <c r="S34" i="33"/>
  <c r="E121" i="33"/>
  <c r="F41" i="33"/>
  <c r="AC34" i="34"/>
  <c r="W34" i="34"/>
  <c r="AA39" i="34"/>
  <c r="S39" i="34"/>
  <c r="S43" i="34"/>
  <c r="E78" i="34"/>
  <c r="F15" i="34"/>
  <c r="S15" i="34" s="1"/>
  <c r="W28" i="35"/>
  <c r="J20" i="35"/>
  <c r="AC20" i="35"/>
  <c r="E72" i="35"/>
  <c r="F72" i="35"/>
  <c r="G72" i="35" s="1"/>
  <c r="H22" i="35"/>
  <c r="H23" i="35"/>
  <c r="U23" i="35" s="1"/>
  <c r="F23" i="35"/>
  <c r="AA23" i="35"/>
  <c r="AB36" i="35"/>
  <c r="U36" i="35"/>
  <c r="AC12" i="36"/>
  <c r="U31" i="36"/>
  <c r="S8" i="37"/>
  <c r="AA8" i="37"/>
  <c r="F14" i="39"/>
  <c r="H14" i="39"/>
  <c r="J14" i="39"/>
  <c r="AC14" i="39" s="1"/>
  <c r="F16" i="39"/>
  <c r="AA16" i="39" s="1"/>
  <c r="H16" i="39"/>
  <c r="J16" i="39"/>
  <c r="AC16" i="39" s="1"/>
  <c r="F23" i="39"/>
  <c r="AA23" i="39" s="1"/>
  <c r="E97" i="39"/>
  <c r="F27" i="39"/>
  <c r="AA27" i="39" s="1"/>
  <c r="H27" i="39"/>
  <c r="AB27" i="39" s="1"/>
  <c r="J27" i="39"/>
  <c r="AC27" i="39" s="1"/>
  <c r="F15" i="40"/>
  <c r="AA15" i="40"/>
  <c r="J15" i="40"/>
  <c r="H15" i="40"/>
  <c r="E92" i="40"/>
  <c r="F92" i="40" s="1"/>
  <c r="H23" i="40"/>
  <c r="U23" i="40" s="1"/>
  <c r="H41" i="40"/>
  <c r="F41" i="40"/>
  <c r="J41" i="40"/>
  <c r="AC41" i="40" s="1"/>
  <c r="H36" i="33"/>
  <c r="AB36" i="33"/>
  <c r="H37" i="34"/>
  <c r="F15" i="39"/>
  <c r="H15" i="39"/>
  <c r="U15" i="39" s="1"/>
  <c r="J15" i="39"/>
  <c r="AC15" i="39" s="1"/>
  <c r="H25" i="39"/>
  <c r="U25" i="39" s="1"/>
  <c r="J25" i="39"/>
  <c r="AC25" i="39" s="1"/>
  <c r="F25" i="39"/>
  <c r="F45" i="39"/>
  <c r="H45" i="39"/>
  <c r="U45" i="39" s="1"/>
  <c r="J45" i="39"/>
  <c r="F47" i="39"/>
  <c r="H47" i="39"/>
  <c r="J47" i="39"/>
  <c r="W47" i="39" s="1"/>
  <c r="F41" i="39"/>
  <c r="AA41" i="39" s="1"/>
  <c r="H41" i="39"/>
  <c r="AB41" i="39" s="1"/>
  <c r="J41" i="39"/>
  <c r="AC41" i="39" s="1"/>
  <c r="E94" i="40"/>
  <c r="F94" i="40" s="1"/>
  <c r="J25" i="40"/>
  <c r="AC25" i="40"/>
  <c r="J32" i="40"/>
  <c r="AC32" i="40"/>
  <c r="H32" i="40"/>
  <c r="U32" i="40"/>
  <c r="AB33" i="40"/>
  <c r="H35" i="40"/>
  <c r="AB35" i="40"/>
  <c r="F35" i="40"/>
  <c r="AA35" i="40"/>
  <c r="J35" i="40"/>
  <c r="AC35" i="40"/>
  <c r="J38" i="39"/>
  <c r="W38" i="39"/>
  <c r="H38" i="39"/>
  <c r="U38" i="39"/>
  <c r="J14" i="40"/>
  <c r="W14" i="40"/>
  <c r="H42" i="40"/>
  <c r="H40" i="40"/>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F34" i="44"/>
  <c r="F27" i="43"/>
  <c r="F66" i="9"/>
  <c r="P72" i="9" s="1"/>
  <c r="F71" i="9"/>
  <c r="F72" i="9"/>
  <c r="AC14" i="40"/>
  <c r="W35" i="40"/>
  <c r="AB32" i="40"/>
  <c r="U37" i="34"/>
  <c r="AB37" i="34"/>
  <c r="W41" i="40"/>
  <c r="J23" i="40"/>
  <c r="AC23" i="40" s="1"/>
  <c r="G92" i="40"/>
  <c r="F23" i="40"/>
  <c r="S23" i="40"/>
  <c r="AC15" i="40"/>
  <c r="W15" i="40"/>
  <c r="H20" i="35"/>
  <c r="F20" i="35"/>
  <c r="S20" i="35" s="1"/>
  <c r="H15" i="34"/>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1" i="36"/>
  <c r="AA14" i="35"/>
  <c r="G99" i="37"/>
  <c r="H99" i="37" s="1"/>
  <c r="F33" i="37"/>
  <c r="AB19" i="39"/>
  <c r="U46" i="34"/>
  <c r="AC30" i="34"/>
  <c r="AA14" i="34"/>
  <c r="W12" i="34"/>
  <c r="U29" i="33"/>
  <c r="AC13" i="33"/>
  <c r="U17" i="34"/>
  <c r="W32" i="33"/>
  <c r="H15" i="33"/>
  <c r="U15" i="33"/>
  <c r="AA11" i="33"/>
  <c r="AA40" i="21"/>
  <c r="U16" i="40"/>
  <c r="AB34" i="40"/>
  <c r="AB42" i="40"/>
  <c r="U42" i="40"/>
  <c r="W32" i="40"/>
  <c r="H25" i="40"/>
  <c r="AB25" i="40"/>
  <c r="G94" i="40"/>
  <c r="W15" i="39"/>
  <c r="J37" i="34"/>
  <c r="AC37" i="34"/>
  <c r="J36" i="33"/>
  <c r="W36" i="33"/>
  <c r="AB23" i="40"/>
  <c r="H23" i="39"/>
  <c r="J23" i="39"/>
  <c r="F97" i="39"/>
  <c r="G97" i="39" s="1"/>
  <c r="S16" i="39"/>
  <c r="AA15" i="34"/>
  <c r="AA34" i="33"/>
  <c r="G106" i="33"/>
  <c r="H106" i="33" s="1"/>
  <c r="I106" i="33" s="1"/>
  <c r="J106" i="33" s="1"/>
  <c r="K106" i="33" s="1"/>
  <c r="L106" i="33" s="1"/>
  <c r="M106" i="33" s="1"/>
  <c r="J34" i="33"/>
  <c r="AC34" i="33"/>
  <c r="U30" i="40"/>
  <c r="AA37" i="39"/>
  <c r="AC39" i="39"/>
  <c r="W39" i="39"/>
  <c r="AA39" i="39"/>
  <c r="U34" i="39"/>
  <c r="W33" i="39"/>
  <c r="AA33" i="39"/>
  <c r="U11" i="36"/>
  <c r="F80" i="35"/>
  <c r="G80" i="35" s="1"/>
  <c r="H80" i="35" s="1"/>
  <c r="I80" i="35" s="1"/>
  <c r="J80" i="35" s="1"/>
  <c r="K80" i="35" s="1"/>
  <c r="L80" i="35" s="1"/>
  <c r="M80" i="35" s="1"/>
  <c r="W14" i="35"/>
  <c r="G90" i="34"/>
  <c r="H90" i="34" s="1"/>
  <c r="I90" i="34"/>
  <c r="J90" i="34" s="1"/>
  <c r="K90" i="34" s="1"/>
  <c r="L90" i="34" s="1"/>
  <c r="M90" i="34" s="1"/>
  <c r="F27" i="34"/>
  <c r="S27" i="34"/>
  <c r="G96" i="37"/>
  <c r="H96" i="37" s="1"/>
  <c r="I96" i="37"/>
  <c r="J96" i="37" s="1"/>
  <c r="K96" i="37" s="1"/>
  <c r="L96" i="37" s="1"/>
  <c r="M96" i="37"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J11" i="33"/>
  <c r="W11" i="33" s="1"/>
  <c r="H33" i="37"/>
  <c r="AB33" i="37" s="1"/>
  <c r="W15" i="34"/>
  <c r="U20" i="35"/>
  <c r="AB20" i="35"/>
  <c r="D73" i="9"/>
  <c r="N73" i="9" s="1"/>
  <c r="AP11" i="1"/>
  <c r="B11" i="1"/>
  <c r="E11" i="1" s="1"/>
  <c r="K11" i="1"/>
  <c r="M11" i="1" s="1"/>
  <c r="O11" i="1" s="1"/>
  <c r="B9" i="1"/>
  <c r="E9" i="1" s="1"/>
  <c r="K9" i="1"/>
  <c r="M9" i="1" s="1"/>
  <c r="O9" i="1" s="1"/>
  <c r="B7" i="1"/>
  <c r="E7" i="1" s="1"/>
  <c r="C20" i="43"/>
  <c r="F6" i="1"/>
  <c r="AP6" i="1" s="1"/>
  <c r="G11" i="1"/>
  <c r="M22" i="44"/>
  <c r="F32" i="15"/>
  <c r="F59" i="15" s="1"/>
  <c r="F29" i="12"/>
  <c r="F70" i="9"/>
  <c r="D86" i="9"/>
  <c r="M20" i="44"/>
  <c r="F31" i="43"/>
  <c r="C31" i="43" s="1"/>
  <c r="F30" i="44"/>
  <c r="C30" i="44" s="1"/>
  <c r="C27" i="43"/>
  <c r="C25" i="12"/>
  <c r="AC25" i="36"/>
  <c r="S8" i="36"/>
  <c r="AA26" i="36"/>
  <c r="U25" i="36"/>
  <c r="H20" i="36"/>
  <c r="U20" i="36"/>
  <c r="F68" i="36"/>
  <c r="G68" i="36"/>
  <c r="J20" i="36"/>
  <c r="AC20" i="36"/>
  <c r="F20" i="36"/>
  <c r="S20" i="36"/>
  <c r="G62" i="36"/>
  <c r="J14" i="36"/>
  <c r="H14" i="36"/>
  <c r="AB14" i="36" s="1"/>
  <c r="F14" i="36"/>
  <c r="AA14" i="36"/>
  <c r="W20" i="36"/>
  <c r="U27" i="36"/>
  <c r="U9" i="36"/>
  <c r="S33" i="36"/>
  <c r="AA27" i="36"/>
  <c r="S16" i="36"/>
  <c r="AC33" i="35"/>
  <c r="AA13" i="35"/>
  <c r="S8" i="35"/>
  <c r="AA20" i="35"/>
  <c r="W20" i="35"/>
  <c r="S23" i="35"/>
  <c r="AB14" i="35"/>
  <c r="U9" i="35"/>
  <c r="W13" i="35"/>
  <c r="AC18" i="35"/>
  <c r="W18" i="35"/>
  <c r="U18" i="35"/>
  <c r="AB18" i="35"/>
  <c r="S30" i="35"/>
  <c r="AA35" i="35"/>
  <c r="AB30" i="35"/>
  <c r="S27" i="35"/>
  <c r="S28" i="35"/>
  <c r="F26" i="35"/>
  <c r="S26" i="35" s="1"/>
  <c r="AB9" i="37"/>
  <c r="W12" i="37"/>
  <c r="AA9" i="37"/>
  <c r="S17" i="37"/>
  <c r="W28" i="37"/>
  <c r="AB37" i="37"/>
  <c r="AA31" i="37"/>
  <c r="S33" i="37"/>
  <c r="AA33" i="37"/>
  <c r="U32" i="37"/>
  <c r="AA32" i="37"/>
  <c r="J33" i="37"/>
  <c r="W33" i="37"/>
  <c r="I99" i="37"/>
  <c r="J99" i="37" s="1"/>
  <c r="K99" i="37"/>
  <c r="L99" i="37" s="1"/>
  <c r="M99" i="37" s="1"/>
  <c r="S29" i="37"/>
  <c r="J19" i="37"/>
  <c r="G75" i="37"/>
  <c r="F19" i="37"/>
  <c r="AA19" i="37"/>
  <c r="H19" i="37"/>
  <c r="J17" i="37"/>
  <c r="W17" i="37" s="1"/>
  <c r="S15" i="37"/>
  <c r="AC10" i="37"/>
  <c r="AC21" i="37"/>
  <c r="W21" i="37"/>
  <c r="AC9" i="37"/>
  <c r="U35" i="37"/>
  <c r="U8" i="37"/>
  <c r="AB21" i="37"/>
  <c r="U21" i="37"/>
  <c r="S40" i="37"/>
  <c r="AA11" i="37"/>
  <c r="S10" i="37"/>
  <c r="W46" i="34"/>
  <c r="AC45" i="34"/>
  <c r="AA40" i="34"/>
  <c r="W33" i="34"/>
  <c r="U30" i="34"/>
  <c r="S32" i="34"/>
  <c r="AB33" i="34"/>
  <c r="AA12" i="34"/>
  <c r="AA30" i="34"/>
  <c r="AC32" i="34"/>
  <c r="AA33" i="34"/>
  <c r="U44" i="34"/>
  <c r="U34" i="34"/>
  <c r="AA27" i="34"/>
  <c r="J25" i="34"/>
  <c r="H25" i="34"/>
  <c r="AB25" i="34" s="1"/>
  <c r="F25" i="34"/>
  <c r="J23" i="34"/>
  <c r="W23" i="34" s="1"/>
  <c r="F86" i="34"/>
  <c r="G86" i="34"/>
  <c r="F23" i="34"/>
  <c r="H23" i="34"/>
  <c r="AB23" i="34" s="1"/>
  <c r="AC11" i="34"/>
  <c r="W10" i="34"/>
  <c r="U10" i="34"/>
  <c r="W37" i="34"/>
  <c r="W44" i="34"/>
  <c r="W29" i="34"/>
  <c r="AC21" i="34"/>
  <c r="W21" i="34"/>
  <c r="AB21" i="34"/>
  <c r="U21" i="34"/>
  <c r="U27" i="34"/>
  <c r="U19" i="34"/>
  <c r="AB41" i="34"/>
  <c r="S13" i="34"/>
  <c r="AA41" i="34"/>
  <c r="S9" i="34"/>
  <c r="S10" i="34"/>
  <c r="U39" i="33"/>
  <c r="U37" i="33"/>
  <c r="S35" i="33"/>
  <c r="W34" i="33"/>
  <c r="AC12" i="33"/>
  <c r="AB11" i="33"/>
  <c r="AB41" i="33"/>
  <c r="U36" i="33"/>
  <c r="S29" i="33"/>
  <c r="W31" i="33"/>
  <c r="W43" i="33"/>
  <c r="W39" i="33"/>
  <c r="U35" i="33"/>
  <c r="AB34" i="33"/>
  <c r="W26" i="33"/>
  <c r="AB26" i="33"/>
  <c r="H25" i="33"/>
  <c r="AB25" i="33"/>
  <c r="J25" i="33"/>
  <c r="W25" i="33"/>
  <c r="G87" i="33"/>
  <c r="H87" i="33" s="1"/>
  <c r="I87" i="33"/>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W10" i="33"/>
  <c r="AC21" i="33"/>
  <c r="W21" i="33"/>
  <c r="U25" i="33"/>
  <c r="AB21" i="33"/>
  <c r="U21" i="33"/>
  <c r="AA21" i="33"/>
  <c r="S21" i="33"/>
  <c r="AA36" i="33"/>
  <c r="W39" i="21"/>
  <c r="W32" i="21"/>
  <c r="U35" i="21"/>
  <c r="W43" i="21"/>
  <c r="AA37" i="21"/>
  <c r="S42" i="21"/>
  <c r="AB32" i="21"/>
  <c r="W28" i="21"/>
  <c r="AC46" i="21"/>
  <c r="AC26" i="21"/>
  <c r="F85" i="21"/>
  <c r="G85" i="21" s="1"/>
  <c r="J23" i="21"/>
  <c r="W23" i="21" s="1"/>
  <c r="F23" i="21"/>
  <c r="S23" i="21" s="1"/>
  <c r="H23" i="21"/>
  <c r="AA17" i="21"/>
  <c r="F15" i="21"/>
  <c r="S15" i="21" s="1"/>
  <c r="F77" i="21"/>
  <c r="G77" i="21" s="1"/>
  <c r="J15" i="21"/>
  <c r="AC15" i="21" s="1"/>
  <c r="H15" i="21"/>
  <c r="AC11" i="21"/>
  <c r="W13" i="21"/>
  <c r="AC23" i="21"/>
  <c r="AC21" i="21"/>
  <c r="W21" i="21"/>
  <c r="AC19" i="21"/>
  <c r="W10" i="21"/>
  <c r="AC38" i="21"/>
  <c r="AB21" i="21"/>
  <c r="U21" i="21"/>
  <c r="AB29" i="21"/>
  <c r="AA31" i="21"/>
  <c r="S35" i="40"/>
  <c r="S14" i="40"/>
  <c r="S15" i="40"/>
  <c r="AB13" i="40"/>
  <c r="S16" i="40"/>
  <c r="W11" i="40"/>
  <c r="U21" i="40"/>
  <c r="W25" i="40"/>
  <c r="U25" i="40"/>
  <c r="U35" i="40"/>
  <c r="F37" i="40"/>
  <c r="J37" i="40"/>
  <c r="H37" i="40"/>
  <c r="U37" i="40" s="1"/>
  <c r="H113" i="40"/>
  <c r="I113" i="40" s="1"/>
  <c r="J113" i="40"/>
  <c r="K113" i="40" s="1"/>
  <c r="L113" i="40" s="1"/>
  <c r="M113" i="40" s="1"/>
  <c r="F39" i="40"/>
  <c r="AA39" i="40" s="1"/>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AB45" i="39"/>
  <c r="S27" i="39"/>
  <c r="AC38" i="39"/>
  <c r="AB15" i="39"/>
  <c r="U11" i="39"/>
  <c r="U41" i="39"/>
  <c r="AB38" i="39"/>
  <c r="U31" i="39"/>
  <c r="AB31" i="39"/>
  <c r="S38" i="39"/>
  <c r="D18" i="9"/>
  <c r="M44" i="9" s="1"/>
  <c r="M43" i="9"/>
  <c r="M20" i="15"/>
  <c r="D96" i="9"/>
  <c r="F28" i="15"/>
  <c r="C28" i="15" s="1"/>
  <c r="M18" i="15"/>
  <c r="BA16" i="3"/>
  <c r="BA17" i="3"/>
  <c r="AZ17" i="3" s="1"/>
  <c r="F3" i="35"/>
  <c r="K1" i="43"/>
  <c r="K1" i="12"/>
  <c r="G1" i="44"/>
  <c r="I4" i="6"/>
  <c r="G3" i="46" s="1"/>
  <c r="AZ15" i="3"/>
  <c r="BK5" i="3"/>
  <c r="BO5" i="3"/>
  <c r="BP5" i="3"/>
  <c r="BL18" i="3"/>
  <c r="AZ18" i="3" s="1"/>
  <c r="BC5" i="3"/>
  <c r="BD5" i="3"/>
  <c r="BR5" i="3"/>
  <c r="G28" i="6" s="1"/>
  <c r="BS5" i="3"/>
  <c r="BQ5" i="3"/>
  <c r="BL16" i="3"/>
  <c r="BM5" i="3"/>
  <c r="F29" i="6" s="1"/>
  <c r="BA13" i="3"/>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U12" i="35"/>
  <c r="AB12" i="35"/>
  <c r="AA11" i="35"/>
  <c r="S14" i="37"/>
  <c r="U13" i="37"/>
  <c r="C24" i="9"/>
  <c r="C25" i="9"/>
  <c r="AP7" i="1"/>
  <c r="G7" i="1"/>
  <c r="AP9" i="1"/>
  <c r="G9" i="1"/>
  <c r="AP8" i="1"/>
  <c r="G8" i="1"/>
  <c r="I20" i="46"/>
  <c r="C20" i="46" s="1"/>
  <c r="B6" i="63"/>
  <c r="B46" i="50"/>
  <c r="B4" i="63" s="1"/>
  <c r="C46" i="36"/>
  <c r="D46" i="36"/>
  <c r="C59" i="34"/>
  <c r="D59" i="34"/>
  <c r="C48" i="35"/>
  <c r="C52" i="37"/>
  <c r="C67" i="40"/>
  <c r="D65" i="40"/>
  <c r="P24" i="46"/>
  <c r="B68" i="40" s="1"/>
  <c r="P25" i="46"/>
  <c r="B73" i="39" s="1"/>
  <c r="P23" i="46"/>
  <c r="P21" i="46"/>
  <c r="P22" i="46"/>
  <c r="C72" i="39"/>
  <c r="D70" i="39"/>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9" i="1"/>
  <c r="P11" i="1"/>
  <c r="G1" i="15"/>
  <c r="F66" i="36"/>
  <c r="H18" i="36"/>
  <c r="U16" i="36"/>
  <c r="AA34" i="36"/>
  <c r="U23" i="36"/>
  <c r="AC27" i="36"/>
  <c r="W28" i="36"/>
  <c r="U13" i="36"/>
  <c r="AA22" i="36"/>
  <c r="U10" i="36"/>
  <c r="AA13" i="36"/>
  <c r="W9" i="36"/>
  <c r="S9" i="36"/>
  <c r="W8" i="36"/>
  <c r="U24" i="35"/>
  <c r="W32" i="35"/>
  <c r="S24" i="35"/>
  <c r="AA33" i="35"/>
  <c r="U32" i="35"/>
  <c r="W22" i="35"/>
  <c r="S32" i="35"/>
  <c r="W35" i="37"/>
  <c r="AC33" i="37"/>
  <c r="U33" i="37"/>
  <c r="AA13" i="37"/>
  <c r="S12" i="37"/>
  <c r="W38" i="37"/>
  <c r="U26" i="37"/>
  <c r="AB28" i="37"/>
  <c r="S28" i="37"/>
  <c r="U38" i="37"/>
  <c r="S26" i="37"/>
  <c r="AA31" i="34"/>
  <c r="W47" i="34"/>
  <c r="AB47" i="34"/>
  <c r="AB13" i="34"/>
  <c r="AC13" i="34"/>
  <c r="AA29" i="34"/>
  <c r="S19" i="34"/>
  <c r="S8" i="34"/>
  <c r="AA19" i="33"/>
  <c r="AC25" i="33"/>
  <c r="AB42" i="33"/>
  <c r="S26" i="33"/>
  <c r="AB12" i="33"/>
  <c r="S15" i="33"/>
  <c r="S9" i="33"/>
  <c r="S39" i="21"/>
  <c r="AB45" i="21"/>
  <c r="AA25" i="21"/>
  <c r="AC37" i="21"/>
  <c r="AA29" i="21"/>
  <c r="U27" i="21"/>
  <c r="W31" i="21"/>
  <c r="S27" i="21"/>
  <c r="AA15" i="21"/>
  <c r="W29" i="21"/>
  <c r="G96" i="40"/>
  <c r="J27" i="40"/>
  <c r="AC27" i="40" s="1"/>
  <c r="S17" i="40"/>
  <c r="S34" i="40"/>
  <c r="U38" i="40"/>
  <c r="S40" i="40"/>
  <c r="S42" i="40"/>
  <c r="G105" i="39"/>
  <c r="J31" i="39"/>
  <c r="W31" i="39" s="1"/>
  <c r="AB33" i="39"/>
  <c r="W42" i="39"/>
  <c r="W36" i="39"/>
  <c r="AC37" i="39"/>
  <c r="W16" i="39"/>
  <c r="W25" i="39"/>
  <c r="S41" i="39"/>
  <c r="AA46" i="39"/>
  <c r="W10" i="39"/>
  <c r="W11" i="39"/>
  <c r="U42" i="39"/>
  <c r="W40" i="39"/>
  <c r="S32" i="40"/>
  <c r="C27" i="39"/>
  <c r="C17" i="40"/>
  <c r="C19" i="40"/>
  <c r="C17" i="39"/>
  <c r="C19" i="39"/>
  <c r="C21" i="39"/>
  <c r="C23" i="40"/>
  <c r="B48" i="46"/>
  <c r="B51" i="46"/>
  <c r="B55" i="46"/>
  <c r="B59" i="46"/>
  <c r="B62" i="46"/>
  <c r="B66" i="46"/>
  <c r="B53" i="46"/>
  <c r="B64" i="46"/>
  <c r="B11" i="52"/>
  <c r="D24" i="15"/>
  <c r="S14" i="36"/>
  <c r="AB20" i="36"/>
  <c r="AA20" i="36"/>
  <c r="AC14" i="36"/>
  <c r="W14" i="36"/>
  <c r="U14" i="36"/>
  <c r="U18" i="36"/>
  <c r="AB18" i="36"/>
  <c r="AA26" i="35"/>
  <c r="W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U39" i="40"/>
  <c r="AC39" i="40"/>
  <c r="W39" i="40"/>
  <c r="S39" i="40"/>
  <c r="AB37" i="40"/>
  <c r="AA37" i="40"/>
  <c r="S37" i="40"/>
  <c r="AB29" i="40"/>
  <c r="AC29" i="40"/>
  <c r="W29" i="40"/>
  <c r="AA29" i="40"/>
  <c r="S29" i="40"/>
  <c r="W19" i="40"/>
  <c r="AC19" i="40"/>
  <c r="AA19" i="40"/>
  <c r="S19" i="40"/>
  <c r="U19" i="40"/>
  <c r="AC31" i="39"/>
  <c r="E5" i="6"/>
  <c r="AZ16" i="3"/>
  <c r="H72" i="46"/>
  <c r="A9" i="64"/>
  <c r="A9" i="51"/>
  <c r="B9" i="63" s="1"/>
  <c r="E46" i="36"/>
  <c r="F46" i="36" s="1"/>
  <c r="G46" i="36" s="1"/>
  <c r="H46" i="36" s="1"/>
  <c r="I46" i="36" s="1"/>
  <c r="D72" i="39"/>
  <c r="E70" i="39"/>
  <c r="D67" i="40"/>
  <c r="E65" i="40"/>
  <c r="G66" i="36"/>
  <c r="J18" i="36"/>
  <c r="AE8" i="1"/>
  <c r="AE7" i="1"/>
  <c r="AE6" i="1"/>
  <c r="W18" i="36"/>
  <c r="AC18" i="36"/>
  <c r="AG6" i="1"/>
  <c r="L20" i="6"/>
  <c r="E67" i="40"/>
  <c r="F65" i="40"/>
  <c r="G65" i="40" s="1"/>
  <c r="H65" i="40" s="1"/>
  <c r="H67" i="40" s="1"/>
  <c r="E72" i="39"/>
  <c r="F70" i="39"/>
  <c r="G70" i="39" s="1"/>
  <c r="H70" i="39" s="1"/>
  <c r="H72" i="39" s="1"/>
  <c r="F72" i="39"/>
  <c r="F67" i="40"/>
  <c r="G67" i="40"/>
  <c r="G72" i="39"/>
  <c r="I70" i="39"/>
  <c r="J70" i="39" s="1"/>
  <c r="J72" i="39" s="1"/>
  <c r="I65" i="40"/>
  <c r="J65" i="40" s="1"/>
  <c r="J67" i="40" s="1"/>
  <c r="I67" i="40"/>
  <c r="I72" i="39"/>
  <c r="K70" i="39"/>
  <c r="L70" i="39" s="1"/>
  <c r="L72" i="39" s="1"/>
  <c r="K72" i="39"/>
  <c r="C45" i="9"/>
  <c r="H14" i="66" s="1"/>
  <c r="B7" i="66" s="1"/>
  <c r="K31" i="9"/>
  <c r="K32" i="9" s="1"/>
  <c r="N76" i="9"/>
  <c r="C46" i="9"/>
  <c r="K33" i="9" s="1"/>
  <c r="F31" i="15"/>
  <c r="F9" i="67"/>
  <c r="F10" i="67"/>
  <c r="M31" i="44"/>
  <c r="C19" i="44"/>
  <c r="M8" i="44"/>
  <c r="F37" i="15"/>
  <c r="L48" i="15"/>
  <c r="I3" i="65"/>
  <c r="F11" i="67"/>
  <c r="F39" i="44"/>
  <c r="B10" i="67"/>
  <c r="B11" i="67"/>
  <c r="F8" i="67"/>
  <c r="F8" i="44"/>
  <c r="F41" i="15"/>
  <c r="M10" i="44"/>
  <c r="M23" i="15"/>
  <c r="J7" i="65"/>
  <c r="I4" i="65"/>
  <c r="M24" i="15"/>
  <c r="B14" i="67"/>
  <c r="B8" i="67"/>
  <c r="B13" i="67"/>
  <c r="F37" i="44"/>
  <c r="M28" i="44"/>
  <c r="F38" i="44"/>
  <c r="M26" i="15"/>
  <c r="M8" i="15"/>
  <c r="B12" i="67"/>
  <c r="F40" i="15"/>
  <c r="I6" i="65"/>
  <c r="E14" i="67"/>
  <c r="B9" i="67"/>
  <c r="F35" i="15"/>
  <c r="F36" i="15"/>
  <c r="F9" i="15"/>
  <c r="J17" i="44"/>
  <c r="M22" i="15"/>
  <c r="J6" i="65"/>
  <c r="M6" i="15"/>
  <c r="F42" i="15"/>
  <c r="J4" i="65"/>
  <c r="E12" i="67"/>
  <c r="E13" i="67"/>
  <c r="M23" i="44"/>
  <c r="J36" i="15"/>
  <c r="F38" i="15"/>
  <c r="F18" i="44"/>
  <c r="F13" i="15"/>
  <c r="L47" i="15"/>
  <c r="J15" i="15"/>
  <c r="F6" i="15"/>
  <c r="I5" i="65"/>
  <c r="E10" i="67"/>
  <c r="E11" i="67"/>
  <c r="M21" i="15"/>
  <c r="F16" i="15"/>
  <c r="F8" i="15"/>
  <c r="M29" i="15"/>
  <c r="M28" i="15"/>
  <c r="F7" i="15"/>
  <c r="E9" i="67"/>
  <c r="F12" i="67"/>
  <c r="M9" i="15"/>
  <c r="M27" i="15"/>
  <c r="F28" i="44"/>
  <c r="F43" i="15"/>
  <c r="F26" i="15"/>
  <c r="I7" i="65"/>
  <c r="F13" i="67"/>
  <c r="F14" i="67"/>
  <c r="M30" i="44"/>
  <c r="E8" i="67"/>
  <c r="E7" i="52" l="1"/>
  <c r="W14" i="39"/>
  <c r="N16" i="4"/>
  <c r="C29" i="12"/>
  <c r="B22" i="52"/>
  <c r="E4" i="52"/>
  <c r="B5" i="52"/>
  <c r="B14" i="52"/>
  <c r="AB43" i="39"/>
  <c r="G15" i="3"/>
  <c r="G14" i="3"/>
  <c r="F28" i="6"/>
  <c r="L27" i="6"/>
  <c r="F30" i="6"/>
  <c r="BL13" i="3"/>
  <c r="AZ13" i="3" s="1"/>
  <c r="BJ5" i="3"/>
  <c r="BE5" i="3"/>
  <c r="E8" i="6" s="1"/>
  <c r="AB11" i="46"/>
  <c r="AB13" i="46" s="1"/>
  <c r="Y11" i="46"/>
  <c r="Y13" i="46" s="1"/>
  <c r="AC11" i="46"/>
  <c r="AC13" i="46" s="1"/>
  <c r="H101" i="46"/>
  <c r="H107" i="46" s="1"/>
  <c r="D101" i="46"/>
  <c r="D106" i="46" s="1"/>
  <c r="G22" i="46"/>
  <c r="AJ11" i="46"/>
  <c r="AJ13" i="46" s="1"/>
  <c r="AF11" i="46"/>
  <c r="AF13" i="46" s="1"/>
  <c r="AG11" i="46"/>
  <c r="AG13" i="46" s="1"/>
  <c r="E22" i="46"/>
  <c r="M101" i="46"/>
  <c r="M107" i="46" s="1"/>
  <c r="I101" i="46"/>
  <c r="I104" i="46" s="1"/>
  <c r="S43" i="39"/>
  <c r="A18" i="51"/>
  <c r="B14" i="63" s="1"/>
  <c r="L5" i="54"/>
  <c r="B39" i="63" s="1"/>
  <c r="K5" i="54"/>
  <c r="B38" i="63" s="1"/>
  <c r="A18" i="64"/>
  <c r="B74" i="63" s="1"/>
  <c r="C53" i="10"/>
  <c r="T41" i="4"/>
  <c r="A17" i="64" s="1"/>
  <c r="E16" i="52"/>
  <c r="E8" i="52"/>
  <c r="B13" i="52"/>
  <c r="E21" i="52"/>
  <c r="C4" i="4" s="1"/>
  <c r="B20" i="55" s="1"/>
  <c r="B70" i="63" s="1"/>
  <c r="E6" i="52"/>
  <c r="A11" i="55"/>
  <c r="B62" i="63" s="1"/>
  <c r="K17" i="4"/>
  <c r="A22" i="51" s="1"/>
  <c r="B16" i="63" s="1"/>
  <c r="L16" i="4"/>
  <c r="G13" i="1"/>
  <c r="G6" i="1"/>
  <c r="O40" i="9"/>
  <c r="R7" i="54" s="1"/>
  <c r="B52" i="63" s="1"/>
  <c r="W43" i="39"/>
  <c r="G95" i="39"/>
  <c r="H21" i="39"/>
  <c r="U21" i="39" s="1"/>
  <c r="F21" i="39"/>
  <c r="J21" i="39"/>
  <c r="AC21" i="39" s="1"/>
  <c r="W41" i="39"/>
  <c r="S34" i="39"/>
  <c r="W29" i="39"/>
  <c r="S29" i="39"/>
  <c r="U27" i="39"/>
  <c r="W27" i="39"/>
  <c r="AB25" i="39"/>
  <c r="S23" i="39"/>
  <c r="AA19" i="39"/>
  <c r="AC17" i="39"/>
  <c r="AB17" i="39"/>
  <c r="S17" i="39"/>
  <c r="E5" i="52"/>
  <c r="B6" i="52"/>
  <c r="B16" i="52"/>
  <c r="B23" i="52"/>
  <c r="E10" i="52"/>
  <c r="E9" i="52"/>
  <c r="B8" i="52"/>
  <c r="B4" i="52"/>
  <c r="B9" i="52"/>
  <c r="B10" i="52"/>
  <c r="B7" i="52"/>
  <c r="E11" i="52"/>
  <c r="E4" i="4" s="1"/>
  <c r="B21" i="55" s="1"/>
  <c r="B72" i="63" s="1"/>
  <c r="M70" i="39"/>
  <c r="K65" i="40"/>
  <c r="L65" i="40" s="1"/>
  <c r="F62" i="15"/>
  <c r="C61" i="15" s="1"/>
  <c r="C34" i="15"/>
  <c r="C36" i="44"/>
  <c r="J22" i="44"/>
  <c r="J20" i="15"/>
  <c r="F63" i="15"/>
  <c r="Q72" i="15"/>
  <c r="F68" i="15"/>
  <c r="F65" i="15"/>
  <c r="F50" i="15"/>
  <c r="L58" i="15"/>
  <c r="L59" i="15"/>
  <c r="F49" i="15"/>
  <c r="M7" i="15"/>
  <c r="J6" i="15" s="1"/>
  <c r="C29" i="44"/>
  <c r="F70" i="15"/>
  <c r="F64" i="15"/>
  <c r="F67" i="15"/>
  <c r="C6" i="15"/>
  <c r="C27" i="15"/>
  <c r="J57" i="15"/>
  <c r="J55" i="15" s="1"/>
  <c r="J58" i="15" s="1"/>
  <c r="Q51" i="15" s="1"/>
  <c r="I54" i="15"/>
  <c r="L56" i="15"/>
  <c r="E20" i="46"/>
  <c r="I14" i="66"/>
  <c r="B8" i="66" s="1"/>
  <c r="O41" i="9"/>
  <c r="R8" i="54" s="1"/>
  <c r="B54" i="63" s="1"/>
  <c r="J46" i="36"/>
  <c r="K46" i="36" s="1"/>
  <c r="L46" i="36" s="1"/>
  <c r="M46" i="36" s="1"/>
  <c r="N46" i="36" s="1"/>
  <c r="O46" i="36" s="1"/>
  <c r="E28" i="6"/>
  <c r="D21" i="12"/>
  <c r="C21" i="12" s="1"/>
  <c r="D12" i="11"/>
  <c r="C12" i="11" s="1"/>
  <c r="W27" i="40"/>
  <c r="H102" i="46"/>
  <c r="H103" i="46"/>
  <c r="D48" i="35"/>
  <c r="H71" i="46"/>
  <c r="H76" i="46"/>
  <c r="H73" i="46"/>
  <c r="H74" i="46"/>
  <c r="H70" i="46"/>
  <c r="AB17" i="40"/>
  <c r="U17" i="40"/>
  <c r="AC37" i="40"/>
  <c r="W37" i="40"/>
  <c r="AC19" i="37"/>
  <c r="W19" i="37"/>
  <c r="W23" i="40"/>
  <c r="AA25" i="40"/>
  <c r="S25" i="40"/>
  <c r="S17" i="34"/>
  <c r="U10" i="33"/>
  <c r="AB10" i="33"/>
  <c r="W35" i="33"/>
  <c r="AC35" i="33"/>
  <c r="AC17" i="34"/>
  <c r="W17" i="34"/>
  <c r="AC23" i="39"/>
  <c r="W23" i="39"/>
  <c r="AB23" i="35"/>
  <c r="AC47" i="39"/>
  <c r="AB14" i="40"/>
  <c r="AC40" i="40"/>
  <c r="W40" i="40"/>
  <c r="AB47" i="39"/>
  <c r="U47" i="39"/>
  <c r="AC45" i="39"/>
  <c r="W45" i="39"/>
  <c r="AA45" i="39"/>
  <c r="S45" i="39"/>
  <c r="AA15" i="39"/>
  <c r="S15" i="39"/>
  <c r="AB41" i="40"/>
  <c r="U41" i="40"/>
  <c r="U16" i="39"/>
  <c r="AB16" i="39"/>
  <c r="AA14" i="39"/>
  <c r="S14" i="39"/>
  <c r="AB22" i="35"/>
  <c r="U22" i="35"/>
  <c r="AC30" i="40"/>
  <c r="W30" i="40"/>
  <c r="AC29" i="35"/>
  <c r="W29" i="35"/>
  <c r="U29" i="39"/>
  <c r="AB29" i="39"/>
  <c r="U44" i="39"/>
  <c r="AB44" i="39"/>
  <c r="W21" i="39"/>
  <c r="W19" i="39"/>
  <c r="AC19" i="39"/>
  <c r="AB40" i="21"/>
  <c r="U40" i="21"/>
  <c r="U37" i="21"/>
  <c r="AB37" i="21"/>
  <c r="AB17" i="21"/>
  <c r="U17" i="21"/>
  <c r="W35" i="34"/>
  <c r="AC35" i="34"/>
  <c r="W40" i="34"/>
  <c r="AC40" i="34"/>
  <c r="AZ365" i="3"/>
  <c r="AZ298" i="3"/>
  <c r="AZ377" i="3"/>
  <c r="S21" i="40"/>
  <c r="AA21" i="40"/>
  <c r="W11" i="37"/>
  <c r="AC11" i="37"/>
  <c r="AA43" i="33"/>
  <c r="S43" i="33"/>
  <c r="AA37" i="37"/>
  <c r="S37" i="37"/>
  <c r="AC32" i="37"/>
  <c r="W32" i="37"/>
  <c r="AA10" i="35"/>
  <c r="S10" i="35"/>
  <c r="U35" i="34"/>
  <c r="AB35" i="34"/>
  <c r="AB28" i="34"/>
  <c r="U28" i="34"/>
  <c r="AC25" i="21"/>
  <c r="W25" i="21"/>
  <c r="U25" i="21"/>
  <c r="AB25" i="21"/>
  <c r="AZ488" i="3"/>
  <c r="AZ516" i="3"/>
  <c r="AZ487" i="3"/>
  <c r="AB13" i="35"/>
  <c r="AC13" i="37"/>
  <c r="W13" i="37"/>
  <c r="AC44" i="33"/>
  <c r="W44" i="33"/>
  <c r="I105" i="46"/>
  <c r="I103" i="46"/>
  <c r="M102" i="46"/>
  <c r="M6" i="1"/>
  <c r="C15" i="43" s="1"/>
  <c r="P10" i="1"/>
  <c r="D52" i="37"/>
  <c r="E59" i="34"/>
  <c r="F7" i="3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P7" i="1"/>
  <c r="AB11" i="34"/>
  <c r="U11" i="34"/>
  <c r="AB23" i="39"/>
  <c r="U23" i="39"/>
  <c r="AB15" i="34"/>
  <c r="U15" i="34"/>
  <c r="W13" i="40"/>
  <c r="AC13" i="40"/>
  <c r="H49" i="46"/>
  <c r="H47" i="46"/>
  <c r="H48" i="46"/>
  <c r="H53" i="46"/>
  <c r="H54" i="46"/>
  <c r="H55" i="46"/>
  <c r="AC34" i="40"/>
  <c r="W34" i="40"/>
  <c r="AC42" i="40"/>
  <c r="W42" i="40"/>
  <c r="U40" i="40"/>
  <c r="AB40" i="40"/>
  <c r="AA47" i="39"/>
  <c r="S47" i="39"/>
  <c r="AA25" i="39"/>
  <c r="S25" i="39"/>
  <c r="AA41" i="40"/>
  <c r="S41" i="40"/>
  <c r="AB15" i="40"/>
  <c r="U15" i="40"/>
  <c r="AB14" i="39"/>
  <c r="U14" i="39"/>
  <c r="S41" i="33"/>
  <c r="AA41" i="33"/>
  <c r="AA38" i="40"/>
  <c r="S38" i="40"/>
  <c r="AZ506" i="3"/>
  <c r="S29" i="35"/>
  <c r="AA29" i="35"/>
  <c r="AC34" i="39"/>
  <c r="W34" i="39"/>
  <c r="W44" i="39"/>
  <c r="AC44" i="39"/>
  <c r="S44" i="39"/>
  <c r="AA44" i="39"/>
  <c r="AC11" i="35"/>
  <c r="W11" i="35"/>
  <c r="S11" i="34"/>
  <c r="AA11" i="34"/>
  <c r="AC17" i="21"/>
  <c r="W17" i="21"/>
  <c r="AA16" i="35"/>
  <c r="S16" i="35"/>
  <c r="AZ379" i="3"/>
  <c r="W15" i="37"/>
  <c r="AC15" i="37"/>
  <c r="S36" i="37"/>
  <c r="AA36" i="37"/>
  <c r="W41" i="34"/>
  <c r="AC41" i="34"/>
  <c r="S22" i="31"/>
  <c r="AZ544" i="3"/>
  <c r="AZ554" i="3"/>
  <c r="AZ558" i="3"/>
  <c r="AZ505" i="3"/>
  <c r="AC36" i="37"/>
  <c r="W36" i="37"/>
  <c r="W27" i="37"/>
  <c r="AC27" i="37"/>
  <c r="AA27" i="37"/>
  <c r="S27" i="37"/>
  <c r="S38" i="37"/>
  <c r="AA38" i="37"/>
  <c r="AA25" i="36"/>
  <c r="S25" i="36"/>
  <c r="U35" i="35"/>
  <c r="AB35" i="35"/>
  <c r="AC35" i="35"/>
  <c r="W35" i="35"/>
  <c r="AA47" i="34"/>
  <c r="S47" i="34"/>
  <c r="AA45" i="34"/>
  <c r="S45" i="34"/>
  <c r="U45" i="34"/>
  <c r="AB45" i="34"/>
  <c r="U29" i="34"/>
  <c r="AB29" i="34"/>
  <c r="AB46" i="33"/>
  <c r="U46" i="33"/>
  <c r="AC46" i="33"/>
  <c r="W46" i="33"/>
  <c r="U40" i="37"/>
  <c r="AB40" i="37"/>
  <c r="G58" i="21"/>
  <c r="G58" i="33"/>
  <c r="AC23" i="36"/>
  <c r="W23" i="36"/>
  <c r="AZ562" i="3"/>
  <c r="BL560" i="3"/>
  <c r="AZ559" i="3"/>
  <c r="BL552" i="3"/>
  <c r="AZ552" i="3" s="1"/>
  <c r="AZ547" i="3"/>
  <c r="BL540" i="3"/>
  <c r="BL538" i="3"/>
  <c r="AZ538" i="3" s="1"/>
  <c r="BL536" i="3"/>
  <c r="AZ536" i="3" s="1"/>
  <c r="BL518" i="3"/>
  <c r="AZ518" i="3" s="1"/>
  <c r="BL508" i="3"/>
  <c r="AZ508" i="3" s="1"/>
  <c r="BL506" i="3"/>
  <c r="G506" i="3"/>
  <c r="BL502" i="3"/>
  <c r="BL500" i="3"/>
  <c r="AZ500" i="3" s="1"/>
  <c r="BL498" i="3"/>
  <c r="G494" i="3"/>
  <c r="AZ493" i="3"/>
  <c r="AZ492" i="3"/>
  <c r="AC27" i="21"/>
  <c r="AC30" i="35"/>
  <c r="W29" i="36"/>
  <c r="S13" i="21"/>
  <c r="BN5" i="3"/>
  <c r="G29" i="6" s="1"/>
  <c r="W44" i="21"/>
  <c r="AA11" i="21"/>
  <c r="AB11" i="21"/>
  <c r="AC34" i="21"/>
  <c r="S44" i="21"/>
  <c r="W19" i="34"/>
  <c r="H26" i="35"/>
  <c r="AC10" i="35"/>
  <c r="U33" i="35"/>
  <c r="AC9" i="35"/>
  <c r="S29" i="36"/>
  <c r="AA28" i="36"/>
  <c r="J16" i="40"/>
  <c r="J33" i="40"/>
  <c r="F33" i="40"/>
  <c r="AB10" i="21"/>
  <c r="AB33" i="21"/>
  <c r="J46" i="39"/>
  <c r="H46" i="39"/>
  <c r="AB10" i="35"/>
  <c r="H11" i="35"/>
  <c r="AB39" i="34"/>
  <c r="AC8" i="33"/>
  <c r="AC5" i="3"/>
  <c r="AB36" i="34"/>
  <c r="AC11" i="36"/>
  <c r="AC29" i="33"/>
  <c r="W37" i="37"/>
  <c r="AA43" i="21"/>
  <c r="AC37" i="33"/>
  <c r="AC36" i="34"/>
  <c r="W23" i="35"/>
  <c r="AZ520" i="3"/>
  <c r="AC13" i="36"/>
  <c r="AA28" i="21"/>
  <c r="AB31" i="21"/>
  <c r="AC31" i="34"/>
  <c r="W31" i="34"/>
  <c r="F44" i="33"/>
  <c r="AB36" i="37"/>
  <c r="S31" i="33"/>
  <c r="AA45" i="21"/>
  <c r="S45" i="21"/>
  <c r="AB46" i="21"/>
  <c r="U46" i="21"/>
  <c r="AB28" i="21"/>
  <c r="U28" i="21"/>
  <c r="AA28" i="34"/>
  <c r="W8" i="35"/>
  <c r="F12" i="36"/>
  <c r="AA22" i="35"/>
  <c r="S22" i="35"/>
  <c r="S33" i="33"/>
  <c r="U9" i="33"/>
  <c r="W41" i="21"/>
  <c r="AA19" i="21"/>
  <c r="S19" i="21"/>
  <c r="AB9" i="21"/>
  <c r="U9" i="21"/>
  <c r="H5" i="3"/>
  <c r="BL572" i="3"/>
  <c r="AZ572" i="3" s="1"/>
  <c r="BG5" i="3"/>
  <c r="E15" i="6" s="1"/>
  <c r="F12" i="21"/>
  <c r="H12" i="21"/>
  <c r="H30" i="21"/>
  <c r="F30" i="21"/>
  <c r="J30" i="21"/>
  <c r="AB33" i="33"/>
  <c r="U33" i="33"/>
  <c r="AA38" i="33"/>
  <c r="S38" i="33"/>
  <c r="AC39" i="34"/>
  <c r="W39" i="34"/>
  <c r="J12" i="35"/>
  <c r="H14" i="33"/>
  <c r="F14" i="33"/>
  <c r="J14" i="33"/>
  <c r="H30" i="33"/>
  <c r="F30" i="33"/>
  <c r="J30" i="33"/>
  <c r="U45" i="33"/>
  <c r="AB45" i="33"/>
  <c r="J34" i="35"/>
  <c r="H34" i="35"/>
  <c r="F34" i="35"/>
  <c r="H12" i="36"/>
  <c r="F23" i="36"/>
  <c r="F32" i="36"/>
  <c r="H32" i="36"/>
  <c r="J32" i="36"/>
  <c r="AC39" i="37"/>
  <c r="W39" i="37"/>
  <c r="S27" i="33"/>
  <c r="AA27" i="33"/>
  <c r="U13" i="21"/>
  <c r="AB13" i="21"/>
  <c r="U14" i="21"/>
  <c r="AB14" i="21"/>
  <c r="AC33" i="33"/>
  <c r="W33" i="33"/>
  <c r="AC40" i="33"/>
  <c r="W40" i="33"/>
  <c r="U8" i="36"/>
  <c r="AB8" i="36"/>
  <c r="AB26" i="36"/>
  <c r="U26" i="36"/>
  <c r="H25" i="37"/>
  <c r="J25" i="37"/>
  <c r="F25" i="37"/>
  <c r="AA40" i="33"/>
  <c r="S40" i="33"/>
  <c r="BA566" i="3"/>
  <c r="AZ566" i="3" s="1"/>
  <c r="BA565" i="3"/>
  <c r="AZ565" i="3" s="1"/>
  <c r="BL563" i="3"/>
  <c r="AZ563" i="3" s="1"/>
  <c r="BL561" i="3"/>
  <c r="AZ561" i="3" s="1"/>
  <c r="BA560" i="3"/>
  <c r="AZ560" i="3" s="1"/>
  <c r="BL551" i="3"/>
  <c r="BA551" i="3"/>
  <c r="BA540" i="3"/>
  <c r="AZ540" i="3" s="1"/>
  <c r="BA532" i="3"/>
  <c r="AZ532" i="3" s="1"/>
  <c r="BA524" i="3"/>
  <c r="AZ524" i="3" s="1"/>
  <c r="BA512" i="3"/>
  <c r="AZ512" i="3" s="1"/>
  <c r="BA502" i="3"/>
  <c r="AZ502" i="3" s="1"/>
  <c r="BL501" i="3"/>
  <c r="BA501" i="3"/>
  <c r="AZ501" i="3" s="1"/>
  <c r="BA498" i="3"/>
  <c r="BL483" i="3"/>
  <c r="BL5" i="3" s="1"/>
  <c r="G536" i="3"/>
  <c r="G524" i="3"/>
  <c r="G512" i="3"/>
  <c r="G489" i="3"/>
  <c r="G481" i="3"/>
  <c r="AZ392" i="3"/>
  <c r="AZ397" i="3"/>
  <c r="AZ424" i="3"/>
  <c r="AZ470" i="3"/>
  <c r="I1" i="65"/>
  <c r="AZ405" i="3"/>
  <c r="AZ411" i="3"/>
  <c r="AZ417" i="3"/>
  <c r="AZ427" i="3"/>
  <c r="AZ432" i="3"/>
  <c r="AZ443" i="3"/>
  <c r="AZ447" i="3"/>
  <c r="AZ462" i="3"/>
  <c r="AZ465" i="3"/>
  <c r="G17" i="46"/>
  <c r="C16" i="46" s="1"/>
  <c r="C5" i="46" s="1"/>
  <c r="A30" i="64"/>
  <c r="A30" i="51"/>
  <c r="B22" i="63" s="1"/>
  <c r="AZ473" i="3"/>
  <c r="AZ318" i="3"/>
  <c r="AZ334" i="3"/>
  <c r="AZ350" i="3"/>
  <c r="AZ208" i="3"/>
  <c r="AZ211" i="3"/>
  <c r="AZ224" i="3"/>
  <c r="AZ227" i="3"/>
  <c r="AZ240" i="3"/>
  <c r="AZ243" i="3"/>
  <c r="AZ387" i="3"/>
  <c r="AZ256" i="3"/>
  <c r="AZ275" i="3"/>
  <c r="AZ279" i="3"/>
  <c r="AZ291" i="3"/>
  <c r="AZ294" i="3"/>
  <c r="AZ113" i="3"/>
  <c r="AZ116" i="3"/>
  <c r="AZ129" i="3"/>
  <c r="AZ132" i="3"/>
  <c r="AZ145" i="3"/>
  <c r="AZ148" i="3"/>
  <c r="AZ25" i="3"/>
  <c r="AZ30" i="3"/>
  <c r="AZ41" i="3"/>
  <c r="AZ46" i="3"/>
  <c r="AZ57" i="3"/>
  <c r="AZ62" i="3"/>
  <c r="AZ65" i="3"/>
  <c r="AZ68" i="3"/>
  <c r="AZ75" i="3"/>
  <c r="AZ81" i="3"/>
  <c r="AZ85" i="3"/>
  <c r="AZ88" i="3"/>
  <c r="AZ95" i="3"/>
  <c r="D1" i="57"/>
  <c r="E10" i="57" s="1"/>
  <c r="C30" i="59"/>
  <c r="D30" i="59" s="1"/>
  <c r="D29" i="59"/>
  <c r="AZ104" i="3"/>
  <c r="AZ108" i="3"/>
  <c r="O49" i="59"/>
  <c r="O48" i="59"/>
  <c r="D49" i="59"/>
  <c r="D33" i="59"/>
  <c r="C34" i="59"/>
  <c r="B54" i="46"/>
  <c r="C27" i="40"/>
  <c r="S27" i="40"/>
  <c r="S21" i="34"/>
  <c r="S18" i="35"/>
  <c r="D50" i="59"/>
  <c r="Y3" i="59"/>
  <c r="Z3" i="59" s="1"/>
  <c r="Y11" i="59"/>
  <c r="Z11" i="59" s="1"/>
  <c r="Y10" i="59"/>
  <c r="Z10" i="59" s="1"/>
  <c r="Y9" i="59"/>
  <c r="Z9" i="59" s="1"/>
  <c r="Y8" i="59"/>
  <c r="Z8" i="59" s="1"/>
  <c r="AA10" i="59"/>
  <c r="AA8" i="59"/>
  <c r="X11" i="59"/>
  <c r="X9" i="59"/>
  <c r="X3" i="59"/>
  <c r="B13" i="59"/>
  <c r="B14" i="59" s="1"/>
  <c r="B15" i="59" s="1"/>
  <c r="S15" i="59" s="1"/>
  <c r="C13" i="59"/>
  <c r="AA12" i="59"/>
  <c r="AB12" i="59"/>
  <c r="Y13" i="59"/>
  <c r="Z13" i="59" s="1"/>
  <c r="AB13" i="59"/>
  <c r="Y14" i="59"/>
  <c r="Z14" i="59" s="1"/>
  <c r="AB14" i="59"/>
  <c r="Y15" i="59"/>
  <c r="Z15" i="59" s="1"/>
  <c r="AB15" i="59"/>
  <c r="X16" i="59"/>
  <c r="Y16" i="59"/>
  <c r="Z16" i="59" s="1"/>
  <c r="E17" i="59"/>
  <c r="E18" i="59" s="1"/>
  <c r="E19" i="59" s="1"/>
  <c r="U19" i="59" s="1"/>
  <c r="F17" i="59"/>
  <c r="F18" i="59" s="1"/>
  <c r="F19" i="59" s="1"/>
  <c r="V19" i="59" s="1"/>
  <c r="X17" i="59"/>
  <c r="X18" i="59"/>
  <c r="AA18" i="59"/>
  <c r="X19" i="59"/>
  <c r="AA19" i="59"/>
  <c r="B21" i="59"/>
  <c r="B22" i="59" s="1"/>
  <c r="B23" i="59" s="1"/>
  <c r="S23" i="59" s="1"/>
  <c r="C21" i="59"/>
  <c r="AA20" i="59"/>
  <c r="Y21" i="59"/>
  <c r="Z21" i="59" s="1"/>
  <c r="AA7" i="59"/>
  <c r="K13" i="1"/>
  <c r="M13" i="1" s="1"/>
  <c r="K12" i="1"/>
  <c r="J53" i="15"/>
  <c r="D100" i="46"/>
  <c r="D23" i="15"/>
  <c r="Q49" i="59"/>
  <c r="Q48" i="59"/>
  <c r="D11" i="59"/>
  <c r="T11" i="59"/>
  <c r="C10" i="59"/>
  <c r="AD12" i="46"/>
  <c r="AH12" i="46"/>
  <c r="AH13" i="46" s="1"/>
  <c r="C5" i="59"/>
  <c r="D5" i="59" s="1"/>
  <c r="D6" i="59"/>
  <c r="F6" i="59"/>
  <c r="F5" i="59" s="1"/>
  <c r="V7" i="59"/>
  <c r="Y6" i="59"/>
  <c r="Z6" i="59" s="1"/>
  <c r="AB6" i="59"/>
  <c r="AA5" i="59"/>
  <c r="B11" i="59"/>
  <c r="X6" i="59"/>
  <c r="A28" i="64"/>
  <c r="U7" i="59"/>
  <c r="F10" i="59"/>
  <c r="F9" i="59" s="1"/>
  <c r="O76" i="9"/>
  <c r="K76" i="9"/>
  <c r="K77" i="9" s="1"/>
  <c r="K79" i="9" s="1"/>
  <c r="K81" i="9" s="1"/>
  <c r="E11" i="59"/>
  <c r="X7" i="59"/>
  <c r="X5" i="59"/>
  <c r="AA6" i="59"/>
  <c r="Y5" i="59"/>
  <c r="Z5" i="59" s="1"/>
  <c r="AB5" i="59"/>
  <c r="Y7" i="59"/>
  <c r="Z7" i="59" s="1"/>
  <c r="AB7" i="59"/>
  <c r="F58" i="15"/>
  <c r="M17" i="15"/>
  <c r="F33" i="44"/>
  <c r="M26" i="44"/>
  <c r="L49" i="44"/>
  <c r="C17" i="15"/>
  <c r="F11" i="44"/>
  <c r="M24" i="44"/>
  <c r="F46" i="44"/>
  <c r="C18" i="44"/>
  <c r="N5" i="65"/>
  <c r="N7" i="65"/>
  <c r="M11" i="44"/>
  <c r="E2" i="65"/>
  <c r="J3" i="65"/>
  <c r="J5" i="65"/>
  <c r="M25" i="44"/>
  <c r="F43" i="44"/>
  <c r="F10" i="44"/>
  <c r="N4" i="65"/>
  <c r="F15" i="44"/>
  <c r="N6" i="65"/>
  <c r="M29" i="44"/>
  <c r="F9" i="44"/>
  <c r="C16" i="15"/>
  <c r="F45" i="44"/>
  <c r="F40" i="44"/>
  <c r="N3" i="65"/>
  <c r="L48" i="44"/>
  <c r="I106" i="46" l="1"/>
  <c r="E53" i="40"/>
  <c r="E58" i="39"/>
  <c r="F27" i="6"/>
  <c r="F31" i="6" s="1"/>
  <c r="AB21" i="39"/>
  <c r="M106" i="46"/>
  <c r="D105" i="46"/>
  <c r="M109" i="46"/>
  <c r="D107" i="46"/>
  <c r="D22" i="46"/>
  <c r="AD13" i="46"/>
  <c r="M103" i="46"/>
  <c r="M104" i="46"/>
  <c r="M105" i="46"/>
  <c r="H104" i="46"/>
  <c r="H106" i="46"/>
  <c r="H105" i="46"/>
  <c r="H109" i="46"/>
  <c r="I102" i="46"/>
  <c r="I107" i="46"/>
  <c r="I109" i="46"/>
  <c r="D104" i="46"/>
  <c r="D103" i="46"/>
  <c r="D102" i="46"/>
  <c r="D109" i="46"/>
  <c r="A3" i="55"/>
  <c r="B56" i="63" s="1"/>
  <c r="A17" i="51"/>
  <c r="B13" i="63" s="1"/>
  <c r="A25" i="64"/>
  <c r="A25" i="51"/>
  <c r="B18" i="63" s="1"/>
  <c r="S21" i="39"/>
  <c r="AA21" i="39"/>
  <c r="K67" i="40"/>
  <c r="N70" i="39"/>
  <c r="N72" i="39" s="1"/>
  <c r="M72" i="39"/>
  <c r="M65" i="40"/>
  <c r="L67" i="40"/>
  <c r="Q73" i="44"/>
  <c r="M9" i="44"/>
  <c r="I55" i="44"/>
  <c r="J60" i="44"/>
  <c r="L57" i="44"/>
  <c r="J61" i="44"/>
  <c r="Q50" i="44" s="1"/>
  <c r="J58" i="44"/>
  <c r="J56" i="44" s="1"/>
  <c r="J59" i="44" s="1"/>
  <c r="Q52" i="44" s="1"/>
  <c r="J54" i="44"/>
  <c r="J1" i="65"/>
  <c r="C4" i="65"/>
  <c r="B39" i="1" s="1"/>
  <c r="B40" i="1"/>
  <c r="C8" i="44"/>
  <c r="L59" i="44"/>
  <c r="L60" i="44"/>
  <c r="E62" i="40"/>
  <c r="E67" i="39"/>
  <c r="B10" i="59"/>
  <c r="B9" i="59" s="1"/>
  <c r="S11" i="59"/>
  <c r="C9" i="59"/>
  <c r="D9" i="59" s="1"/>
  <c r="D10" i="59"/>
  <c r="M12" i="1"/>
  <c r="Q16" i="1"/>
  <c r="AP16" i="1"/>
  <c r="F22" i="11" s="1"/>
  <c r="C22" i="59"/>
  <c r="D21" i="59"/>
  <c r="AA25" i="37"/>
  <c r="S25" i="37"/>
  <c r="U25" i="37"/>
  <c r="AB25" i="37"/>
  <c r="AB32" i="36"/>
  <c r="U32" i="36"/>
  <c r="AA23" i="36"/>
  <c r="S23" i="36"/>
  <c r="S34" i="35"/>
  <c r="AA34" i="35"/>
  <c r="AC34" i="35"/>
  <c r="W34" i="35"/>
  <c r="S30" i="33"/>
  <c r="AA30" i="33"/>
  <c r="W14" i="33"/>
  <c r="AC14" i="33"/>
  <c r="AB14" i="33"/>
  <c r="U14" i="33"/>
  <c r="W30" i="21"/>
  <c r="AC30" i="21"/>
  <c r="U30" i="21"/>
  <c r="AB30" i="21"/>
  <c r="S12" i="21"/>
  <c r="AA12" i="21"/>
  <c r="S44" i="33"/>
  <c r="AA44" i="33"/>
  <c r="U11" i="35"/>
  <c r="AB11" i="35"/>
  <c r="AB46" i="39"/>
  <c r="U46" i="39"/>
  <c r="AA33" i="40"/>
  <c r="S33" i="40"/>
  <c r="AC16" i="40"/>
  <c r="W16" i="40"/>
  <c r="AB26" i="35"/>
  <c r="U26" i="35"/>
  <c r="H58" i="33"/>
  <c r="H58" i="21"/>
  <c r="I58" i="21" s="1"/>
  <c r="J58" i="21" s="1"/>
  <c r="K58" i="21" s="1"/>
  <c r="L58" i="21" s="1"/>
  <c r="M58" i="21" s="1"/>
  <c r="N58" i="21" s="1"/>
  <c r="O58" i="21" s="1"/>
  <c r="C104" i="46"/>
  <c r="C107" i="46"/>
  <c r="C109" i="46"/>
  <c r="C103" i="46"/>
  <c r="C106" i="46"/>
  <c r="C105" i="46"/>
  <c r="C102" i="46"/>
  <c r="J107" i="46"/>
  <c r="J106" i="46"/>
  <c r="J104" i="46"/>
  <c r="J105" i="46"/>
  <c r="J109" i="46"/>
  <c r="J102" i="46"/>
  <c r="J103" i="46"/>
  <c r="N103" i="46"/>
  <c r="N104" i="46"/>
  <c r="N106" i="46"/>
  <c r="N102" i="46"/>
  <c r="N109" i="46"/>
  <c r="N105" i="46"/>
  <c r="N107" i="46"/>
  <c r="O6" i="1"/>
  <c r="P6" i="1" s="1"/>
  <c r="C15" i="12" s="1"/>
  <c r="AZ483" i="3"/>
  <c r="G16" i="1"/>
  <c r="H7" i="36"/>
  <c r="J7" i="36"/>
  <c r="K34" i="9"/>
  <c r="P17" i="46"/>
  <c r="N17" i="46"/>
  <c r="O17" i="46"/>
  <c r="M17" i="46"/>
  <c r="Q62" i="15"/>
  <c r="Q75" i="15"/>
  <c r="C48" i="15"/>
  <c r="U11" i="59"/>
  <c r="E10" i="59"/>
  <c r="E9" i="59" s="1"/>
  <c r="F1" i="15"/>
  <c r="Q53" i="15"/>
  <c r="O13" i="1"/>
  <c r="P13" i="1" s="1"/>
  <c r="C14" i="59"/>
  <c r="D13" i="59"/>
  <c r="C35" i="59"/>
  <c r="D34" i="59"/>
  <c r="AZ498" i="3"/>
  <c r="AZ5" i="3" s="1"/>
  <c r="BA5" i="3"/>
  <c r="E27" i="6" s="1"/>
  <c r="K26" i="6" s="1"/>
  <c r="M26" i="6" s="1"/>
  <c r="I26" i="6" s="1"/>
  <c r="S26" i="6" s="1"/>
  <c r="AZ551" i="3"/>
  <c r="W25" i="37"/>
  <c r="AC25" i="37"/>
  <c r="W32" i="36"/>
  <c r="AC32" i="36"/>
  <c r="S32" i="36"/>
  <c r="AA32" i="36"/>
  <c r="U12" i="36"/>
  <c r="AB12" i="36"/>
  <c r="AB34" i="35"/>
  <c r="U34" i="35"/>
  <c r="W30" i="33"/>
  <c r="AC30" i="33"/>
  <c r="AB30" i="33"/>
  <c r="U30" i="33"/>
  <c r="AA14" i="33"/>
  <c r="S14" i="33"/>
  <c r="W12" i="35"/>
  <c r="AC12" i="35"/>
  <c r="S30" i="21"/>
  <c r="AA30" i="21"/>
  <c r="U12" i="21"/>
  <c r="AB12" i="21"/>
  <c r="E10" i="6"/>
  <c r="E11" i="6"/>
  <c r="E12" i="6"/>
  <c r="S12" i="36"/>
  <c r="AA12" i="36"/>
  <c r="AC46" i="39"/>
  <c r="W46" i="39"/>
  <c r="AC33" i="40"/>
  <c r="W33" i="40"/>
  <c r="E29" i="6"/>
  <c r="K15" i="1" s="1"/>
  <c r="G30" i="6"/>
  <c r="G31" i="6" s="1"/>
  <c r="B20" i="31"/>
  <c r="R22" i="31"/>
  <c r="B21" i="31" s="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3" i="46"/>
  <c r="K105" i="46"/>
  <c r="F106" i="46"/>
  <c r="F103" i="46"/>
  <c r="F104" i="46"/>
  <c r="F109" i="46"/>
  <c r="F102" i="46"/>
  <c r="F107" i="46"/>
  <c r="F105" i="46"/>
  <c r="AA7" i="36"/>
  <c r="R36" i="36" s="1"/>
  <c r="S7" i="36"/>
  <c r="F59" i="34"/>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H7" i="37"/>
  <c r="G5" i="3"/>
  <c r="B3" i="3" s="1"/>
  <c r="E489" i="3" s="1"/>
  <c r="E13" i="6"/>
  <c r="E14" i="6"/>
  <c r="E48" i="35"/>
  <c r="F48" i="35" s="1"/>
  <c r="G48" i="35" s="1"/>
  <c r="H48" i="35" s="1"/>
  <c r="I48" i="35" s="1"/>
  <c r="J48" i="35" s="1"/>
  <c r="K48" i="35" s="1"/>
  <c r="L48" i="35" s="1"/>
  <c r="M48" i="35" s="1"/>
  <c r="N48" i="35" s="1"/>
  <c r="O48" i="35" s="1"/>
  <c r="H7" i="35"/>
  <c r="K23" i="6"/>
  <c r="M23" i="6" s="1"/>
  <c r="I23" i="6" s="1"/>
  <c r="S23" i="6" s="1"/>
  <c r="K20" i="6"/>
  <c r="K14" i="1"/>
  <c r="M14" i="1" s="1"/>
  <c r="H16" i="1"/>
  <c r="Q74" i="15"/>
  <c r="Q61" i="15"/>
  <c r="M19" i="44"/>
  <c r="E3" i="65"/>
  <c r="K21" i="6" l="1"/>
  <c r="K24" i="6"/>
  <c r="M24" i="6" s="1"/>
  <c r="I24" i="6" s="1"/>
  <c r="S24" i="6" s="1"/>
  <c r="M20" i="6"/>
  <c r="I20" i="6" s="1"/>
  <c r="S20" i="6" s="1"/>
  <c r="S7" i="1"/>
  <c r="E30" i="6"/>
  <c r="K19" i="6"/>
  <c r="S6" i="1" s="1"/>
  <c r="K25" i="6"/>
  <c r="M25" i="6" s="1"/>
  <c r="I25" i="6" s="1"/>
  <c r="S25" i="6" s="1"/>
  <c r="K22" i="6"/>
  <c r="S2" i="46"/>
  <c r="S7" i="46"/>
  <c r="S6" i="46"/>
  <c r="S5" i="46"/>
  <c r="S3" i="46"/>
  <c r="S4" i="46"/>
  <c r="J7" i="35"/>
  <c r="J7" i="21"/>
  <c r="F7" i="21"/>
  <c r="L47" i="44"/>
  <c r="N65" i="40"/>
  <c r="N67" i="40" s="1"/>
  <c r="M67" i="40"/>
  <c r="F9" i="39"/>
  <c r="H9" i="39"/>
  <c r="J9" i="39"/>
  <c r="F9" i="40"/>
  <c r="F17" i="11"/>
  <c r="C17" i="11" s="1"/>
  <c r="E3" i="6"/>
  <c r="AY6" i="3"/>
  <c r="M19" i="6"/>
  <c r="K27" i="6"/>
  <c r="O14" i="1"/>
  <c r="P14" i="1" s="1"/>
  <c r="AB7" i="35"/>
  <c r="T38" i="35" s="1"/>
  <c r="G38" i="35" s="1"/>
  <c r="U7" i="35"/>
  <c r="E65" i="39"/>
  <c r="E60" i="40"/>
  <c r="K16" i="1"/>
  <c r="F7" i="37"/>
  <c r="H7" i="34"/>
  <c r="J7" i="34"/>
  <c r="E36" i="36"/>
  <c r="R37" i="36"/>
  <c r="E64" i="39"/>
  <c r="E59" i="40"/>
  <c r="E16" i="6"/>
  <c r="E31" i="6"/>
  <c r="E536" i="3"/>
  <c r="E481" i="3"/>
  <c r="W7" i="36"/>
  <c r="AC7" i="36"/>
  <c r="V36" i="36" s="1"/>
  <c r="I36" i="36" s="1"/>
  <c r="H7" i="21"/>
  <c r="E506" i="3"/>
  <c r="O12" i="1"/>
  <c r="P12" i="1" s="1"/>
  <c r="J7" i="37"/>
  <c r="F7" i="34"/>
  <c r="Q75" i="44"/>
  <c r="Q62" i="44"/>
  <c r="F11" i="15"/>
  <c r="F13" i="44"/>
  <c r="C12" i="44" s="1"/>
  <c r="C7" i="44" s="1"/>
  <c r="M11" i="15"/>
  <c r="J10" i="15" s="1"/>
  <c r="J5" i="15" s="1"/>
  <c r="M13" i="44"/>
  <c r="J12" i="44" s="1"/>
  <c r="Q54" i="44"/>
  <c r="F1" i="44"/>
  <c r="J8" i="44"/>
  <c r="AC7" i="35"/>
  <c r="V38" i="35" s="1"/>
  <c r="I38" i="35" s="1"/>
  <c r="W7" i="35"/>
  <c r="E66" i="39"/>
  <c r="E61" i="40"/>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6" i="3"/>
  <c r="E376" i="3"/>
  <c r="E149" i="3"/>
  <c r="E187" i="3"/>
  <c r="E131" i="3"/>
  <c r="E387" i="3"/>
  <c r="E295" i="3"/>
  <c r="E253" i="3"/>
  <c r="E237" i="3"/>
  <c r="E294" i="3"/>
  <c r="E249" i="3"/>
  <c r="E225" i="3"/>
  <c r="E304" i="3"/>
  <c r="R6" i="3"/>
  <c r="E89" i="3"/>
  <c r="E428" i="3"/>
  <c r="E21" i="3"/>
  <c r="E199" i="3"/>
  <c r="E165" i="3"/>
  <c r="E125" i="3"/>
  <c r="E201" i="3"/>
  <c r="E54" i="3"/>
  <c r="E100" i="3"/>
  <c r="E64" i="3"/>
  <c r="E460" i="3"/>
  <c r="E423" i="3"/>
  <c r="E404" i="3"/>
  <c r="AH6" i="3"/>
  <c r="E170" i="3"/>
  <c r="E452"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40" i="3"/>
  <c r="E513" i="3"/>
  <c r="E160" i="3"/>
  <c r="E134" i="3"/>
  <c r="E345" i="3"/>
  <c r="E242" i="3"/>
  <c r="E281" i="3"/>
  <c r="AI6" i="3"/>
  <c r="E72" i="3"/>
  <c r="E133" i="3"/>
  <c r="E290" i="3"/>
  <c r="E239" i="3"/>
  <c r="E440" i="3"/>
  <c r="E87" i="3"/>
  <c r="AF6" i="3"/>
  <c r="E234" i="3"/>
  <c r="E331" i="3"/>
  <c r="E458" i="3"/>
  <c r="E40" i="3"/>
  <c r="E128" i="3"/>
  <c r="E29" i="3"/>
  <c r="E559" i="3"/>
  <c r="E176" i="3"/>
  <c r="E150" i="3"/>
  <c r="E256" i="3"/>
  <c r="E228" i="3"/>
  <c r="E525" i="3"/>
  <c r="K6" i="3"/>
  <c r="E456" i="3"/>
  <c r="E325" i="3"/>
  <c r="E286" i="3"/>
  <c r="E569" i="3"/>
  <c r="E396" i="3"/>
  <c r="E50" i="3"/>
  <c r="E183" i="3"/>
  <c r="AJ6" i="3"/>
  <c r="E216" i="3"/>
  <c r="E236" i="3"/>
  <c r="E320" i="3"/>
  <c r="E392" i="3"/>
  <c r="E474" i="3"/>
  <c r="E45" i="3"/>
  <c r="E15" i="3"/>
  <c r="E171" i="3"/>
  <c r="E284" i="3"/>
  <c r="E251" i="3"/>
  <c r="E360" i="3"/>
  <c r="E42" i="3"/>
  <c r="E56" i="3"/>
  <c r="T6" i="3"/>
  <c r="E531" i="3"/>
  <c r="E181" i="3"/>
  <c r="E122" i="3"/>
  <c r="E495" i="3"/>
  <c r="E269" i="3"/>
  <c r="E208" i="3"/>
  <c r="E219" i="3"/>
  <c r="E344" i="3"/>
  <c r="E485" i="3"/>
  <c r="E366" i="3"/>
  <c r="E518" i="3"/>
  <c r="E532" i="3"/>
  <c r="E497" i="3"/>
  <c r="E167" i="3"/>
  <c r="E521" i="3"/>
  <c r="E553" i="3"/>
  <c r="E496" i="3"/>
  <c r="E130" i="3"/>
  <c r="E273" i="3"/>
  <c r="E352" i="3"/>
  <c r="E461" i="3"/>
  <c r="E563" i="3"/>
  <c r="E138" i="3"/>
  <c r="E254" i="3"/>
  <c r="E328" i="3"/>
  <c r="E112" i="3"/>
  <c r="E519" i="3"/>
  <c r="E341" i="3"/>
  <c r="E155" i="3"/>
  <c r="E268" i="3"/>
  <c r="E252" i="3"/>
  <c r="E175" i="3"/>
  <c r="E541" i="3"/>
  <c r="E565" i="3"/>
  <c r="E523" i="3"/>
  <c r="E557" i="3"/>
  <c r="E50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380" i="3"/>
  <c r="E144" i="3"/>
  <c r="E132" i="3"/>
  <c r="E353" i="3"/>
  <c r="E483" i="3"/>
  <c r="E562" i="3"/>
  <c r="E539" i="3"/>
  <c r="E561" i="3"/>
  <c r="E571" i="3"/>
  <c r="E354" i="3"/>
  <c r="E346" i="3"/>
  <c r="E334" i="3"/>
  <c r="E318" i="3"/>
  <c r="E314" i="3"/>
  <c r="E324" i="3"/>
  <c r="E537" i="3"/>
  <c r="E373" i="3"/>
  <c r="E542" i="3"/>
  <c r="E554" i="3"/>
  <c r="E566" i="3"/>
  <c r="E515" i="3"/>
  <c r="E13" i="3"/>
  <c r="E374" i="3"/>
  <c r="E340" i="3"/>
  <c r="E198" i="3"/>
  <c r="E140" i="3"/>
  <c r="E321" i="3"/>
  <c r="E544" i="3"/>
  <c r="E549" i="3"/>
  <c r="E350" i="3"/>
  <c r="E338" i="3"/>
  <c r="E330" i="3"/>
  <c r="E316" i="3"/>
  <c r="E335" i="3"/>
  <c r="E319" i="3"/>
  <c r="E362" i="3"/>
  <c r="E526" i="3"/>
  <c r="E546" i="3"/>
  <c r="E502" i="3"/>
  <c r="E491" i="3"/>
  <c r="AB7" i="37"/>
  <c r="T42" i="37" s="1"/>
  <c r="G42" i="37" s="1"/>
  <c r="U7" i="37"/>
  <c r="C115" i="46"/>
  <c r="D113" i="46" s="1"/>
  <c r="W7" i="21"/>
  <c r="AC7" i="21"/>
  <c r="V48" i="21" s="1"/>
  <c r="I48" i="21" s="1"/>
  <c r="E494" i="3"/>
  <c r="E58" i="40"/>
  <c r="E63" i="39"/>
  <c r="E512" i="3"/>
  <c r="T35" i="59"/>
  <c r="D35" i="59"/>
  <c r="C15" i="59"/>
  <c r="D14" i="59"/>
  <c r="AB7" i="36"/>
  <c r="T36" i="36" s="1"/>
  <c r="G36" i="36" s="1"/>
  <c r="U7" i="36"/>
  <c r="H12" i="39"/>
  <c r="F12" i="39"/>
  <c r="J12" i="40"/>
  <c r="J12" i="39"/>
  <c r="H12" i="40"/>
  <c r="F12" i="40"/>
  <c r="M16" i="1"/>
  <c r="O16" i="1"/>
  <c r="AA7" i="21"/>
  <c r="R48" i="21" s="1"/>
  <c r="S7" i="21"/>
  <c r="I58" i="33"/>
  <c r="E524" i="3"/>
  <c r="C23" i="59"/>
  <c r="D22" i="59"/>
  <c r="F18" i="11"/>
  <c r="C18" i="11" s="1"/>
  <c r="F33" i="12"/>
  <c r="C34" i="12" s="1"/>
  <c r="D33" i="12" s="1"/>
  <c r="F24" i="43"/>
  <c r="C26" i="43" s="1"/>
  <c r="D24" i="43" s="1"/>
  <c r="F7" i="35"/>
  <c r="Q63" i="44"/>
  <c r="Q76" i="44"/>
  <c r="F24" i="15"/>
  <c r="C24" i="15" s="1"/>
  <c r="F26" i="44"/>
  <c r="C26" i="44" s="1"/>
  <c r="F26" i="12"/>
  <c r="C27" i="12" s="1"/>
  <c r="D26" i="12" s="1"/>
  <c r="C32" i="12" s="1"/>
  <c r="D30" i="12" s="1"/>
  <c r="F21" i="43"/>
  <c r="C23" i="43" s="1"/>
  <c r="D21" i="43" s="1"/>
  <c r="M22" i="6" l="1"/>
  <c r="I22" i="6" s="1"/>
  <c r="S22" i="6" s="1"/>
  <c r="S9" i="1"/>
  <c r="M21" i="6"/>
  <c r="I21" i="6" s="1"/>
  <c r="S21" i="6" s="1"/>
  <c r="S8" i="1"/>
  <c r="P16" i="1"/>
  <c r="C13" i="12" s="1"/>
  <c r="C17" i="12" s="1"/>
  <c r="AC6" i="3"/>
  <c r="H6" i="3"/>
  <c r="S9" i="40"/>
  <c r="AA9" i="40"/>
  <c r="R44" i="40" s="1"/>
  <c r="AB9" i="39"/>
  <c r="U9" i="39"/>
  <c r="H9" i="40"/>
  <c r="J9" i="40"/>
  <c r="W9" i="39"/>
  <c r="AC9" i="39"/>
  <c r="AA9" i="39"/>
  <c r="S9" i="39"/>
  <c r="C40" i="44"/>
  <c r="C34" i="44"/>
  <c r="T23" i="59"/>
  <c r="D23" i="59"/>
  <c r="AA7" i="35"/>
  <c r="R38" i="35" s="1"/>
  <c r="S7" i="35"/>
  <c r="J58" i="33"/>
  <c r="R49" i="21"/>
  <c r="E48" i="21"/>
  <c r="I53" i="21" s="1"/>
  <c r="J53" i="21" s="1"/>
  <c r="C13" i="43"/>
  <c r="N16" i="1"/>
  <c r="C29" i="43" s="1"/>
  <c r="L16" i="1"/>
  <c r="AB12" i="40"/>
  <c r="U12" i="40"/>
  <c r="W12" i="40"/>
  <c r="AC12" i="40"/>
  <c r="AB12" i="39"/>
  <c r="U12" i="39"/>
  <c r="G41" i="36"/>
  <c r="H41" i="36" s="1"/>
  <c r="G40" i="36"/>
  <c r="H40" i="36" s="1"/>
  <c r="T15" i="59"/>
  <c r="D15" i="59"/>
  <c r="G46" i="37"/>
  <c r="H46" i="37" s="1"/>
  <c r="J7" i="44"/>
  <c r="J18" i="15"/>
  <c r="J24" i="15"/>
  <c r="J26" i="15"/>
  <c r="J29" i="15" s="1"/>
  <c r="C52" i="15"/>
  <c r="C47" i="15" s="1"/>
  <c r="C10" i="15"/>
  <c r="C5" i="15" s="1"/>
  <c r="W7" i="37"/>
  <c r="AC7" i="37"/>
  <c r="V42" i="37" s="1"/>
  <c r="I42" i="37" s="1"/>
  <c r="AB7" i="21"/>
  <c r="T48" i="21" s="1"/>
  <c r="G48" i="21" s="1"/>
  <c r="U7" i="21"/>
  <c r="C37" i="36"/>
  <c r="B3" i="36" s="1"/>
  <c r="B2" i="36" s="1"/>
  <c r="C36" i="36"/>
  <c r="W7" i="34"/>
  <c r="AC7" i="34"/>
  <c r="V49" i="34" s="1"/>
  <c r="I49" i="34" s="1"/>
  <c r="AA7" i="37"/>
  <c r="R42" i="37" s="1"/>
  <c r="S7" i="37"/>
  <c r="D16" i="43"/>
  <c r="C16" i="43" s="1"/>
  <c r="D16" i="12"/>
  <c r="E6" i="6"/>
  <c r="L38" i="9"/>
  <c r="B14" i="66" s="1"/>
  <c r="B1" i="66" s="1"/>
  <c r="D45" i="9"/>
  <c r="D46" i="9"/>
  <c r="C21" i="4"/>
  <c r="O5" i="54" s="1"/>
  <c r="B45" i="63" s="1"/>
  <c r="D10" i="11"/>
  <c r="AA12" i="40"/>
  <c r="S12" i="40"/>
  <c r="AC12" i="39"/>
  <c r="W12" i="39"/>
  <c r="S12" i="39"/>
  <c r="AA12" i="39"/>
  <c r="I52" i="21"/>
  <c r="J52" i="21" s="1"/>
  <c r="I42" i="35"/>
  <c r="J42" i="35" s="1"/>
  <c r="S7" i="34"/>
  <c r="AA7" i="34"/>
  <c r="R49" i="34" s="1"/>
  <c r="I40" i="36"/>
  <c r="J40" i="36" s="1"/>
  <c r="I41" i="36"/>
  <c r="J41" i="36" s="1"/>
  <c r="E40" i="36"/>
  <c r="F40" i="36" s="1"/>
  <c r="E41" i="36"/>
  <c r="F41" i="36" s="1"/>
  <c r="AB7" i="34"/>
  <c r="T49" i="34" s="1"/>
  <c r="G49" i="34" s="1"/>
  <c r="U7" i="34"/>
  <c r="G43" i="35"/>
  <c r="H43" i="35" s="1"/>
  <c r="G42" i="35"/>
  <c r="H42" i="35" s="1"/>
  <c r="M27" i="6"/>
  <c r="I19" i="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77" i="3"/>
  <c r="AY110" i="3"/>
  <c r="BI6" i="3"/>
  <c r="AY298" i="3"/>
  <c r="AY164" i="3"/>
  <c r="AY403" i="3"/>
  <c r="AY469" i="3"/>
  <c r="AY514" i="3"/>
  <c r="AY177" i="3"/>
  <c r="AY454" i="3"/>
  <c r="AY263" i="3"/>
  <c r="AY499" i="3"/>
  <c r="AY524" i="3"/>
  <c r="AY391" i="3"/>
  <c r="AY231" i="3"/>
  <c r="AY507" i="3"/>
  <c r="AY300" i="3"/>
  <c r="AY331" i="3"/>
  <c r="AY362" i="3"/>
  <c r="AY270" i="3"/>
  <c r="AY205" i="3"/>
  <c r="AY487" i="3"/>
  <c r="AY252" i="3"/>
  <c r="AY571" i="3"/>
  <c r="BM6" i="3"/>
  <c r="AY509" i="3"/>
  <c r="AY260" i="3"/>
  <c r="AY554" i="3"/>
  <c r="AY423" i="3"/>
  <c r="AY539" i="3"/>
  <c r="AY228" i="3"/>
  <c r="AY532" i="3"/>
  <c r="AY18" i="3"/>
  <c r="AY564" i="3"/>
  <c r="C19" i="11"/>
  <c r="L52" i="44"/>
  <c r="T8" i="1" l="1"/>
  <c r="S16" i="1"/>
  <c r="C14" i="12"/>
  <c r="E6" i="3"/>
  <c r="AC9" i="40"/>
  <c r="V44" i="40" s="1"/>
  <c r="I44" i="40" s="1"/>
  <c r="W9" i="40"/>
  <c r="R45" i="40"/>
  <c r="E44" i="40"/>
  <c r="AB9" i="40"/>
  <c r="T44" i="40" s="1"/>
  <c r="G44" i="40" s="1"/>
  <c r="U9" i="40"/>
  <c r="Q69" i="44"/>
  <c r="L58" i="44"/>
  <c r="L61" i="44" s="1"/>
  <c r="C20" i="11"/>
  <c r="C21" i="11" s="1"/>
  <c r="C22" i="11" s="1"/>
  <c r="C23" i="11" s="1"/>
  <c r="B2" i="11" s="1"/>
  <c r="I27" i="6"/>
  <c r="S19" i="6"/>
  <c r="S27" i="6" s="1"/>
  <c r="R50" i="34"/>
  <c r="E49" i="34"/>
  <c r="D22" i="12"/>
  <c r="C22" i="12" s="1"/>
  <c r="C20" i="12" s="1"/>
  <c r="D13" i="11"/>
  <c r="C13" i="11" s="1"/>
  <c r="E42" i="37"/>
  <c r="R43" i="37"/>
  <c r="I46" i="37"/>
  <c r="J46" i="37" s="1"/>
  <c r="I47" i="37"/>
  <c r="J47" i="37" s="1"/>
  <c r="C38" i="15"/>
  <c r="C32" i="15"/>
  <c r="J26" i="44"/>
  <c r="J20" i="44"/>
  <c r="J28" i="44"/>
  <c r="J31" i="44" s="1"/>
  <c r="E52" i="21"/>
  <c r="F52" i="21" s="1"/>
  <c r="E53" i="21"/>
  <c r="F53" i="21" s="1"/>
  <c r="M20" i="46"/>
  <c r="C19" i="46" s="1"/>
  <c r="E68" i="39"/>
  <c r="C22" i="4"/>
  <c r="D19" i="6"/>
  <c r="D21" i="6"/>
  <c r="D25" i="6"/>
  <c r="D10" i="6"/>
  <c r="D13" i="6"/>
  <c r="H21" i="6"/>
  <c r="H24" i="6"/>
  <c r="D6" i="6"/>
  <c r="D23" i="6"/>
  <c r="D14" i="6"/>
  <c r="D28" i="6"/>
  <c r="D20" i="6"/>
  <c r="D8" i="6"/>
  <c r="H23" i="6"/>
  <c r="E63" i="40"/>
  <c r="H19" i="6"/>
  <c r="D24" i="6"/>
  <c r="D22" i="6"/>
  <c r="D12" i="6"/>
  <c r="H25" i="6"/>
  <c r="D5" i="6"/>
  <c r="H22" i="6"/>
  <c r="D15" i="6"/>
  <c r="E45" i="9"/>
  <c r="F46" i="9"/>
  <c r="K38" i="9"/>
  <c r="C14" i="66" s="1"/>
  <c r="B2" i="66" s="1"/>
  <c r="D26" i="6"/>
  <c r="D11" i="6"/>
  <c r="H20" i="6"/>
  <c r="D9" i="6"/>
  <c r="D29" i="6"/>
  <c r="H26" i="6"/>
  <c r="F45" i="9"/>
  <c r="E46" i="9"/>
  <c r="G54" i="34"/>
  <c r="H54" i="34" s="1"/>
  <c r="G53" i="34"/>
  <c r="H53" i="34" s="1"/>
  <c r="C7" i="66"/>
  <c r="C8" i="66"/>
  <c r="C16" i="12"/>
  <c r="D19" i="12"/>
  <c r="C19" i="12" s="1"/>
  <c r="I53" i="34"/>
  <c r="J53" i="34" s="1"/>
  <c r="I54" i="34"/>
  <c r="J54" i="34" s="1"/>
  <c r="G53" i="21"/>
  <c r="H53" i="21" s="1"/>
  <c r="G52" i="21"/>
  <c r="H52" i="21" s="1"/>
  <c r="C59" i="15"/>
  <c r="C65" i="15"/>
  <c r="G47" i="37"/>
  <c r="H47" i="37" s="1"/>
  <c r="C17" i="43"/>
  <c r="C14" i="43"/>
  <c r="C49" i="21"/>
  <c r="B3" i="21" s="1"/>
  <c r="B2" i="21" s="1"/>
  <c r="C48" i="21"/>
  <c r="K58" i="33"/>
  <c r="R39" i="35"/>
  <c r="E38" i="35"/>
  <c r="C18" i="12" l="1"/>
  <c r="C23" i="12" s="1"/>
  <c r="C28" i="12" s="1"/>
  <c r="C26" i="12" s="1"/>
  <c r="C31" i="12" s="1"/>
  <c r="C30" i="12" s="1"/>
  <c r="H27" i="6"/>
  <c r="T13" i="1"/>
  <c r="T6" i="1"/>
  <c r="T9" i="1"/>
  <c r="T7" i="1"/>
  <c r="T10" i="1"/>
  <c r="T12" i="1"/>
  <c r="T11" i="1"/>
  <c r="R24" i="6"/>
  <c r="D30" i="6"/>
  <c r="D16" i="6"/>
  <c r="R26" i="6"/>
  <c r="E48" i="40"/>
  <c r="F48" i="40" s="1"/>
  <c r="E49" i="40"/>
  <c r="F49" i="40" s="1"/>
  <c r="G49" i="40"/>
  <c r="H49" i="40" s="1"/>
  <c r="G48" i="40"/>
  <c r="H48" i="40" s="1"/>
  <c r="C45" i="40"/>
  <c r="C44" i="40"/>
  <c r="I49" i="40"/>
  <c r="J49" i="40" s="1"/>
  <c r="I48" i="40"/>
  <c r="J48" i="40" s="1"/>
  <c r="C18" i="43"/>
  <c r="C19" i="43" s="1"/>
  <c r="C25" i="43" s="1"/>
  <c r="C24" i="43" s="1"/>
  <c r="C39" i="35"/>
  <c r="B3" i="35" s="1"/>
  <c r="B2" i="35" s="1"/>
  <c r="C38" i="35"/>
  <c r="C36" i="46"/>
  <c r="C33" i="46"/>
  <c r="C35" i="46"/>
  <c r="C34" i="46"/>
  <c r="C39" i="46"/>
  <c r="C37" i="46"/>
  <c r="T2" i="46"/>
  <c r="V2" i="46" s="1"/>
  <c r="T6" i="46"/>
  <c r="V6" i="46" s="1"/>
  <c r="T14" i="46"/>
  <c r="V14" i="46" s="1"/>
  <c r="T11" i="46"/>
  <c r="V11" i="46" s="1"/>
  <c r="T3" i="46"/>
  <c r="V3" i="46" s="1"/>
  <c r="T8" i="46"/>
  <c r="V8" i="46" s="1"/>
  <c r="T16" i="46"/>
  <c r="V16" i="46" s="1"/>
  <c r="T13" i="46"/>
  <c r="V13" i="46" s="1"/>
  <c r="C38" i="46"/>
  <c r="C29" i="46"/>
  <c r="T7" i="46"/>
  <c r="V7" i="46" s="1"/>
  <c r="T10" i="46"/>
  <c r="V10" i="46" s="1"/>
  <c r="T5" i="46"/>
  <c r="V5" i="46" s="1"/>
  <c r="T15" i="46"/>
  <c r="V15" i="46" s="1"/>
  <c r="T4" i="46"/>
  <c r="V4" i="46" s="1"/>
  <c r="T12" i="46"/>
  <c r="V12" i="46" s="1"/>
  <c r="T9" i="46"/>
  <c r="V9" i="46" s="1"/>
  <c r="C43" i="37"/>
  <c r="B3" i="37" s="1"/>
  <c r="B2" i="37" s="1"/>
  <c r="C42" i="37"/>
  <c r="E43" i="35"/>
  <c r="F43" i="35" s="1"/>
  <c r="E42" i="35"/>
  <c r="F42" i="35" s="1"/>
  <c r="I43" i="35"/>
  <c r="J43" i="35" s="1"/>
  <c r="D7" i="66"/>
  <c r="D8" i="66"/>
  <c r="R23" i="6"/>
  <c r="R25" i="6"/>
  <c r="R19" i="6"/>
  <c r="D27" i="6"/>
  <c r="E46" i="37"/>
  <c r="F46" i="37" s="1"/>
  <c r="E47" i="37"/>
  <c r="F47" i="37" s="1"/>
  <c r="E54" i="34"/>
  <c r="F54" i="34" s="1"/>
  <c r="E53" i="34"/>
  <c r="F53" i="34" s="1"/>
  <c r="Q68" i="44"/>
  <c r="Q59" i="44"/>
  <c r="L58" i="33"/>
  <c r="M58" i="33" s="1"/>
  <c r="N58" i="33" s="1"/>
  <c r="O58" i="33" s="1"/>
  <c r="J7" i="33" s="1"/>
  <c r="F7" i="33"/>
  <c r="R22" i="6"/>
  <c r="R9" i="1" s="1"/>
  <c r="R20" i="6"/>
  <c r="R7" i="1" s="1"/>
  <c r="R21" i="6"/>
  <c r="R8" i="1" s="1"/>
  <c r="A6" i="64"/>
  <c r="A20" i="64"/>
  <c r="N5" i="54"/>
  <c r="B43" i="63" s="1"/>
  <c r="A6" i="51"/>
  <c r="B7" i="63" s="1"/>
  <c r="A20" i="51"/>
  <c r="B15" i="63" s="1"/>
  <c r="Q67" i="44"/>
  <c r="Q49" i="44"/>
  <c r="Q55" i="44" s="1"/>
  <c r="Q58" i="44"/>
  <c r="C50" i="34"/>
  <c r="B3" i="34" s="1"/>
  <c r="B2" i="34" s="1"/>
  <c r="C49" i="34"/>
  <c r="B3" i="11"/>
  <c r="B5" i="11"/>
  <c r="B4" i="11"/>
  <c r="C16" i="44"/>
  <c r="C14" i="15"/>
  <c r="D31" i="6" l="1"/>
  <c r="C17" i="44"/>
  <c r="C20" i="44"/>
  <c r="C15" i="15"/>
  <c r="C18" i="15"/>
  <c r="T16" i="1"/>
  <c r="R27" i="6"/>
  <c r="R6" i="1"/>
  <c r="R16" i="1"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Q77" i="44"/>
  <c r="Q64" i="44"/>
  <c r="C35" i="12"/>
  <c r="C33" i="12" s="1"/>
  <c r="C36" i="12" s="1"/>
  <c r="B2" i="12" s="1"/>
  <c r="AA7" i="33"/>
  <c r="R48" i="33" s="1"/>
  <c r="S7" i="33"/>
  <c r="G38" i="46"/>
  <c r="I38" i="46" s="1"/>
  <c r="E38" i="46"/>
  <c r="G39" i="46"/>
  <c r="I39" i="46" s="1"/>
  <c r="E39" i="46"/>
  <c r="G35" i="46"/>
  <c r="I35" i="46" s="1"/>
  <c r="E35" i="46"/>
  <c r="G36" i="46"/>
  <c r="I36" i="46" s="1"/>
  <c r="E36" i="46"/>
  <c r="C22" i="43"/>
  <c r="C21" i="43" s="1"/>
  <c r="C28" i="43" s="1"/>
  <c r="C30" i="43" s="1"/>
  <c r="C32" i="43" s="1"/>
  <c r="B2" i="43" s="1"/>
  <c r="AC7" i="33"/>
  <c r="V48" i="33" s="1"/>
  <c r="I48" i="33" s="1"/>
  <c r="W7" i="33"/>
  <c r="I6" i="6"/>
  <c r="C13" i="39" s="1"/>
  <c r="I5" i="6"/>
  <c r="E29" i="46"/>
  <c r="C30" i="46"/>
  <c r="E30" i="46" s="1"/>
  <c r="G37" i="46"/>
  <c r="I37" i="46" s="1"/>
  <c r="E37" i="46"/>
  <c r="G34" i="46"/>
  <c r="I34" i="46" s="1"/>
  <c r="E34" i="46"/>
  <c r="E33" i="46"/>
  <c r="G33" i="46"/>
  <c r="I33" i="46" s="1"/>
  <c r="H7" i="33"/>
  <c r="D19" i="9"/>
  <c r="F7" i="67"/>
  <c r="L44" i="9" l="1"/>
  <c r="B4" i="12"/>
  <c r="F13" i="39"/>
  <c r="H13" i="39"/>
  <c r="J13" i="39"/>
  <c r="C21" i="44"/>
  <c r="C22" i="44" s="1"/>
  <c r="C25" i="44" s="1"/>
  <c r="C19" i="15"/>
  <c r="C20" i="15" s="1"/>
  <c r="C23" i="15" s="1"/>
  <c r="B3" i="40"/>
  <c r="B4" i="40"/>
  <c r="B5" i="40"/>
  <c r="B5" i="12"/>
  <c r="B3" i="12"/>
  <c r="E4" i="67"/>
  <c r="AB7" i="33"/>
  <c r="T48" i="33" s="1"/>
  <c r="G48" i="33" s="1"/>
  <c r="U7" i="33"/>
  <c r="C27" i="46"/>
  <c r="B5" i="43"/>
  <c r="B3" i="43"/>
  <c r="B4" i="43"/>
  <c r="R49" i="33"/>
  <c r="E48" i="33"/>
  <c r="C26" i="46"/>
  <c r="I52" i="33"/>
  <c r="J52" i="33" s="1"/>
  <c r="D20" i="9"/>
  <c r="E7" i="67"/>
  <c r="D21" i="9"/>
  <c r="AB13" i="39" l="1"/>
  <c r="T49" i="39" s="1"/>
  <c r="G49" i="39" s="1"/>
  <c r="U13" i="39"/>
  <c r="AC13" i="39"/>
  <c r="V49" i="39" s="1"/>
  <c r="I49" i="39" s="1"/>
  <c r="W13" i="39"/>
  <c r="S13" i="39"/>
  <c r="AA13" i="39"/>
  <c r="R49" i="39" s="1"/>
  <c r="C28" i="44"/>
  <c r="C31" i="44" s="1"/>
  <c r="C26" i="15"/>
  <c r="C29" i="15" s="1"/>
  <c r="E3" i="67"/>
  <c r="E52" i="33"/>
  <c r="F52" i="33" s="1"/>
  <c r="E53" i="33"/>
  <c r="F53" i="33" s="1"/>
  <c r="G52" i="33"/>
  <c r="H52" i="33" s="1"/>
  <c r="G53" i="33"/>
  <c r="H53" i="33" s="1"/>
  <c r="I53" i="33"/>
  <c r="J53" i="33" s="1"/>
  <c r="B2" i="46"/>
  <c r="C49" i="33"/>
  <c r="B3" i="33" s="1"/>
  <c r="B2" i="33" s="1"/>
  <c r="C48" i="33"/>
  <c r="B7" i="67"/>
  <c r="I53" i="39" l="1"/>
  <c r="J53" i="39" s="1"/>
  <c r="G54" i="39"/>
  <c r="H54" i="39" s="1"/>
  <c r="G53" i="39"/>
  <c r="H53" i="39" s="1"/>
  <c r="E49" i="39"/>
  <c r="R50" i="39"/>
  <c r="Q51" i="44"/>
  <c r="J16" i="44"/>
  <c r="C38" i="44"/>
  <c r="J21" i="44"/>
  <c r="J19" i="44" s="1"/>
  <c r="C35" i="44"/>
  <c r="C33" i="44" s="1"/>
  <c r="C15" i="44"/>
  <c r="C33" i="15"/>
  <c r="C31" i="15" s="1"/>
  <c r="C56" i="15"/>
  <c r="C13" i="15"/>
  <c r="Q50" i="15"/>
  <c r="J59" i="15"/>
  <c r="J60" i="15" s="1"/>
  <c r="J19" i="15"/>
  <c r="J17" i="15" s="1"/>
  <c r="J14" i="15"/>
  <c r="C36" i="15"/>
  <c r="B2" i="67"/>
  <c r="D4" i="46"/>
  <c r="B4" i="46"/>
  <c r="B3" i="46"/>
  <c r="E54" i="39" l="1"/>
  <c r="F54" i="39" s="1"/>
  <c r="E53" i="39"/>
  <c r="F53" i="39" s="1"/>
  <c r="C50" i="39"/>
  <c r="C49" i="39"/>
  <c r="I54" i="39"/>
  <c r="J54" i="39" s="1"/>
  <c r="J13" i="15"/>
  <c r="J23" i="15" s="1"/>
  <c r="J22" i="15"/>
  <c r="Q49" i="15"/>
  <c r="L46" i="15"/>
  <c r="Q71" i="15"/>
  <c r="J35" i="15"/>
  <c r="C37" i="15"/>
  <c r="C30" i="15" s="1"/>
  <c r="C39" i="15" s="1"/>
  <c r="C55" i="15"/>
  <c r="C64" i="15" s="1"/>
  <c r="C60" i="15"/>
  <c r="C58" i="15" s="1"/>
  <c r="C63" i="15"/>
  <c r="Q72" i="44"/>
  <c r="C43" i="44"/>
  <c r="C39" i="44"/>
  <c r="C32" i="44" s="1"/>
  <c r="C42" i="44" s="1"/>
  <c r="J15" i="44"/>
  <c r="J25" i="44" s="1"/>
  <c r="J24" i="44"/>
  <c r="B4" i="67"/>
  <c r="B3" i="67"/>
  <c r="L51" i="15"/>
  <c r="B65" i="39" l="1"/>
  <c r="F65" i="39" s="1"/>
  <c r="B62" i="39"/>
  <c r="F62" i="39" s="1"/>
  <c r="B66" i="39"/>
  <c r="F66" i="39" s="1"/>
  <c r="B59" i="39"/>
  <c r="F59" i="39" s="1"/>
  <c r="B60" i="39"/>
  <c r="F60" i="39" s="1"/>
  <c r="B64" i="39"/>
  <c r="F64" i="39" s="1"/>
  <c r="B58" i="39"/>
  <c r="F58" i="39" s="1"/>
  <c r="B67" i="39"/>
  <c r="F67" i="39" s="1"/>
  <c r="B61" i="39"/>
  <c r="F61" i="39" s="1"/>
  <c r="B63" i="39"/>
  <c r="F63" i="39" s="1"/>
  <c r="Q68" i="15"/>
  <c r="L57" i="15"/>
  <c r="L60" i="15" s="1"/>
  <c r="J18" i="44"/>
  <c r="J27" i="44" s="1"/>
  <c r="C44" i="44"/>
  <c r="C45" i="44" s="1"/>
  <c r="B2" i="44" s="1"/>
  <c r="Q71" i="44"/>
  <c r="Q70" i="44" s="1"/>
  <c r="C57" i="15"/>
  <c r="C66" i="15" s="1"/>
  <c r="C67" i="15" s="1"/>
  <c r="J39" i="15"/>
  <c r="J40" i="15" s="1"/>
  <c r="J16" i="15"/>
  <c r="J25" i="15" s="1"/>
  <c r="C40" i="15"/>
  <c r="Q70" i="15"/>
  <c r="Q69" i="15" s="1"/>
  <c r="F68" i="39" l="1"/>
  <c r="B2" i="39" s="1"/>
  <c r="B3" i="39" s="1"/>
  <c r="B2" i="15"/>
  <c r="B3" i="15" s="1"/>
  <c r="Q57" i="15"/>
  <c r="C43" i="15"/>
  <c r="Q48" i="15"/>
  <c r="Q54" i="15" s="1"/>
  <c r="Q66" i="15"/>
  <c r="J42" i="15"/>
  <c r="J43" i="15" s="1"/>
  <c r="C70" i="15"/>
  <c r="C46" i="15"/>
  <c r="B4" i="44"/>
  <c r="B3" i="44"/>
  <c r="B5" i="44"/>
  <c r="Q67" i="15"/>
  <c r="Q58" i="15"/>
  <c r="C19" i="9"/>
  <c r="C20" i="9"/>
  <c r="B4" i="39" l="1"/>
  <c r="G19" i="9"/>
  <c r="L43" i="9"/>
  <c r="D22" i="9"/>
  <c r="B5" i="39"/>
  <c r="G20" i="9"/>
  <c r="Q63" i="15"/>
  <c r="Q76" i="15"/>
  <c r="C21" i="9"/>
  <c r="N43" i="9" l="1"/>
  <c r="C32" i="9"/>
  <c r="O38" i="9" s="1"/>
  <c r="G21" i="9"/>
  <c r="G22" i="9"/>
  <c r="O43" i="9" l="1"/>
  <c r="C35" i="9"/>
  <c r="F42" i="9" s="1"/>
  <c r="C33" i="9"/>
  <c r="N38" i="9" s="1"/>
  <c r="K28" i="9" s="1"/>
  <c r="C42" i="9"/>
  <c r="D63" i="9" s="1"/>
  <c r="C34" i="9"/>
  <c r="E42" i="9" s="1"/>
  <c r="P5" i="54" s="1"/>
  <c r="B46" i="63" s="1"/>
  <c r="C44" i="9"/>
  <c r="K25" i="9"/>
  <c r="K26" i="9"/>
  <c r="R5" i="54" l="1"/>
  <c r="B48" i="63" s="1"/>
  <c r="D42" i="9"/>
  <c r="Q5" i="54" s="1"/>
  <c r="B47" i="63" s="1"/>
  <c r="M38" i="9"/>
  <c r="K27" i="9" s="1"/>
  <c r="N68" i="9"/>
  <c r="D14" i="66"/>
  <c r="O39" i="9"/>
  <c r="N69" i="9"/>
  <c r="E44" i="9"/>
  <c r="G14" i="66"/>
  <c r="D44" i="9"/>
  <c r="F44" i="9"/>
  <c r="D70" i="9"/>
  <c r="C96" i="9"/>
  <c r="C91" i="9" s="1"/>
  <c r="C82" i="9"/>
  <c r="C81" i="9" s="1"/>
  <c r="C85" i="9" s="1"/>
  <c r="C86" i="9" s="1"/>
  <c r="D72" i="9" s="1"/>
  <c r="C111" i="9"/>
  <c r="C104" i="9" s="1"/>
  <c r="C103" i="9"/>
  <c r="D77" i="9"/>
  <c r="N75" i="9" s="1"/>
  <c r="C90" i="9"/>
  <c r="D71" i="9"/>
  <c r="D66" i="9" s="1"/>
  <c r="N72" i="9" s="1"/>
  <c r="B6" i="66" l="1"/>
  <c r="C6" i="66" s="1"/>
  <c r="E14" i="66"/>
  <c r="F14" i="66"/>
  <c r="B5" i="66"/>
  <c r="D5" i="66" s="1"/>
  <c r="C97" i="9"/>
  <c r="C98" i="9" s="1"/>
  <c r="E98" i="9" s="1"/>
  <c r="E99" i="9" s="1"/>
  <c r="C113" i="9"/>
  <c r="M84" i="9"/>
  <c r="N84" i="9" s="1"/>
  <c r="M86" i="9"/>
  <c r="N86" i="9" s="1"/>
  <c r="M83" i="9"/>
  <c r="N83" i="9" s="1"/>
  <c r="M87" i="9"/>
  <c r="N87" i="9" s="1"/>
  <c r="M85" i="9"/>
  <c r="N85" i="9" s="1"/>
  <c r="M88" i="9"/>
  <c r="N88" i="9" s="1"/>
  <c r="K29" i="9"/>
  <c r="K30" i="9" s="1"/>
  <c r="R6" i="54"/>
  <c r="B50" i="63" s="1"/>
  <c r="D6" i="66" l="1"/>
  <c r="C5" i="66"/>
  <c r="N89" i="9"/>
  <c r="O89" i="9" s="1"/>
  <c r="C99" i="9"/>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<sst xmlns="http://schemas.openxmlformats.org/spreadsheetml/2006/main" count="8716" uniqueCount="3344">
  <si>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</si>
  <si>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</si>
  <si>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</si>
  <si>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</si>
  <si>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</si>
  <si>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</si>
  <si>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</si>
  <si>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</si>
  <si>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</si>
  <si>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</si>
  <si>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</si>
  <si>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</si>
  <si>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</si>
  <si>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</si>
  <si>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</si>
  <si>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</si>
  <si>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</si>
  <si>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</si>
  <si>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</si>
  <si>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</si>
  <si>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</si>
  <si>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</si>
  <si>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</si>
  <si>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</si>
  <si>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</si>
  <si>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</si>
  <si>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</si>
  <si>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</si>
  <si>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</si>
  <si>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</si>
  <si>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</si>
  <si>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</si>
  <si>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</si>
  <si>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</si>
  <si>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</si>
  <si>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</si>
  <si>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</si>
  <si>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</si>
  <si>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</si>
  <si>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</si>
  <si>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</si>
  <si>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</si>
  <si>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</si>
  <si>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</si>
  <si>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</si>
  <si>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</si>
  <si>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</si>
  <si>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</si>
  <si>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</si>
  <si>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</si>
  <si>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</si>
  <si>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</si>
  <si>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</si>
  <si>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</si>
  <si>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</si>
  <si>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</si>
  <si>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</si>
  <si>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</si>
  <si>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</si>
  <si>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</si>
  <si>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</si>
  <si>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</si>
  <si>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</si>
  <si>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</si>
  <si>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</si>
  <si>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</si>
  <si>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</si>
  <si>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</si>
  <si>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</si>
  <si>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</si>
  <si>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</si>
  <si>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</si>
  <si>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</si>
  <si>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</si>
  <si>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</si>
  <si>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</si>
  <si>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</si>
  <si>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</si>
  <si>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</si>
  <si>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</si>
  <si>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</si>
  <si>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</si>
  <si>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</si>
  <si>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</si>
  <si>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</si>
  <si>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</si>
  <si>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</si>
  <si>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</si>
  <si>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</si>
  <si>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</si>
  <si>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</si>
  <si>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</si>
  <si>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</si>
  <si>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</si>
  <si>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</si>
  <si>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</si>
  <si>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</si>
  <si>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</si>
  <si>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</si>
  <si>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</si>
  <si>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</si>
  <si>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</si>
  <si>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</si>
  <si>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</si>
  <si>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</si>
  <si>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</si>
  <si>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</si>
  <si>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</si>
  <si>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</si>
  <si>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</si>
  <si>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</si>
  <si>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</si>
  <si>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</si>
  <si>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</si>
  <si>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</si>
  <si>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</si>
  <si>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</si>
  <si>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</si>
  <si>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</si>
  <si>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</si>
  <si>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</si>
  <si>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</si>
  <si>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</si>
  <si>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</si>
  <si>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</si>
  <si>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</si>
  <si>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</si>
  <si>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</si>
  <si>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</si>
  <si>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</si>
  <si>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</si>
  <si>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</si>
  <si>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</si>
  <si>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</si>
  <si>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</si>
  <si>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</si>
  <si>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</si>
  <si>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</si>
  <si>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</si>
  <si>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</si>
  <si>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</si>
  <si>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</si>
  <si>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</si>
  <si>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</si>
  <si>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</si>
  <si>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</si>
  <si>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</si>
  <si>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</si>
  <si>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</si>
  <si>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</si>
  <si>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</si>
  <si>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</si>
  <si>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</si>
  <si>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</si>
  <si>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</si>
  <si>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</si>
  <si>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</si>
  <si>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</si>
  <si>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</si>
  <si>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</si>
  <si>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</si>
  <si>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</si>
  <si>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</si>
  <si>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</si>
  <si>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</si>
  <si>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</si>
  <si>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</si>
  <si>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</si>
  <si>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</si>
  <si>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</si>
  <si>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</si>
  <si>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</si>
  <si>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</si>
  <si>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</si>
  <si>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</si>
  <si>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</si>
  <si>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</si>
  <si>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</si>
  <si>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</si>
  <si>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</si>
  <si>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</si>
  <si>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</si>
  <si>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</si>
  <si>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</si>
  <si>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</si>
  <si>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</si>
  <si>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</si>
  <si>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</si>
  <si>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</si>
  <si>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</si>
  <si>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</si>
  <si>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</si>
  <si>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</si>
  <si>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</si>
  <si>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</si>
  <si>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</si>
  <si>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</si>
  <si>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</si>
  <si>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</si>
  <si>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</si>
  <si>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</si>
  <si>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</si>
  <si>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</si>
  <si>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</si>
  <si>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</si>
  <si>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</si>
  <si>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</si>
  <si>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</si>
  <si>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</si>
  <si>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</si>
  <si>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</si>
  <si>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</si>
  <si>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</si>
  <si>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</si>
  <si>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</si>
  <si>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</si>
  <si>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</si>
  <si>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</si>
  <si>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</si>
  <si>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</si>
  <si>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</si>
  <si>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</si>
  <si>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</si>
  <si>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</si>
  <si>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</si>
  <si>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</si>
  <si>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</si>
  <si>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</si>
  <si>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</si>
  <si>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</si>
  <si>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</si>
  <si>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</si>
  <si>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</si>
  <si>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</si>
  <si>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</si>
  <si>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</si>
  <si>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</si>
  <si>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</si>
  <si>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</si>
  <si>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</si>
  <si>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</si>
  <si>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</si>
  <si>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</si>
  <si>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</si>
  <si>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</si>
  <si>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</si>
  <si>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</si>
  <si>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</si>
  <si>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</si>
  <si>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</si>
  <si>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</si>
  <si>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</si>
  <si>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</si>
  <si>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</si>
  <si>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</si>
  <si>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</si>
  <si>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</si>
  <si>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</si>
  <si>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</si>
  <si>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</si>
  <si>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</si>
  <si>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</si>
  <si>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</si>
  <si>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</si>
  <si>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</si>
  <si>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</si>
  <si>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</si>
  <si>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</si>
  <si>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</si>
  <si>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</si>
  <si>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</si>
  <si>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</si>
  <si>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</si>
  <si>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</si>
  <si>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</si>
  <si>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</si>
  <si>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</si>
  <si>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</si>
  <si>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</si>
  <si>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</si>
  <si>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</si>
  <si>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</si>
  <si>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</si>
  <si>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</si>
  <si>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</si>
  <si>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</si>
  <si>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</si>
  <si>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</si>
  <si>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</si>
  <si>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</si>
  <si>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</si>
  <si>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</si>
  <si>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</si>
  <si>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</si>
  <si>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</si>
  <si>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</si>
  <si>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</si>
  <si>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</si>
  <si>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</si>
  <si>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</si>
  <si>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</si>
  <si>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</si>
  <si>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</si>
  <si>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</si>
  <si>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</si>
  <si>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</si>
  <si>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</si>
  <si>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</si>
  <si>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</si>
  <si>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</si>
  <si>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</si>
  <si>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</si>
  <si>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</si>
  <si>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</si>
  <si>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</si>
  <si>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</si>
  <si>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</si>
  <si>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</si>
  <si>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</si>
  <si>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</si>
  <si>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</si>
  <si>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</si>
  <si>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</si>
  <si>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</si>
  <si>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</si>
  <si>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</si>
  <si>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</si>
  <si>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</si>
  <si>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</si>
  <si>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</si>
  <si>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</si>
  <si>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</si>
  <si>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</si>
  <si>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</si>
  <si>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</si>
  <si>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</si>
  <si>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</si>
  <si>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</si>
  <si>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</si>
  <si>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</si>
  <si>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</si>
  <si>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</si>
  <si>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</si>
  <si>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</si>
  <si>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</si>
  <si>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</si>
  <si>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</si>
  <si>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</si>
  <si>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</si>
  <si>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</si>
  <si>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</si>
  <si>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</si>
  <si>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</si>
  <si>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</si>
  <si>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</si>
  <si>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</si>
  <si>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</si>
  <si>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</si>
  <si>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</si>
  <si>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</si>
  <si>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</si>
  <si>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</si>
  <si>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</si>
  <si>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</si>
  <si>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</si>
  <si>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</si>
  <si>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</si>
  <si>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</si>
  <si>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</si>
  <si>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</si>
  <si>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</si>
  <si>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</si>
  <si>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</si>
  <si>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</si>
  <si>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</si>
  <si>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</si>
  <si>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</si>
  <si>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</si>
  <si>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</si>
  <si>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</si>
  <si>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</si>
  <si>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</si>
  <si>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</si>
  <si>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</si>
  <si>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</si>
  <si>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</si>
  <si>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</si>
  <si>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</si>
  <si>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</si>
  <si>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</si>
  <si>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</si>
  <si>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</si>
  <si>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</si>
  <si>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</si>
  <si>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</si>
  <si>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</si>
  <si>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</si>
  <si>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</si>
  <si>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</si>
  <si>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</si>
  <si>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</si>
  <si>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</si>
  <si>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</si>
  <si>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</si>
  <si>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</si>
  <si>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</si>
  <si>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</si>
  <si>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</si>
  <si>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</si>
  <si>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</si>
  <si>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</si>
  <si>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</si>
  <si>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</si>
  <si>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</si>
  <si>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</si>
  <si>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</si>
  <si>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</si>
  <si>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</si>
  <si>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</si>
  <si>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</si>
  <si>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</si>
  <si>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</si>
  <si>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</si>
  <si>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</si>
  <si>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</si>
  <si>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</si>
  <si>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</si>
  <si>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</si>
  <si>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</si>
  <si>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</si>
  <si>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</si>
  <si>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</si>
  <si>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</si>
  <si>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</si>
  <si>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</si>
  <si>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</si>
  <si>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</si>
  <si>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</si>
  <si>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</si>
  <si>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</si>
  <si>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</si>
  <si>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</si>
  <si>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</si>
  <si>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</si>
  <si>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</si>
  <si>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</si>
  <si>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</si>
  <si>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</si>
  <si>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</si>
  <si>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</si>
  <si>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</si>
  <si>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</si>
  <si>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</si>
  <si>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</si>
  <si>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</si>
  <si>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</si>
  <si>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</si>
  <si>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</si>
  <si>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</si>
  <si>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</si>
  <si>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</si>
  <si>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</si>
  <si>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</si>
  <si>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</si>
  <si>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</si>
  <si>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</si>
  <si>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</si>
  <si>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</si>
  <si>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</si>
  <si>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</si>
  <si>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</si>
  <si>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</si>
  <si>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</si>
  <si>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</si>
  <si>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</si>
  <si>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</si>
  <si>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</si>
  <si>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</si>
  <si>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</si>
  <si>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</si>
  <si>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</si>
  <si>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</si>
  <si>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</si>
  <si>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</si>
  <si>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</si>
  <si>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</si>
  <si>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</si>
  <si>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</si>
  <si>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</si>
  <si>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</si>
  <si>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</si>
  <si>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</si>
  <si>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</si>
  <si>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</si>
  <si>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</si>
  <si>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</si>
  <si>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</si>
  <si>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</si>
  <si>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</si>
  <si>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</si>
  <si>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</si>
  <si>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</si>
  <si>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</si>
  <si>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</si>
  <si>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</si>
  <si>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</si>
  <si>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</si>
  <si>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</si>
  <si>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</si>
  <si>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</si>
  <si>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</si>
  <si>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</si>
  <si>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</si>
  <si>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</si>
  <si>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</si>
  <si>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</si>
  <si>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</si>
  <si>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</si>
  <si>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</si>
  <si>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</si>
  <si>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</si>
  <si>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</si>
  <si>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</si>
  <si>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</si>
  <si>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</si>
  <si>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</si>
  <si>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</si>
  <si>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</si>
  <si>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</si>
  <si>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</si>
  <si>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</si>
  <si>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</si>
  <si>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</si>
  <si>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</si>
  <si>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</si>
  <si>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</si>
  <si>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</si>
  <si>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</si>
  <si>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</si>
  <si>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</si>
  <si>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</si>
  <si>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</si>
  <si>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</si>
  <si>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</si>
  <si>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</si>
  <si>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</si>
  <si>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</si>
  <si>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</si>
  <si>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</si>
  <si>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</si>
  <si>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</si>
  <si>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</si>
  <si>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</si>
  <si>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</si>
  <si>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</si>
  <si>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</si>
  <si>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</si>
  <si>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</si>
  <si>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</si>
  <si>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</si>
  <si>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</si>
  <si>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</si>
  <si>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</si>
  <si>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</si>
  <si>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</si>
  <si>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</si>
  <si>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</si>
  <si>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</si>
  <si>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</si>
  <si>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</si>
  <si>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</si>
  <si>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</si>
  <si>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</si>
  <si>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</si>
  <si>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</si>
  <si>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</si>
  <si>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</si>
  <si>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</si>
  <si>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</si>
  <si>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</si>
  <si>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</si>
  <si>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</si>
  <si>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</si>
  <si>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</si>
  <si>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</si>
  <si>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</si>
  <si>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</si>
  <si>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</si>
  <si>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</si>
  <si>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</si>
  <si>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</si>
  <si>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</si>
  <si>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</si>
  <si>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</si>
  <si>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</si>
  <si>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</si>
  <si>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</si>
  <si>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</si>
  <si>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</si>
  <si>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</si>
  <si>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</si>
  <si>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</si>
  <si>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</si>
  <si>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</si>
  <si>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</si>
  <si>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</si>
  <si>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</si>
  <si>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</si>
  <si>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</si>
  <si>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</si>
  <si>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</si>
  <si>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</si>
  <si>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</si>
  <si>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</si>
  <si>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</si>
  <si>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</si>
  <si>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</si>
  <si>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</si>
  <si>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</si>
  <si>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</si>
  <si>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</si>
  <si>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</si>
  <si>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</si>
  <si>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</si>
  <si>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</si>
  <si>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</si>
  <si>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</si>
  <si>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</si>
  <si>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</si>
  <si>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</si>
  <si>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</si>
  <si>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</si>
  <si>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</si>
  <si>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</si>
  <si>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</si>
  <si>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</si>
  <si>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</si>
  <si>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</si>
  <si>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</si>
  <si>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</si>
  <si>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</si>
  <si>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</si>
  <si>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</si>
  <si>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</si>
  <si>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</si>
  <si>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</si>
  <si>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</si>
  <si>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</si>
  <si>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</si>
  <si>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</si>
  <si>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</si>
  <si>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</si>
  <si>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</si>
  <si>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</si>
  <si>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</si>
  <si>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</si>
  <si>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</si>
  <si>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</si>
  <si>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</si>
  <si>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</si>
  <si>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</si>
  <si>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</si>
  <si>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</si>
  <si>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</si>
  <si>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</si>
  <si>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</si>
  <si>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</si>
  <si>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</si>
  <si>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</si>
  <si>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</si>
  <si>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</si>
  <si>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</si>
  <si>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</si>
  <si>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</si>
  <si>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</si>
  <si>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</si>
  <si>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</si>
  <si>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</si>
  <si>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</si>
  <si>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</si>
  <si>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</si>
  <si>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</si>
  <si>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</si>
  <si>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</si>
  <si>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</si>
  <si>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</si>
  <si>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</si>
  <si>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</si>
  <si>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</si>
  <si>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</si>
  <si>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</si>
  <si>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</si>
  <si>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</si>
  <si>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</si>
  <si>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</si>
  <si>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</si>
  <si>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</si>
  <si>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</si>
  <si>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</si>
  <si>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</si>
  <si>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</si>
  <si>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</si>
  <si>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</si>
  <si>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</si>
  <si>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</si>
  <si>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</si>
  <si>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</si>
  <si>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</si>
  <si>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</si>
  <si>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</si>
  <si>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</si>
  <si>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</si>
  <si>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</si>
  <si>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</si>
  <si>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</si>
  <si>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</si>
  <si>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</si>
  <si>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</si>
  <si>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</si>
  <si>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</si>
  <si>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</si>
  <si>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</si>
  <si>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</si>
  <si>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</si>
  <si>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</si>
  <si>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</si>
  <si>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</si>
  <si>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</si>
  <si>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</si>
  <si>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</si>
  <si>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</si>
  <si>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</si>
  <si>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</si>
  <si>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</si>
  <si>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</si>
  <si>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</si>
  <si>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</si>
  <si>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</si>
  <si>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</si>
  <si>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</si>
  <si>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</si>
  <si>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</si>
  <si>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</si>
  <si>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</si>
  <si>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</si>
  <si>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</si>
  <si>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</si>
  <si>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</si>
  <si>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</si>
  <si>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</si>
  <si>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</si>
  <si>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</si>
  <si>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</si>
  <si>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</si>
  <si>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</si>
  <si>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</si>
  <si>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</si>
  <si>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</si>
  <si>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</si>
  <si>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</si>
  <si>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</si>
  <si>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</si>
  <si>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</si>
  <si>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</si>
  <si>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</si>
  <si>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</si>
  <si>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</si>
  <si>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</si>
  <si>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</si>
  <si>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</si>
  <si>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</si>
  <si>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</si>
  <si>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</si>
  <si>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</si>
  <si>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</si>
  <si>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</si>
  <si>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</si>
  <si>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</si>
  <si>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</si>
  <si>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</si>
  <si>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</si>
  <si>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</si>
  <si>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</si>
  <si>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</si>
  <si>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</si>
  <si>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</si>
  <si>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</si>
  <si>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</si>
  <si>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</si>
  <si>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</si>
  <si>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</si>
  <si>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</si>
  <si>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</si>
  <si>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</si>
  <si>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</si>
  <si>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</si>
  <si>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</si>
  <si>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</si>
  <si>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</si>
  <si>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</si>
  <si>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</si>
  <si>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</si>
  <si>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</si>
  <si>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</si>
  <si>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</si>
  <si>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</si>
  <si>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</si>
  <si>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</si>
  <si>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</si>
  <si>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</si>
  <si>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</si>
  <si>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</si>
  <si>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</si>
  <si>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</si>
  <si>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</si>
  <si>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</si>
  <si>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</si>
  <si>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</si>
  <si>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</si>
  <si>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</si>
  <si>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</si>
  <si>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</si>
  <si>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</si>
  <si>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</si>
  <si>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</si>
  <si>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</si>
  <si>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</si>
  <si>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</si>
  <si>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</si>
  <si>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</si>
  <si>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</si>
  <si>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</si>
  <si>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</si>
  <si>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</si>
  <si>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</si>
  <si>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</si>
  <si>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</si>
  <si>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</si>
  <si>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</si>
  <si>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</si>
  <si>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</si>
  <si>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</si>
  <si>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</si>
  <si>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</si>
  <si>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</si>
  <si>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</si>
  <si>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</si>
  <si>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</si>
  <si>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</si>
  <si>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</si>
  <si>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</si>
  <si>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</si>
  <si>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</si>
  <si>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</si>
  <si>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</si>
  <si>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</si>
  <si>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</si>
  <si>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</si>
  <si>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</si>
  <si>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</si>
  <si>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</si>
  <si>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</si>
  <si>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</si>
  <si>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</si>
  <si>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</si>
  <si>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</si>
  <si>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</si>
  <si>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</si>
  <si>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</si>
  <si>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</si>
  <si>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</si>
  <si>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</si>
  <si>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</si>
  <si>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</si>
  <si>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</si>
  <si>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</si>
  <si>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</si>
  <si>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</si>
  <si>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</si>
  <si>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</si>
  <si>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</si>
  <si>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</si>
  <si>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</si>
  <si>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</si>
  <si>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</si>
  <si>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</si>
  <si>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</si>
  <si>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</si>
  <si>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</si>
  <si>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</si>
  <si>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</si>
  <si>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</si>
  <si>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</si>
  <si>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</si>
  <si>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</si>
  <si>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</si>
  <si>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</si>
  <si>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</si>
  <si>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</si>
  <si>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</si>
  <si>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</si>
  <si>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</si>
  <si>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</si>
  <si>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</si>
  <si>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</si>
  <si>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</si>
  <si>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</si>
  <si>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</si>
  <si>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</si>
  <si>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</si>
  <si>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</si>
  <si>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</si>
  <si>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</si>
  <si>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</si>
  <si>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</si>
  <si>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</si>
  <si>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</si>
  <si>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</si>
  <si>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</si>
  <si>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</si>
  <si>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</si>
  <si>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</si>
  <si>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</si>
  <si>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</si>
  <si>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</si>
  <si>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</si>
  <si>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</si>
  <si>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</si>
  <si>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</si>
  <si>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</si>
  <si>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</si>
  <si>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</si>
  <si>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</si>
  <si>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</si>
  <si>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</si>
  <si>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</si>
  <si>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</si>
  <si>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</si>
  <si>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</si>
  <si>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</si>
  <si>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</si>
  <si>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</si>
  <si>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</si>
  <si>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</si>
  <si>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</si>
  <si>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</si>
  <si>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</si>
  <si>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</si>
  <si>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</si>
  <si>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</si>
  <si>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</si>
  <si>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</si>
  <si>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</si>
  <si>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</si>
  <si>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</si>
  <si>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</si>
  <si>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</si>
  <si>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</si>
  <si>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</si>
  <si>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</si>
  <si>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</si>
  <si>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</si>
  <si>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</si>
  <si>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</si>
  <si>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</si>
  <si>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</si>
  <si>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</si>
  <si>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</si>
  <si>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</si>
  <si>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</si>
  <si>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</si>
  <si>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</si>
  <si>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</si>
  <si>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</si>
  <si>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</si>
  <si>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</si>
  <si>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</si>
  <si>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</si>
  <si>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</si>
  <si>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</si>
  <si>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</si>
  <si>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</si>
  <si>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</si>
  <si>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</si>
  <si>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</si>
  <si>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</si>
  <si>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</si>
  <si>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</si>
  <si>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</si>
  <si>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</si>
  <si>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</si>
  <si>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</si>
  <si>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</si>
  <si>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</si>
  <si>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</si>
  <si>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</si>
  <si>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</si>
  <si>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</si>
  <si>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</si>
  <si>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</si>
  <si>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</si>
  <si>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</si>
  <si>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</si>
  <si>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</si>
  <si>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</si>
  <si>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</si>
  <si>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</si>
  <si>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</si>
  <si>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</si>
  <si>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</si>
  <si>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</si>
  <si>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</si>
  <si>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</si>
  <si>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</si>
  <si>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</si>
  <si>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</si>
  <si>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</si>
  <si>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</si>
  <si>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</si>
  <si>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</si>
  <si>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</si>
  <si>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</si>
  <si>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</si>
  <si>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</si>
  <si>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</si>
  <si>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</si>
  <si>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</si>
  <si>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</si>
  <si>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</si>
  <si>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</si>
  <si>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</si>
  <si>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</si>
  <si>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</si>
  <si>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</si>
  <si>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</si>
  <si>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</si>
  <si>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</si>
  <si>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</si>
  <si>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</si>
  <si>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</si>
  <si>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</si>
  <si>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</si>
  <si>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</si>
  <si>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</si>
  <si>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</si>
  <si>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</si>
  <si>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</si>
  <si>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</si>
  <si>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</si>
  <si>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</si>
  <si>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</si>
  <si>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</si>
  <si>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</si>
  <si>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</si>
  <si>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</si>
  <si>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</si>
  <si>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</si>
  <si>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</si>
  <si>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</si>
  <si>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</si>
  <si>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</si>
  <si>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</si>
  <si>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</si>
  <si>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</si>
  <si>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</si>
  <si>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</si>
  <si>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</si>
  <si>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</si>
  <si>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</si>
  <si>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</si>
  <si>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</si>
  <si>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</si>
  <si>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</si>
  <si>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</si>
  <si>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</si>
  <si>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</si>
  <si>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</si>
  <si>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</si>
  <si>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</si>
  <si>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</si>
  <si>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</si>
  <si>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</si>
  <si>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</si>
  <si>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</si>
  <si>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</si>
  <si>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</si>
  <si>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</si>
  <si>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</si>
  <si>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</si>
  <si>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</si>
  <si>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</si>
  <si>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</si>
  <si>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</si>
  <si>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</si>
  <si>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</si>
  <si>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</si>
  <si>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</si>
  <si>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</si>
  <si>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</si>
  <si>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</si>
  <si>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</si>
  <si>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</si>
  <si>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</si>
  <si>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</si>
  <si>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</si>
  <si>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</si>
  <si>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</si>
  <si>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</si>
  <si>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</si>
  <si>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</si>
  <si>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</si>
  <si>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</si>
  <si>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</si>
  <si>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</si>
  <si>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</si>
  <si>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</si>
  <si>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</si>
  <si>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</si>
  <si>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</si>
  <si>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</si>
  <si>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</si>
  <si>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</si>
  <si>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</si>
  <si>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</si>
  <si>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</si>
  <si>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</si>
  <si>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</si>
  <si>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</si>
  <si>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</si>
  <si>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</si>
  <si>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</si>
  <si>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</si>
  <si>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</si>
  <si>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</si>
  <si>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</si>
  <si>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</si>
  <si>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</si>
  <si>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</si>
  <si>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</si>
  <si>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</si>
  <si>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</si>
  <si>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</si>
  <si>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</si>
  <si>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</si>
  <si>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</si>
  <si>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</si>
  <si>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</si>
  <si>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</si>
  <si>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</si>
  <si>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</si>
  <si>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</si>
  <si>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</si>
  <si>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</si>
  <si>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</si>
  <si>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</si>
  <si>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</si>
  <si>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</si>
  <si>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</si>
  <si>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</si>
  <si>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</si>
  <si>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</si>
  <si>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</si>
  <si>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</si>
  <si>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</si>
  <si>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</si>
  <si>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</si>
  <si>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</si>
  <si>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</si>
  <si>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</si>
  <si>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</si>
  <si>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</si>
  <si>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</si>
  <si>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</si>
  <si>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</si>
  <si>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</si>
  <si>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</si>
  <si>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</si>
  <si>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</si>
  <si>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</si>
  <si>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</si>
  <si>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</si>
  <si>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</si>
  <si>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</si>
  <si>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</si>
  <si>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</si>
  <si>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</si>
  <si>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</si>
  <si>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</si>
  <si>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</si>
  <si>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</si>
  <si>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</si>
  <si>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</si>
  <si>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</si>
  <si>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</si>
  <si>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</si>
  <si>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</si>
  <si>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</si>
  <si>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</si>
  <si>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</si>
  <si>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</si>
  <si>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</si>
  <si>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</si>
  <si>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</si>
  <si>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</si>
  <si>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</si>
  <si>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</si>
  <si>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</si>
  <si>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</si>
  <si>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</si>
  <si>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</si>
  <si>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</si>
  <si>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</si>
  <si>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</si>
  <si>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</si>
  <si>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</si>
  <si>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</si>
  <si>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</si>
  <si>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</si>
  <si>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</si>
  <si>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</si>
  <si>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</si>
  <si>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</si>
  <si>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</si>
  <si>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</si>
  <si>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</si>
  <si>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</si>
  <si>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</si>
  <si>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</si>
  <si>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</si>
  <si>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</si>
  <si>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</si>
  <si>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</si>
  <si>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</si>
  <si>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</si>
  <si>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</si>
  <si>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</si>
  <si>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</si>
  <si>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</si>
  <si>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</si>
  <si>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</si>
  <si>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</si>
  <si>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</si>
  <si>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</si>
  <si>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</si>
  <si>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</si>
  <si>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</si>
  <si>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</si>
  <si>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</si>
  <si>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</si>
  <si>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</si>
  <si>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</si>
  <si>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</si>
  <si>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</si>
  <si>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</si>
  <si>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</si>
  <si>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</si>
  <si>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</si>
  <si>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</si>
  <si>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</si>
  <si>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</si>
  <si>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</si>
  <si>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</si>
  <si>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</si>
  <si>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</si>
  <si>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</si>
  <si>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</si>
  <si>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</si>
  <si>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</si>
  <si>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</si>
  <si>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</si>
  <si>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</si>
  <si>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</si>
  <si>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</si>
  <si>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</si>
  <si>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</si>
  <si>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</si>
  <si>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</si>
  <si>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</si>
  <si>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</si>
  <si>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</si>
  <si>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</si>
  <si>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</si>
  <si>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</si>
  <si>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</si>
  <si>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</si>
  <si>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</si>
  <si>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</si>
  <si>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</si>
  <si>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</si>
  <si>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</si>
  <si>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</si>
  <si>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</si>
  <si>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</si>
  <si>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</si>
  <si>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</si>
  <si>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</si>
  <si>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</si>
  <si>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</si>
  <si>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</si>
  <si>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</si>
  <si>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</si>
  <si>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</si>
  <si>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</si>
  <si>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</si>
  <si>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</si>
  <si>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</si>
  <si>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</si>
  <si>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</si>
  <si>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</si>
  <si>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</si>
  <si>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</si>
  <si>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</si>
  <si>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</si>
  <si>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</si>
  <si>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</si>
  <si>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</si>
  <si>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</si>
  <si>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</si>
  <si>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</si>
  <si>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</si>
  <si>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</si>
  <si>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</si>
  <si>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</si>
  <si>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</si>
  <si>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</si>
  <si>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</si>
  <si>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</si>
  <si>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</si>
  <si>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</si>
  <si>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</si>
  <si>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</si>
  <si>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</si>
  <si>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</si>
  <si>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</si>
  <si>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</si>
  <si>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</si>
  <si>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</si>
  <si>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</si>
  <si>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</si>
  <si>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</si>
  <si>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</si>
  <si>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</si>
  <si>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</si>
  <si>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</si>
  <si>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</si>
  <si>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</si>
  <si>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</si>
  <si>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</si>
  <si>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</si>
  <si>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</si>
  <si>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</si>
  <si>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</si>
  <si>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</si>
  <si>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</si>
  <si>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</si>
  <si>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</si>
  <si>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</si>
  <si>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</si>
  <si>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</si>
  <si>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</si>
  <si>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</si>
  <si>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</si>
  <si>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</si>
  <si>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</si>
  <si>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</si>
  <si>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</si>
  <si>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</si>
  <si>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</si>
  <si>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</si>
  <si>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</si>
  <si>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</si>
  <si>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</si>
  <si>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</si>
  <si>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</si>
  <si>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</si>
  <si>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</si>
  <si>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</si>
  <si>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</si>
  <si>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</si>
  <si>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</si>
  <si>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</si>
  <si>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</si>
  <si>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</si>
  <si>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</si>
  <si>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</si>
  <si>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</si>
  <si>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</si>
  <si>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</si>
  <si>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</si>
  <si>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</si>
  <si>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</si>
  <si>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</si>
  <si>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</si>
  <si>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</si>
  <si>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</si>
  <si>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</si>
  <si>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</si>
  <si>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</si>
  <si>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</si>
  <si>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</si>
  <si>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</si>
  <si>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</si>
  <si>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</si>
  <si>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</si>
  <si>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</si>
  <si>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</si>
  <si>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</si>
  <si>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</si>
  <si>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</si>
  <si>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</si>
  <si>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</si>
  <si>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</si>
  <si>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</si>
  <si>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</si>
  <si>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</si>
  <si>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</si>
  <si>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</si>
  <si>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</si>
  <si>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</si>
  <si>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</si>
  <si>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</si>
  <si>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</si>
  <si>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</si>
  <si>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</si>
  <si>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</si>
  <si>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</si>
  <si>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</si>
  <si>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</si>
  <si>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</si>
  <si>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</si>
  <si>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</si>
  <si>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</si>
  <si>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</si>
  <si>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</si>
  <si>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</si>
  <si>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</si>
  <si>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</si>
  <si>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</si>
  <si>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</si>
  <si>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</si>
  <si>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</si>
  <si>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</si>
  <si>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</si>
  <si>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</si>
  <si>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</si>
  <si>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</si>
  <si>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</si>
  <si>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</si>
  <si>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</si>
  <si>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</si>
  <si>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</si>
  <si>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</si>
  <si>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</si>
  <si>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</si>
  <si>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</si>
  <si>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</si>
  <si>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</si>
  <si>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</si>
  <si>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</si>
  <si>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</si>
  <si>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</si>
  <si>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</si>
  <si>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</si>
  <si>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</si>
  <si>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</si>
  <si>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</si>
  <si>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</si>
  <si>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</si>
  <si>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</si>
  <si>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</si>
  <si>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</si>
  <si>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</si>
  <si>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</si>
  <si>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</si>
  <si>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</si>
  <si>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</si>
  <si>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</si>
  <si>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</si>
  <si>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</si>
  <si>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</si>
  <si>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</si>
  <si>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</si>
  <si>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</si>
  <si>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</si>
  <si>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</si>
  <si>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</si>
  <si>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</si>
  <si>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</si>
  <si>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</si>
  <si>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</si>
  <si>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</si>
  <si>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</si>
  <si>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</si>
  <si>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</si>
  <si>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</si>
  <si>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</si>
  <si>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</si>
  <si>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</si>
  <si>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</si>
  <si>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</si>
  <si>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</si>
  <si>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</si>
  <si>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</si>
  <si>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</si>
  <si>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</si>
  <si>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</si>
  <si>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</si>
  <si>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</si>
  <si>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</si>
  <si>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</si>
  <si>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</si>
  <si>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</si>
  <si>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</si>
  <si>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</si>
  <si>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</si>
  <si>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</si>
  <si>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</si>
  <si>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</si>
  <si>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</si>
  <si>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</si>
  <si>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</si>
  <si>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</si>
  <si>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</si>
  <si>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</si>
  <si>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</si>
  <si>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</si>
  <si>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</si>
  <si>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</si>
  <si>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</si>
  <si>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</si>
  <si>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</si>
  <si>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</si>
  <si>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</si>
  <si>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</si>
  <si>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</si>
  <si>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</si>
  <si>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</si>
  <si>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</si>
  <si>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</si>
  <si>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</si>
  <si>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</si>
  <si>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</si>
  <si>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</si>
  <si>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</si>
  <si>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</si>
  <si>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</si>
  <si>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</si>
  <si>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</si>
  <si>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</si>
  <si>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</si>
  <si>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</si>
  <si>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</si>
  <si>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</si>
  <si>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</si>
  <si>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</si>
  <si>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</si>
  <si>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</si>
  <si>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</si>
  <si>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</si>
  <si>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</si>
  <si>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</si>
  <si>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</si>
  <si>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</si>
  <si>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</si>
  <si>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</si>
  <si>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</si>
  <si>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</si>
  <si>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</si>
  <si>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</si>
  <si>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</si>
  <si>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</si>
  <si>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</si>
  <si>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</si>
  <si>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</si>
  <si>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</si>
  <si>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</si>
  <si>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</si>
  <si>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</si>
  <si>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</si>
  <si>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</si>
  <si>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</si>
  <si>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</si>
  <si>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</si>
  <si>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</si>
  <si>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</si>
  <si>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</si>
  <si>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</si>
  <si>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</si>
  <si>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</si>
  <si>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</si>
  <si>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</si>
  <si>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</si>
  <si>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</si>
  <si>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</si>
  <si>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</si>
  <si>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</si>
  <si>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</si>
  <si>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</si>
  <si>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</si>
  <si>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</si>
  <si>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</si>
  <si>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</si>
  <si>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</si>
  <si>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</si>
  <si>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</si>
  <si>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</si>
  <si>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</si>
  <si>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</si>
  <si>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</si>
  <si>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</si>
  <si>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</si>
  <si>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</si>
  <si>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</si>
  <si>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</si>
  <si>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</si>
  <si>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</si>
  <si>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</si>
  <si>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</si>
  <si>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</si>
  <si>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</si>
  <si>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</si>
  <si>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</si>
  <si>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</si>
  <si>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</si>
  <si>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</si>
  <si>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</si>
  <si>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</si>
  <si>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</si>
  <si>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</si>
  <si>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</si>
  <si>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</si>
  <si>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</si>
  <si>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</si>
  <si>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</si>
  <si>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</si>
  <si>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</si>
  <si>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</si>
  <si>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</si>
  <si>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</si>
  <si>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</si>
  <si>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</si>
  <si>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</si>
  <si>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</si>
  <si>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</si>
  <si>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</si>
  <si>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</si>
  <si>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</si>
  <si>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</si>
  <si>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</si>
  <si>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</si>
  <si>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</si>
  <si>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</si>
  <si>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</si>
  <si>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</si>
  <si>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</si>
  <si>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</si>
  <si>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</si>
  <si>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</si>
  <si>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</si>
  <si>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</si>
  <si>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</si>
  <si>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</si>
  <si>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</si>
  <si>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</si>
  <si>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</si>
  <si>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</si>
  <si>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</si>
  <si>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</si>
  <si>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</si>
  <si>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</si>
  <si>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</si>
  <si>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</si>
  <si>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</si>
  <si>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</si>
  <si>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</si>
  <si>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</si>
  <si>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</si>
  <si>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</si>
  <si>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</si>
  <si>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</si>
  <si>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</si>
  <si>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</si>
  <si>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</si>
  <si>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</si>
  <si>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</si>
  <si>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</si>
  <si>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</si>
  <si>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</si>
  <si>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</si>
  <si>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</si>
  <si>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</si>
  <si>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</si>
  <si>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</si>
  <si>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</si>
  <si>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</si>
  <si>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</si>
  <si>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</si>
  <si>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</si>
  <si>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</si>
  <si>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</si>
  <si>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</si>
  <si>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</si>
  <si>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</si>
  <si>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</si>
  <si>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</si>
  <si>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</si>
  <si>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</si>
  <si>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</si>
  <si>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</si>
  <si>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</si>
  <si>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</si>
  <si>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</si>
  <si>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</si>
  <si>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</si>
  <si>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</si>
  <si>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</si>
  <si>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</si>
  <si>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</si>
  <si>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</si>
  <si>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</si>
  <si>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</si>
  <si>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</si>
  <si>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</si>
  <si>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</si>
  <si>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</si>
  <si>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</si>
  <si>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</si>
  <si>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</si>
  <si>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</si>
  <si>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</si>
  <si>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</si>
  <si>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</si>
  <si>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</si>
  <si>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</si>
  <si>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</si>
  <si>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</si>
  <si>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</si>
  <si>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</si>
  <si>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</si>
  <si>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</si>
  <si>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</si>
  <si>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</si>
  <si>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</si>
  <si>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</si>
  <si>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</si>
  <si>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</si>
  <si>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</si>
  <si>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</si>
  <si>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</si>
  <si>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</si>
  <si>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</si>
  <si>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</si>
  <si>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</si>
  <si>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</si>
  <si>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</si>
  <si>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</si>
  <si>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</si>
  <si>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</si>
  <si>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</si>
  <si>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</si>
  <si>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</si>
  <si>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</si>
  <si>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</si>
  <si>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</si>
  <si>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</si>
  <si>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</si>
  <si>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</si>
  <si>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</si>
  <si>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</si>
  <si>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</si>
  <si>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</si>
  <si>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</si>
  <si>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</si>
  <si>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</si>
  <si>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</si>
  <si>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</si>
  <si>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</si>
  <si>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</si>
  <si>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</si>
  <si>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</si>
  <si>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</si>
  <si>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</si>
  <si>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</si>
  <si>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</si>
  <si>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</si>
  <si>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</si>
  <si>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</si>
  <si>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</si>
  <si>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</si>
  <si>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</si>
  <si>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</si>
  <si>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</si>
  <si>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</si>
  <si>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</si>
  <si>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</si>
  <si>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</si>
  <si>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</si>
  <si>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</si>
  <si>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</si>
  <si>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</si>
  <si>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</si>
  <si>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</si>
  <si>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</si>
  <si>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</si>
  <si>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</si>
  <si>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</si>
  <si>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</si>
  <si>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</si>
  <si>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</si>
  <si>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</si>
  <si>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</si>
  <si>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</si>
  <si>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</si>
  <si>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</si>
  <si>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</si>
  <si>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</si>
  <si>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</si>
  <si>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</si>
  <si>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</si>
  <si>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</si>
  <si>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</si>
  <si>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</si>
  <si>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</si>
  <si>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</si>
  <si>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</si>
  <si>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</si>
  <si>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</si>
  <si>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</si>
  <si>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</si>
  <si>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</si>
  <si>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</si>
  <si>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</si>
  <si>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</si>
  <si>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</si>
  <si>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</si>
  <si>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</si>
  <si>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</si>
  <si>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</si>
  <si>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</si>
  <si>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</si>
  <si>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</si>
  <si>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</si>
  <si>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</si>
  <si>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</si>
  <si>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</si>
  <si>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</si>
  <si>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</si>
  <si>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</si>
  <si>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</si>
  <si>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</si>
  <si>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</si>
  <si>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</si>
  <si>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</si>
  <si>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</si>
  <si>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</si>
  <si>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</si>
  <si>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</si>
  <si>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</si>
  <si>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</si>
  <si>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</si>
  <si>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</si>
  <si>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</si>
  <si>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</si>
  <si>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</si>
  <si>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</si>
  <si>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</si>
  <si>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</si>
  <si>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</si>
  <si>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</si>
  <si>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</si>
  <si>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</si>
  <si>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</si>
  <si>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</si>
  <si>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</si>
  <si>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</si>
  <si>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</si>
  <si>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</si>
  <si>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</si>
  <si>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</si>
  <si>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</si>
  <si>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</si>
  <si>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</si>
  <si>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</si>
  <si>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</si>
  <si>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</si>
  <si>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</si>
  <si>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</si>
  <si>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</si>
  <si>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</si>
  <si>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</si>
  <si>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</si>
  <si>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</si>
  <si>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</si>
  <si>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</si>
  <si>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</si>
  <si>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</si>
  <si>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</si>
  <si>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</si>
  <si>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</si>
  <si>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</si>
  <si>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</si>
  <si>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</si>
  <si>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</si>
  <si>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</si>
  <si>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</si>
  <si>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</si>
  <si>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</si>
  <si>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</si>
  <si>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</si>
  <si>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</si>
  <si>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</si>
  <si>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</si>
  <si>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</si>
  <si>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</si>
  <si>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</si>
  <si>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</si>
  <si>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</si>
  <si>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</si>
  <si>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</si>
  <si>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</si>
  <si>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</si>
  <si>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</si>
  <si>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</si>
  <si>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</si>
  <si>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</si>
  <si>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</si>
  <si>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</si>
  <si>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</si>
  <si>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</si>
  <si>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</si>
  <si>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</si>
  <si>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</si>
  <si>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</si>
  <si>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</si>
  <si>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</si>
  <si>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</si>
  <si>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</si>
  <si>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</si>
  <si>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</si>
  <si>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</si>
  <si>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</si>
  <si>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</si>
  <si>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</si>
  <si>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</si>
  <si>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</si>
  <si>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</si>
  <si>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</si>
  <si>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</si>
  <si>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</si>
  <si>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</si>
  <si>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</si>
  <si>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</si>
  <si>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</si>
  <si>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</si>
  <si>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</si>
  <si>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</si>
  <si>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</si>
  <si>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</si>
  <si>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</si>
  <si>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</si>
  <si>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</si>
  <si>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</si>
  <si>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</si>
  <si>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</si>
  <si>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</si>
  <si>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</si>
  <si>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</si>
  <si>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</si>
  <si>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</si>
  <si>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</si>
  <si>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</si>
  <si>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</si>
  <si>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</si>
  <si>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</si>
  <si>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</si>
  <si>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</si>
  <si>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</si>
  <si>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</si>
  <si>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</si>
  <si>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</si>
  <si>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</si>
  <si>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</si>
  <si>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</si>
  <si>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</si>
  <si>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</si>
  <si>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</si>
  <si>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</si>
  <si>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</si>
  <si>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</si>
  <si>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</si>
  <si>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</si>
  <si>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</si>
  <si>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</si>
  <si>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</si>
  <si>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</si>
  <si>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</si>
  <si>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</si>
  <si>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</si>
  <si>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</si>
  <si>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</si>
  <si>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</si>
  <si>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</si>
  <si>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</si>
  <si>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</si>
  <si>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</si>
  <si>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</si>
  <si>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</si>
  <si>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</si>
  <si>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</si>
  <si>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</si>
  <si>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</si>
  <si>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</si>
  <si>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</si>
  <si>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</si>
  <si>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</si>
  <si>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</si>
  <si>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</si>
  <si>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</si>
  <si>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</si>
  <si>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</si>
  <si>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</si>
  <si>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</si>
  <si>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</si>
  <si>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</si>
  <si>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</si>
  <si>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</si>
  <si>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</si>
  <si>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</si>
  <si>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</si>
  <si>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</si>
  <si>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</si>
  <si>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</si>
  <si>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</si>
  <si>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</si>
  <si>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</si>
  <si>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</si>
  <si>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</si>
  <si>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</si>
  <si>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</si>
  <si>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</si>
  <si>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</si>
  <si>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</si>
  <si>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</si>
  <si>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</si>
  <si>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</si>
  <si>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</si>
  <si>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</si>
  <si>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</si>
  <si>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</si>
  <si>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</si>
  <si>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</si>
  <si>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</si>
  <si>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</si>
  <si>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</si>
  <si>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</si>
  <si>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</si>
  <si>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</si>
  <si>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</si>
  <si>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</si>
  <si>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</si>
  <si>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</si>
  <si>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</si>
  <si>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</si>
  <si>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</si>
  <si>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</si>
  <si>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</si>
  <si>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</si>
  <si>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</si>
  <si>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</si>
  <si>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</si>
  <si>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</si>
  <si>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</si>
  <si>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</si>
  <si>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</si>
  <si>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</si>
  <si>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</si>
  <si>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</si>
  <si>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</si>
  <si>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</si>
  <si>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</si>
  <si>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</si>
  <si>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</si>
  <si>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</si>
  <si>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</si>
  <si>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</si>
  <si>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</si>
  <si>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</si>
  <si>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</si>
  <si>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</si>
  <si>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</si>
  <si>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</si>
  <si>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</si>
  <si>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</si>
  <si>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</si>
  <si>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</si>
  <si>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</si>
  <si>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</si>
  <si>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</si>
  <si>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</si>
  <si>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</si>
  <si>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</si>
  <si>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</si>
  <si>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</si>
  <si>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</si>
  <si>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</si>
  <si>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</si>
  <si>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</si>
  <si>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</si>
  <si>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</si>
  <si>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</si>
  <si>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</si>
  <si>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</si>
  <si>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</si>
  <si>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</si>
  <si>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</si>
  <si>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</si>
  <si>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</si>
  <si>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</si>
  <si>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</si>
  <si>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</si>
  <si>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</si>
  <si>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</si>
  <si>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</si>
  <si>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</si>
  <si>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</si>
  <si>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</si>
  <si>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</si>
  <si>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</si>
  <si>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</si>
  <si>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</si>
  <si>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</si>
  <si>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</si>
  <si>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</si>
  <si>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</si>
  <si>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</si>
  <si>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</si>
  <si>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</si>
  <si>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</si>
  <si>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</si>
  <si>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</si>
  <si>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</si>
  <si>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</si>
  <si>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</si>
  <si>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</si>
  <si>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</si>
  <si>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</si>
  <si>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</si>
  <si>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</si>
  <si>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</si>
  <si>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</si>
  <si>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</si>
  <si>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</si>
  <si>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</si>
  <si>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</si>
  <si>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</si>
  <si>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</si>
  <si>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</si>
  <si>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</si>
  <si>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</si>
  <si>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</si>
  <si>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</si>
  <si>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</si>
  <si>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</si>
  <si>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</si>
  <si>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</si>
  <si>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</si>
  <si>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</si>
  <si>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</si>
  <si>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</si>
  <si>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</si>
  <si>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</si>
  <si>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</si>
  <si>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</si>
  <si>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</si>
  <si>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</si>
  <si>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</si>
  <si>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</si>
  <si>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</si>
  <si>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</si>
  <si>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</si>
  <si>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</si>
  <si>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</si>
  <si>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</si>
  <si>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</si>
  <si>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</si>
  <si>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</si>
  <si>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</si>
  <si>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</si>
  <si>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</si>
  <si>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</si>
  <si>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</si>
  <si>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</si>
  <si>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</si>
  <si>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</si>
  <si>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</si>
  <si>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</si>
  <si>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</si>
  <si>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</si>
  <si>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</si>
  <si>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</si>
  <si>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</si>
  <si>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</si>
  <si>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</si>
  <si>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</si>
  <si>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</si>
  <si>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</si>
  <si>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</si>
  <si>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</si>
  <si>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</si>
  <si>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</si>
  <si>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</si>
  <si>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</si>
  <si>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</si>
  <si>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</si>
  <si>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</si>
  <si>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</si>
  <si>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</si>
  <si>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</si>
  <si>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</si>
  <si>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</si>
  <si>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</si>
  <si>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</si>
  <si>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</si>
  <si>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</si>
  <si>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</si>
  <si>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</si>
  <si>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</si>
  <si>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</si>
  <si>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</si>
  <si>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</si>
  <si>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</si>
  <si>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</si>
  <si>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</si>
  <si>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</si>
  <si>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</si>
  <si>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</si>
  <si>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</si>
  <si>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</si>
  <si>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</si>
  <si>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</si>
  <si>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</si>
  <si>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</si>
  <si>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</si>
  <si>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</si>
  <si>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</si>
  <si>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</si>
  <si>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</si>
  <si>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</si>
  <si>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</si>
  <si>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</si>
  <si>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</si>
  <si>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</si>
  <si>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</si>
  <si>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</si>
  <si>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</si>
  <si>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</si>
  <si>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</si>
  <si>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</si>
  <si>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</si>
  <si>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</si>
  <si>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</si>
  <si>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</si>
  <si>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</si>
  <si>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</si>
  <si>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</si>
  <si>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</si>
  <si>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</si>
  <si>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</si>
  <si>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</si>
  <si>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</si>
  <si>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</si>
  <si>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</si>
  <si>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</si>
  <si>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</si>
  <si>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</si>
  <si>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</si>
  <si>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</si>
  <si>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</si>
  <si>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</si>
  <si>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</si>
  <si>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</si>
  <si>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</si>
  <si>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</si>
  <si>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</si>
  <si>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</si>
  <si>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</si>
  <si>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</si>
  <si>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</si>
  <si>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</si>
  <si>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</si>
  <si>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</si>
  <si>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</si>
  <si>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</si>
  <si>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</si>
  <si>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</si>
  <si>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</si>
  <si>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</si>
  <si>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</si>
  <si>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</si>
  <si>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</si>
  <si>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</si>
  <si>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</si>
  <si>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</si>
  <si>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</si>
  <si>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</si>
  <si>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</si>
  <si>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</si>
  <si>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</si>
  <si>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</si>
  <si>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</si>
  <si>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</si>
  <si>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</si>
  <si>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</si>
  <si>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</si>
  <si>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</si>
  <si>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</si>
  <si>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</si>
  <si>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</si>
  <si>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</si>
  <si>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</si>
  <si>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</si>
  <si>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</si>
  <si>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</si>
  <si>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</si>
  <si>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</si>
  <si>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</si>
  <si>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</si>
  <si>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</si>
  <si>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</si>
  <si>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</si>
  <si>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</si>
  <si>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</si>
  <si>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</si>
  <si>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</si>
  <si>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</si>
  <si>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</si>
  <si>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</si>
  <si>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</si>
  <si>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</si>
  <si>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</si>
  <si>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</si>
  <si>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</si>
  <si>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</si>
  <si>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</si>
  <si>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</si>
  <si>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</si>
  <si>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</si>
  <si>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</si>
  <si>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</si>
  <si>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</si>
  <si>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</si>
  <si>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</si>
  <si>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</si>
  <si>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</si>
  <si>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</si>
  <si>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</si>
  <si>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</si>
  <si>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</si>
  <si>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</si>
  <si>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</si>
  <si>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</si>
  <si>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</si>
  <si>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</si>
  <si>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</si>
  <si>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</si>
  <si>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</si>
  <si>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</si>
  <si>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</si>
  <si>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</si>
  <si>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</si>
  <si>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</si>
  <si>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</si>
  <si>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</si>
  <si>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</si>
  <si>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</si>
  <si>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</si>
  <si>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</si>
  <si>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</si>
  <si>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</si>
  <si>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</si>
  <si>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</si>
  <si>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</si>
  <si>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</si>
  <si>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</si>
  <si>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</si>
  <si>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</si>
  <si>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</si>
  <si>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</si>
  <si>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</si>
  <si>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</si>
  <si>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</si>
  <si>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</si>
  <si>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</si>
  <si>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</si>
  <si>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</si>
  <si>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</si>
  <si>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</si>
  <si>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</si>
  <si>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</si>
  <si>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</si>
  <si>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</si>
  <si>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</si>
  <si>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</si>
  <si>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</si>
  <si>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</si>
  <si>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</si>
  <si>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</si>
  <si>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</si>
  <si>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</si>
  <si>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</si>
  <si>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</si>
  <si>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</si>
  <si>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</si>
  <si>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</si>
  <si>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</si>
  <si>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</si>
  <si>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</si>
  <si>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</si>
  <si>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</si>
  <si>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</si>
  <si>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</si>
  <si>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</si>
  <si>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</si>
  <si>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</si>
  <si>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</si>
  <si>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</si>
  <si>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</si>
  <si>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</si>
  <si>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</si>
  <si>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</si>
  <si>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</si>
  <si>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</si>
  <si>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</si>
  <si>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</si>
  <si>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</si>
  <si>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</si>
  <si>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</si>
  <si>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</si>
  <si>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</si>
  <si>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</si>
  <si>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</si>
  <si>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</si>
  <si>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</si>
  <si>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</si>
  <si>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</si>
  <si>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</si>
  <si>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</si>
  <si>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</si>
  <si>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</si>
  <si>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</si>
  <si>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</si>
  <si>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</si>
  <si>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</si>
  <si>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</si>
  <si>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</si>
  <si>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</si>
  <si>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</si>
  <si>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</si>
  <si>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</si>
  <si>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</si>
  <si>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</si>
  <si>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</si>
  <si>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</si>
  <si>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</si>
  <si>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</si>
  <si>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</si>
  <si>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</si>
  <si>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</si>
  <si>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</si>
  <si>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</si>
  <si>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</si>
  <si>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</si>
  <si>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</si>
  <si>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</si>
  <si>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</si>
  <si>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</si>
  <si>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</si>
  <si>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</si>
  <si>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</si>
  <si>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</si>
  <si>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</si>
  <si>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</si>
  <si>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</si>
  <si>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</si>
  <si>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</si>
  <si>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</si>
  <si>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</si>
  <si>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</si>
  <si>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</si>
  <si>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</si>
  <si>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</si>
  <si>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</si>
  <si>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</si>
  <si>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</si>
  <si>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</si>
  <si>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</si>
  <si>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</si>
  <si>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</si>
  <si>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</si>
  <si>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</si>
  <si>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</si>
  <si>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</si>
  <si>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</si>
  <si>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</si>
  <si>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</si>
  <si>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</si>
  <si>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</si>
  <si>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</si>
  <si>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</si>
  <si>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</si>
  <si>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</si>
  <si>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</si>
  <si>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</si>
  <si>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</si>
  <si>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</si>
  <si>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</si>
  <si>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</si>
  <si>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</si>
  <si>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</si>
  <si>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</si>
  <si>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</si>
  <si>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</si>
  <si>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</si>
  <si>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</si>
  <si>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</si>
  <si>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</si>
  <si>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</si>
  <si>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</si>
  <si>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</si>
  <si>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</si>
  <si>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</si>
  <si>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</si>
  <si>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</si>
  <si>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</si>
  <si>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</si>
  <si>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</si>
  <si>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</si>
  <si>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</si>
  <si>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</si>
  <si>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</si>
  <si>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</si>
  <si>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</si>
  <si>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</si>
  <si>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</si>
  <si>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</si>
  <si>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</si>
  <si>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</si>
  <si>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</si>
  <si>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</si>
  <si>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</si>
  <si>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</si>
  <si>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</si>
  <si>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</si>
  <si>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</si>
  <si>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</si>
  <si>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</si>
  <si>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</si>
  <si>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</si>
  <si>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</si>
  <si>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</si>
  <si>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</si>
  <si>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</si>
  <si>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</si>
  <si>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</si>
  <si>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</si>
  <si>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</si>
  <si>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</si>
  <si>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</si>
  <si>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</si>
  <si>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</si>
  <si>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</si>
  <si>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</si>
  <si>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</si>
  <si>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</si>
  <si>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</si>
  <si>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</si>
  <si>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</si>
  <si>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</si>
  <si>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</si>
  <si>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</si>
  <si>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</si>
  <si>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</si>
  <si>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</si>
  <si>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</si>
  <si>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</si>
  <si>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</si>
  <si>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</si>
  <si>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</si>
  <si>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</si>
  <si>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</si>
  <si>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</si>
  <si>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</si>
  <si>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</si>
  <si>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</si>
  <si>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</si>
  <si>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</si>
  <si>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</si>
  <si>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</si>
  <si>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</si>
  <si>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</si>
  <si>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</si>
  <si>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</si>
  <si>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</si>
  <si>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</si>
  <si>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</si>
  <si>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</si>
  <si>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</si>
  <si>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</si>
  <si>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</si>
  <si>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</si>
  <si>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</si>
  <si>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</si>
  <si>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</si>
  <si>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</si>
  <si>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</si>
  <si>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</si>
  <si>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</si>
  <si>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</si>
  <si>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</si>
  <si>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</si>
  <si>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</si>
  <si>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</si>
  <si>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</si>
  <si>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</si>
  <si>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</si>
  <si>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</si>
  <si>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</si>
  <si>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</si>
  <si>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</si>
  <si>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</si>
  <si>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</si>
  <si>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</si>
  <si>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</si>
  <si>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</si>
  <si>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</si>
  <si>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</si>
  <si>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</si>
  <si>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</si>
  <si>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</si>
  <si>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</si>
  <si>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</si>
  <si>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</si>
  <si>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</si>
  <si>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</si>
  <si>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</si>
  <si>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</si>
  <si>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</si>
  <si>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</si>
  <si>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</si>
  <si>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</si>
  <si>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</si>
  <si>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</si>
  <si>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</si>
  <si>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</si>
  <si>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</si>
  <si>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</si>
  <si>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</si>
  <si>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</si>
  <si>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</si>
  <si>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</si>
  <si>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</si>
  <si>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</si>
  <si>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</si>
  <si>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</si>
  <si>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</si>
  <si>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</si>
  <si>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</si>
  <si>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</si>
  <si>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</si>
  <si>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</si>
  <si>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</si>
  <si>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</si>
  <si>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</si>
  <si>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</si>
  <si>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</si>
  <si>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</si>
  <si>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</si>
  <si>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</si>
  <si>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</si>
  <si>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</si>
  <si>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</si>
  <si>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</si>
  <si>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</si>
  <si>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</si>
  <si>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</si>
  <si>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</si>
  <si>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</si>
  <si>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</si>
  <si>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</si>
  <si>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</si>
  <si>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</si>
  <si>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</si>
  <si>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</si>
  <si>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</si>
  <si>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</si>
  <si>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</si>
  <si>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</si>
  <si>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</si>
  <si>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</si>
  <si>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</si>
  <si>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</si>
  <si>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</si>
  <si>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</si>
  <si>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</si>
  <si>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</si>
  <si>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</si>
  <si>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</si>
  <si>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</si>
  <si>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</si>
  <si>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</si>
  <si>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</si>
  <si>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</si>
  <si>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</si>
  <si>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</si>
  <si>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</si>
  <si>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</si>
  <si>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</si>
  <si>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</si>
  <si>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</si>
  <si>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</si>
  <si>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</si>
  <si>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</si>
  <si>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</si>
  <si>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</si>
  <si>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</si>
  <si>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</si>
  <si>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</si>
  <si>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</si>
  <si>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</si>
  <si>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</si>
  <si>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</si>
  <si>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</si>
  <si>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</si>
  <si>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</si>
  <si>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</si>
  <si>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</si>
  <si>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</si>
  <si>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</si>
  <si>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</si>
  <si>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</si>
  <si>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</si>
  <si>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</si>
  <si>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</si>
  <si>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</si>
  <si>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</si>
  <si>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</si>
  <si>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</si>
  <si>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</si>
  <si>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</si>
  <si>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</si>
  <si>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</si>
  <si>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</si>
  <si>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</si>
  <si>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</si>
  <si>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</si>
  <si>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</si>
  <si>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</si>
  <si>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</si>
  <si>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</si>
  <si>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</si>
  <si>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</si>
  <si>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</si>
  <si>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</si>
  <si>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</si>
  <si>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</si>
  <si>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</si>
  <si>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</si>
  <si>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</si>
  <si>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</si>
  <si>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</si>
  <si>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</si>
  <si>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</si>
  <si>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</si>
  <si>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</si>
  <si>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</si>
  <si>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</si>
  <si>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</si>
  <si>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</si>
  <si>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</si>
  <si>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</si>
  <si>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</si>
  <si>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</si>
  <si>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</si>
  <si>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</si>
  <si>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</si>
  <si>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</si>
  <si>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</si>
  <si>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</si>
  <si>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</si>
  <si>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</si>
  <si>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</si>
  <si>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</si>
  <si>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</si>
  <si>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</si>
  <si>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</si>
  <si>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</si>
  <si>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</si>
  <si>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</si>
  <si>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</si>
  <si>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</si>
  <si>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</si>
  <si>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</si>
  <si>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</si>
  <si>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</si>
  <si>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</si>
  <si>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</si>
  <si>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</si>
  <si>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</si>
  <si>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</si>
  <si>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</si>
  <si>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</si>
  <si>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</si>
  <si>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</si>
  <si>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</si>
  <si>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</si>
  <si>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</si>
  <si>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</si>
  <si>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</si>
  <si>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</si>
  <si>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</si>
  <si>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</si>
  <si>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</si>
  <si>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</si>
  <si>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</si>
  <si>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</si>
  <si>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</si>
  <si>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</si>
  <si>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</si>
  <si>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</si>
  <si>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</si>
  <si>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</si>
  <si>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</si>
  <si>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</si>
  <si>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</si>
  <si>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</si>
  <si>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</si>
  <si>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</si>
  <si>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</si>
  <si>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</si>
  <si>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</si>
  <si>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</si>
  <si>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</si>
  <si>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</si>
  <si>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</si>
  <si>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</si>
  <si>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</si>
  <si>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</si>
  <si>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</si>
  <si>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</si>
  <si>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</si>
  <si>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</si>
  <si>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</si>
  <si>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</si>
  <si>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</si>
  <si>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</si>
  <si>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</si>
  <si>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</si>
  <si>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</si>
  <si>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</si>
  <si>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</si>
  <si>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</si>
  <si>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</si>
  <si>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</si>
  <si>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</si>
  <si>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</si>
  <si>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</si>
  <si>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</si>
  <si>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</si>
  <si>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</si>
  <si>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</si>
  <si>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</si>
  <si>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</si>
  <si>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</si>
  <si>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</si>
  <si>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</si>
  <si>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</si>
  <si>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</si>
  <si>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</si>
  <si>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</si>
  <si>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</si>
  <si>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</si>
  <si>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</si>
  <si>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</si>
  <si>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</si>
  <si>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</si>
  <si>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</si>
  <si>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</si>
  <si>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</si>
  <si>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</si>
  <si>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</si>
  <si>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</si>
  <si>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</si>
  <si>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</si>
  <si>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</si>
  <si>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</si>
  <si>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</si>
  <si>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</si>
  <si>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</si>
  <si>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</si>
  <si>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</si>
  <si>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</si>
  <si>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</si>
  <si>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</si>
  <si>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</si>
  <si>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</si>
  <si>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</si>
  <si>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</si>
  <si>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</si>
  <si>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</si>
  <si>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</si>
  <si>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</si>
  <si>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</si>
  <si>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</si>
  <si>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</si>
  <si>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</si>
  <si>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</si>
  <si>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</si>
  <si>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</si>
  <si>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</si>
  <si>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</si>
  <si>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</si>
  <si>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</si>
  <si>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</si>
  <si>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</si>
  <si>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</si>
  <si>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</si>
  <si>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</si>
  <si>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</si>
  <si>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</si>
  <si>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</si>
  <si>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</si>
  <si>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</si>
  <si>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</si>
  <si>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</si>
  <si>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</si>
  <si>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</si>
  <si>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</si>
  <si>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</si>
  <si>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</si>
  <si>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</si>
  <si>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</si>
  <si>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</si>
  <si>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</si>
  <si>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</si>
  <si>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</si>
  <si>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</si>
  <si>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</si>
  <si>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</si>
  <si>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</si>
  <si>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</si>
  <si>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</si>
  <si>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</si>
  <si>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</si>
  <si>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</si>
  <si>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</si>
  <si>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</si>
  <si>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</si>
  <si>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</si>
  <si>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</si>
  <si>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</si>
  <si>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</si>
  <si>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</si>
  <si>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</si>
  <si>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</si>
  <si>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</si>
  <si>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</si>
  <si>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</si>
  <si>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</si>
  <si>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</si>
  <si>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</si>
  <si>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</si>
  <si>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</si>
  <si>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</si>
  <si>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</si>
  <si>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</si>
  <si>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</si>
  <si>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</si>
  <si>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</si>
  <si>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</si>
  <si>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</si>
  <si>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</si>
  <si>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</si>
  <si>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</si>
  <si>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</si>
  <si>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</si>
  <si>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</si>
  <si>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</si>
  <si>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</si>
  <si>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</si>
  <si>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</si>
  <si>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</si>
  <si>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</si>
  <si>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</si>
  <si>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</si>
  <si>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</si>
  <si>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</si>
  <si>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</si>
  <si>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</si>
  <si>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</si>
  <si>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</si>
  <si>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</si>
  <si>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</si>
  <si>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</si>
  <si>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</si>
  <si>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</si>
  <si>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</si>
  <si>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</si>
  <si>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</si>
  <si>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</si>
  <si>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</si>
  <si>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</si>
  <si>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3" type="noConversion"/>
  </si>
  <si>
    <t>成交楼面价(除保障房)(元/㎡)</t>
  </si>
  <si>
    <t>溢价率</t>
  </si>
  <si>
    <t>出让年限</t>
  </si>
  <si>
    <t>竞报整体自持比例(%)</t>
  </si>
  <si>
    <t>竞报商品住房自持比例(%)</t>
  </si>
  <si>
    <t>竞报商办部分自持比例(%)</t>
  </si>
  <si>
    <t>雪山片区韩仓河东A-1地块</t>
  </si>
  <si>
    <t>济南市</t>
  </si>
  <si>
    <t>住宅用地</t>
  </si>
  <si>
    <t>历城区</t>
  </si>
  <si>
    <t>飞跃大道以北,韩仓河以东,韩仓大道以南</t>
  </si>
  <si>
    <t>挂牌</t>
  </si>
  <si>
    <t>2018TDGP05C0045</t>
  </si>
  <si>
    <t>居住</t>
  </si>
  <si>
    <t>1.0＜地上≤1.8地下≤1.0</t>
  </si>
  <si>
    <t>≤22%</t>
  </si>
  <si>
    <t>未开工</t>
  </si>
  <si>
    <t>2018-06-11</t>
  </si>
  <si>
    <t>2018-07-02</t>
  </si>
  <si>
    <t>2018-07-13</t>
  </si>
  <si>
    <t>济国土资告字[2018]7号-5</t>
  </si>
  <si>
    <t>已成交</t>
  </si>
  <si>
    <t>宁波宁兴房地产开发集团有限公司,济南隽恒房地产开发有限公司</t>
  </si>
  <si>
    <t>70年</t>
  </si>
  <si>
    <t>雪山片区韩仓河东A-2地块</t>
  </si>
  <si>
    <t>2018TDGP05C0046</t>
  </si>
  <si>
    <t>1.0＜地上≤1.5地下≤1.0</t>
  </si>
  <si>
    <t>≤20%</t>
  </si>
  <si>
    <t>济国土资告字[2018]7号-6</t>
  </si>
  <si>
    <t>济南金地艺境房地产开发有限公司</t>
  </si>
  <si>
    <t>郭店街道李东李西城中村改造项目A-1地块</t>
  </si>
  <si>
    <t>虞山北路以北,刘公河以东</t>
  </si>
  <si>
    <t>2018TDGP05C0043</t>
  </si>
  <si>
    <t>1.5≤地上≤2.0,地下≤1.0</t>
  </si>
  <si>
    <t>≤90</t>
  </si>
  <si>
    <t>济国土资告字[2018]7号-3</t>
  </si>
  <si>
    <t>济南璟界房地产开发有限公司</t>
  </si>
  <si>
    <t>历城区潘田片区B-18地块</t>
  </si>
  <si>
    <t>位于经十东路以南,旅游路以北,莲花山以东,绕城高速绿化带以西</t>
  </si>
  <si>
    <t>2018TDGP13R0040</t>
  </si>
  <si>
    <t>其他普通商品住房用地</t>
  </si>
  <si>
    <t>≥2.8且≤3.44</t>
  </si>
  <si>
    <t>2018-05-21</t>
  </si>
  <si>
    <t>2018-06-22</t>
  </si>
  <si>
    <t>济国土资告字[2018]6号-13</t>
  </si>
  <si>
    <t>济南万达城建设有限公司</t>
  </si>
  <si>
    <t>历城区潘田片区B-2地块</t>
  </si>
  <si>
    <t>2018TDGP13R0035</t>
  </si>
  <si>
    <t>≥2.2且≤2.72</t>
  </si>
  <si>
    <t>济国土资告字[2018]6号-8</t>
  </si>
  <si>
    <t>历城区潘田片区B-4地块</t>
  </si>
  <si>
    <t>2018TDGP13R0036</t>
  </si>
  <si>
    <t>≥2.8且≤3.48</t>
  </si>
  <si>
    <t>济国土资告字[2018]6号-9</t>
  </si>
  <si>
    <t>历城区潘田片区B-17地块</t>
  </si>
  <si>
    <t>2018TDGP13R0037</t>
  </si>
  <si>
    <t>≥2.8且≤3.35</t>
  </si>
  <si>
    <t>济国土资告字[2018]6号-10</t>
  </si>
  <si>
    <t>2018TDGP13R0039</t>
  </si>
  <si>
    <t>≥2.2且≤3.13</t>
  </si>
  <si>
    <t>济国土资告字[2018]6号-12</t>
  </si>
  <si>
    <t>历城区潘田片区B-16地块</t>
  </si>
  <si>
    <t>2018TDGP13R0038</t>
  </si>
  <si>
    <t>≥2.2且≤3.11</t>
  </si>
  <si>
    <t>济国土资告字[2018]6号-11</t>
  </si>
  <si>
    <t>历城区李东李西旧村改造统征储备用地A-2地块</t>
  </si>
  <si>
    <t>2017-G133</t>
  </si>
  <si>
    <t>≥2.2且≤2.9</t>
  </si>
  <si>
    <t>竞配建</t>
  </si>
  <si>
    <t>开工中</t>
  </si>
  <si>
    <t>2017-11-24</t>
  </si>
  <si>
    <t>2017-12-12</t>
  </si>
  <si>
    <t>2017-12-22</t>
  </si>
  <si>
    <t>济国土资告字[2017]12号-1</t>
  </si>
  <si>
    <t>济南荣耀房地产开发有限公司(荣盛)</t>
  </si>
  <si>
    <t>历城区大辛庄旧村改造项目黄电大街以西A-1地块</t>
  </si>
  <si>
    <t>2017-G136</t>
  </si>
  <si>
    <t>≥2.2且≤2.6</t>
  </si>
  <si>
    <t>济国土资告字[2017]12号-4</t>
  </si>
  <si>
    <t>山东信伟置业有限公司</t>
  </si>
  <si>
    <t>历城区鲍山街道韩仓河东A-5地块</t>
  </si>
  <si>
    <t>2017-G138</t>
  </si>
  <si>
    <t>≥1.6且≤2.2</t>
  </si>
  <si>
    <t>济国土资告字[2017]12号-6</t>
  </si>
  <si>
    <t>济南银盛泰博盛置业有限公司</t>
  </si>
  <si>
    <t>历城区大辛庄旧村改造项目黄电大街以东A-2地块</t>
  </si>
  <si>
    <t>2017-G134</t>
  </si>
  <si>
    <t>济国土资告字[2017]12号-2</t>
  </si>
  <si>
    <t>历城区大辛庄旧村改造项目黄电大街以东A-3地块</t>
  </si>
  <si>
    <t>2017-G135</t>
  </si>
  <si>
    <t>≥1.6且≤2.4</t>
  </si>
  <si>
    <t>济国土资告字[2017]12号-3</t>
  </si>
  <si>
    <t>历城区大辛庄旧村改造项目黄电大街以西A-2地块</t>
  </si>
  <si>
    <t>2017-G137</t>
  </si>
  <si>
    <t>济国土资告字[2017]12号-5</t>
  </si>
  <si>
    <t>新东站片区张马屯三四期C-6地块</t>
  </si>
  <si>
    <t>2017-G123</t>
  </si>
  <si>
    <t>≥2.2且≤2.52</t>
  </si>
  <si>
    <t>≤28.8</t>
  </si>
  <si>
    <t>2017-11-01</t>
  </si>
  <si>
    <t>2017-11-21</t>
  </si>
  <si>
    <t>2017-12-01</t>
  </si>
  <si>
    <t>济国土资告字[2017]11号-12</t>
  </si>
  <si>
    <t>章丘市碧桂园房地产开发有限公司</t>
  </si>
  <si>
    <t>新东站片区张马屯三四期C-2地块</t>
  </si>
  <si>
    <t>2017-G116</t>
  </si>
  <si>
    <t>≥1且≤1.22</t>
  </si>
  <si>
    <t>≤30</t>
  </si>
  <si>
    <t>定向安置房,</t>
  </si>
  <si>
    <t>竞配建,含保障房用地</t>
  </si>
  <si>
    <t>济国土资告字[2017]11号-5</t>
  </si>
  <si>
    <t>新东站片区张马屯三四期A-9地块</t>
  </si>
  <si>
    <t>2017-G121</t>
  </si>
  <si>
    <t>≥2.8且≤3.47</t>
  </si>
  <si>
    <t>≤41.6</t>
  </si>
  <si>
    <t>济国土资告字[2017]11号-10</t>
  </si>
  <si>
    <t>济南正驰置业有限公司</t>
  </si>
  <si>
    <t>新东站片区张马屯三四期C-12地块</t>
  </si>
  <si>
    <t>2017-G125</t>
  </si>
  <si>
    <t>≥1.6且≤2.06</t>
  </si>
  <si>
    <t>≤22</t>
  </si>
  <si>
    <t>济国土资告字[2017]11号-14</t>
  </si>
  <si>
    <t>新东站片区张马屯三四期A-8地块</t>
  </si>
  <si>
    <t>2017-G119</t>
  </si>
  <si>
    <t>≥1.6且≤2.31</t>
  </si>
  <si>
    <t>≤19.8</t>
  </si>
  <si>
    <t>济国土资告字[2017]11号-8</t>
  </si>
  <si>
    <t>新东站片区张马屯三四期A-7地块</t>
  </si>
  <si>
    <t>2017-G118</t>
  </si>
  <si>
    <t>＞1且≤1.78</t>
  </si>
  <si>
    <t>≤19.6</t>
  </si>
  <si>
    <t>济国土资告字[2017]11号-7</t>
  </si>
  <si>
    <t>济南泉秀置业有限公司</t>
  </si>
  <si>
    <t>新东站片区张马屯三四期A-14地块</t>
  </si>
  <si>
    <t>2017-G126</t>
  </si>
  <si>
    <t>≥1.6且≤2.16</t>
  </si>
  <si>
    <t>≤19.4</t>
  </si>
  <si>
    <t>济国土资告字[2017]11号-15</t>
  </si>
  <si>
    <t>新东站片区张马屯三四期A-13地块</t>
  </si>
  <si>
    <t>2017-G122</t>
  </si>
  <si>
    <t>≥2.2且≤3.17</t>
  </si>
  <si>
    <t>≤38.1</t>
  </si>
  <si>
    <t>济国土资告字[2017]11号-11</t>
  </si>
  <si>
    <t>省级棚改项目历城区洪翔路东B地块</t>
  </si>
  <si>
    <t>2017-G114</t>
  </si>
  <si>
    <t>≥2.9且≤3.8</t>
  </si>
  <si>
    <t>济国土资告字[2017]11号-3</t>
  </si>
  <si>
    <t>济南明东房地产有限公司</t>
  </si>
  <si>
    <t>新东站片区张马屯三四期C-8地块</t>
  </si>
  <si>
    <t>2017-G124</t>
  </si>
  <si>
    <t>济国土资告字[2017]11号-13</t>
  </si>
  <si>
    <t>新东站片区张马屯三四期C-5地块</t>
  </si>
  <si>
    <t>2017-G117</t>
  </si>
  <si>
    <t>＞1且≤1.58</t>
  </si>
  <si>
    <t>≤21.4</t>
  </si>
  <si>
    <t>济国土资告字[2017]11号-6</t>
  </si>
  <si>
    <t>新东站片区张马屯三四期A-15地块</t>
  </si>
  <si>
    <t>2017-G120</t>
  </si>
  <si>
    <t>≥2.2且≤2.51</t>
  </si>
  <si>
    <t>≤24.6</t>
  </si>
  <si>
    <t>济国土资告字[2017]11号-9</t>
  </si>
  <si>
    <t>高新区旅游路以南、凤凰路以西</t>
  </si>
  <si>
    <t>2017-G081</t>
  </si>
  <si>
    <t>≥1且≤1.3</t>
  </si>
  <si>
    <t>2017-06-30</t>
  </si>
  <si>
    <t>2017-08-01</t>
  </si>
  <si>
    <t>2017-08-11</t>
  </si>
  <si>
    <t>济国土资告字[2017]7号-3</t>
  </si>
  <si>
    <t>济南泰禾置业集团有限公司,济南高新控股集团有限公司</t>
  </si>
  <si>
    <t>2017-G090</t>
  </si>
  <si>
    <t>≥1且≤1.8</t>
  </si>
  <si>
    <t>济国土资告字[2017]7号-12</t>
  </si>
  <si>
    <t>山东百俊房地产开发有限公司(金科)</t>
  </si>
  <si>
    <t>高新区旅游路以南、凤凰路以东</t>
  </si>
  <si>
    <t>2017-G084</t>
  </si>
  <si>
    <t>≥1且≤1.6</t>
  </si>
  <si>
    <t>济国土资告字[2017]7号-6</t>
  </si>
  <si>
    <t>济南中垠鑫熙投资有限公司</t>
  </si>
  <si>
    <t>2017-G083</t>
  </si>
  <si>
    <t>济国土资告字[2017]7号-5</t>
  </si>
  <si>
    <t>2017-G089</t>
  </si>
  <si>
    <t>济国土资告字[2017]7号-11</t>
  </si>
  <si>
    <t>保利房地产(集团)股份有限公司</t>
  </si>
  <si>
    <t>2017-G080</t>
  </si>
  <si>
    <t>济国土资告字[2017]7号-2</t>
  </si>
  <si>
    <t>2017-G086</t>
  </si>
  <si>
    <t>≥1且≤1.45</t>
  </si>
  <si>
    <t>济国土资告字[2017]7号-8</t>
  </si>
  <si>
    <t>将军控股有限公司</t>
  </si>
  <si>
    <t>2017-G088</t>
  </si>
  <si>
    <t>济国土资告字[2017]7号-10</t>
  </si>
  <si>
    <t>2017-G091</t>
  </si>
  <si>
    <t>≥1且≤1.55</t>
  </si>
  <si>
    <t>济国土资告字[2017]7号-13</t>
  </si>
  <si>
    <t>高新区旅游路以南、舜华路以东</t>
  </si>
  <si>
    <t>2017-G092</t>
  </si>
  <si>
    <t>≥2.2且≤3</t>
  </si>
  <si>
    <t>济国土资告字[2017]7号-14</t>
  </si>
  <si>
    <t>济南东拓置业有限公司</t>
  </si>
  <si>
    <t>高新区旅游路以北、凤凰路以西</t>
  </si>
  <si>
    <t>2017-G087</t>
  </si>
  <si>
    <t>济国土资告字[2017]7号-9</t>
  </si>
  <si>
    <t>历城区唐冶新区土河以东、围子山路以西、兴元街以南</t>
  </si>
  <si>
    <t>2017-G066</t>
  </si>
  <si>
    <t>≥1.6且≤2.1</t>
  </si>
  <si>
    <t>2017-06-23</t>
  </si>
  <si>
    <t>2017-07-24</t>
  </si>
  <si>
    <t>2017-08-04</t>
  </si>
  <si>
    <t>济国土资告字[2017]6号-11</t>
  </si>
  <si>
    <t>济南万科房地产开发有限公司</t>
  </si>
  <si>
    <t>历城区唐冶新区世纪大道以北、土河以东</t>
  </si>
  <si>
    <t>2017-G060</t>
  </si>
  <si>
    <t>＞1且≤1.4</t>
  </si>
  <si>
    <t>济国土资告字[2017]6号-5</t>
  </si>
  <si>
    <t>济南龙湖置业有限公司,深圳联新投资管理有限公司</t>
  </si>
  <si>
    <t>历城区唐冶新区唐冶西路以东、飞跃大道以南</t>
  </si>
  <si>
    <t>2017-G059</t>
  </si>
  <si>
    <t>≤20</t>
  </si>
  <si>
    <t>济国土资告字[2017]6号-4</t>
  </si>
  <si>
    <t>山东钢铁集团房地产有限公司</t>
  </si>
  <si>
    <t>历城区唐冶新区龙凤山路以东唐冶西路以西贞观街南侧</t>
  </si>
  <si>
    <t>2017-G068</t>
  </si>
  <si>
    <t>≤18</t>
  </si>
  <si>
    <t>济国土资告字[2017]6号-13</t>
  </si>
  <si>
    <t>历城区唐冶新区龙凤山路以东、唐冶西路以西、飞跃大道以南</t>
  </si>
  <si>
    <t>2017-G056</t>
  </si>
  <si>
    <t>济国土资告字[2017]6号-1</t>
  </si>
  <si>
    <t>2017-G063</t>
  </si>
  <si>
    <t>济国土资告字[2017]6号-8</t>
  </si>
  <si>
    <t>山东济青高铁金启置业有限公司</t>
  </si>
  <si>
    <t>2017-G057</t>
  </si>
  <si>
    <t>济国土资告字[2017]6号-2</t>
  </si>
  <si>
    <t>深圳联新投资管理有限公司,济南龙湖置业有限公司</t>
  </si>
  <si>
    <t>2017-G061</t>
  </si>
  <si>
    <t>济国土资告字[2017]6号-6</t>
  </si>
  <si>
    <t>经十东路以南,旅游路以北,莲花山以东,绕城高速绿化带以西</t>
  </si>
  <si>
    <t>2017-G051</t>
  </si>
  <si>
    <t>≥2.2且≤3.19</t>
  </si>
  <si>
    <t>2017-05-31</t>
  </si>
  <si>
    <t>2017-06-20</t>
  </si>
  <si>
    <t>济国土资告字[2017]4号-15</t>
  </si>
  <si>
    <t>大连万达商业地产股份有限公司</t>
  </si>
  <si>
    <t>2017-G047</t>
  </si>
  <si>
    <t>≥2.8且≤3.21</t>
  </si>
  <si>
    <t>济国土资告字[2017]4号-11</t>
  </si>
  <si>
    <t>2017-G050</t>
  </si>
  <si>
    <t>济国土资告字[2017]4号-14</t>
  </si>
  <si>
    <t>2017-G043</t>
  </si>
  <si>
    <t>济国土资告字[2017]4号-7</t>
  </si>
  <si>
    <t>赵雯</t>
  </si>
  <si>
    <t>崔锴</t>
  </si>
  <si>
    <t>住宅</t>
    <phoneticPr fontId="26" type="noConversion"/>
  </si>
  <si>
    <t>较好</t>
  </si>
  <si>
    <t>较好</t>
    <phoneticPr fontId="3" type="noConversion"/>
  </si>
  <si>
    <t>较好</t>
    <phoneticPr fontId="3" type="noConversion"/>
  </si>
  <si>
    <t>较差</t>
  </si>
  <si>
    <t>较差</t>
    <phoneticPr fontId="3" type="noConversion"/>
  </si>
  <si>
    <t>一般</t>
  </si>
  <si>
    <t>一般</t>
    <phoneticPr fontId="3" type="noConversion"/>
  </si>
  <si>
    <t>七通</t>
  </si>
  <si>
    <t>七通</t>
    <phoneticPr fontId="3" type="noConversion"/>
  </si>
  <si>
    <t>较好</t>
    <phoneticPr fontId="21"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</si>
  <si>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</si>
  <si>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</si>
  <si>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</si>
  <si>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</si>
  <si>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</si>
  <si>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</si>
  <si>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</si>
  <si>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</si>
  <si>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</si>
  <si>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</si>
  <si>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</si>
  <si>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</si>
  <si>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</si>
  <si>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</si>
  <si>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</si>
  <si>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</si>
  <si>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</si>
  <si>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</si>
  <si>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</si>
  <si>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</si>
  <si>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</si>
  <si>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济南正启置业有限公司</t>
    <phoneticPr fontId="6" type="noConversion"/>
  </si>
  <si>
    <t>抵押</t>
  </si>
  <si>
    <t>抵押价格</t>
  </si>
  <si>
    <t>其他：</t>
  </si>
  <si>
    <t>山东省</t>
    <phoneticPr fontId="6" type="noConversion"/>
  </si>
  <si>
    <t>济南市历城区开源中路以北、幸福柳路以东</t>
    <phoneticPr fontId="6" type="noConversion"/>
  </si>
  <si>
    <t>企业</t>
  </si>
  <si>
    <t>住宅、商业</t>
    <phoneticPr fontId="6" type="noConversion"/>
  </si>
  <si>
    <t>《国有土地使用证》[鲁（2018）济南市不动产权第0102470号]</t>
    <phoneticPr fontId="6" type="noConversion"/>
  </si>
  <si>
    <t>住宅、商业</t>
    <phoneticPr fontId="6" type="noConversion"/>
  </si>
  <si>
    <t>《建设工程规划许可证》[]</t>
    <phoneticPr fontId="6" type="noConversion"/>
  </si>
  <si>
    <t>一致</t>
  </si>
  <si>
    <t>符合</t>
  </si>
  <si>
    <t>出让</t>
  </si>
  <si>
    <t>商业</t>
  </si>
  <si>
    <t>否</t>
  </si>
  <si>
    <t>居住项目</t>
  </si>
  <si>
    <t>无</t>
  </si>
  <si>
    <t>场地平整</t>
  </si>
  <si>
    <t>平整</t>
  </si>
  <si>
    <t>通路</t>
  </si>
  <si>
    <t>通电</t>
  </si>
  <si>
    <t>通上水</t>
  </si>
  <si>
    <t>1#楼</t>
    <phoneticPr fontId="3" type="noConversion"/>
  </si>
  <si>
    <t>地上</t>
  </si>
  <si>
    <t>普通住宅</t>
  </si>
  <si>
    <t>独立商业</t>
  </si>
  <si>
    <t>2#楼</t>
    <phoneticPr fontId="3" type="noConversion"/>
  </si>
  <si>
    <t>3#楼</t>
    <phoneticPr fontId="3" type="noConversion"/>
  </si>
  <si>
    <t>4#楼</t>
    <phoneticPr fontId="3" type="noConversion"/>
  </si>
  <si>
    <t>S1#商业办公楼</t>
    <phoneticPr fontId="3" type="noConversion"/>
  </si>
  <si>
    <r>
      <t>S2#</t>
    </r>
    <r>
      <rPr>
        <sz val="11"/>
        <color indexed="8"/>
        <rFont val="宋体"/>
        <family val="3"/>
        <charset val="134"/>
      </rPr>
      <t>商业单体</t>
    </r>
    <phoneticPr fontId="3" type="noConversion"/>
  </si>
  <si>
    <t>地下车库及其他设施</t>
    <phoneticPr fontId="3" type="noConversion"/>
  </si>
  <si>
    <t>地下</t>
  </si>
  <si>
    <t>车库</t>
  </si>
  <si>
    <r>
      <t>70</t>
    </r>
    <r>
      <rPr>
        <sz val="11"/>
        <color indexed="8"/>
        <rFont val="宋体"/>
        <family val="3"/>
        <charset val="134"/>
      </rPr>
      <t>、</t>
    </r>
    <r>
      <rPr>
        <sz val="11"/>
        <color indexed="8"/>
        <rFont val="Arial"/>
        <family val="2"/>
      </rPr>
      <t>40</t>
    </r>
    <phoneticPr fontId="26" type="noConversion"/>
  </si>
  <si>
    <t>住宅、商业</t>
    <phoneticPr fontId="26" type="noConversion"/>
  </si>
  <si>
    <t>拿地</t>
    <phoneticPr fontId="9" type="noConversion"/>
  </si>
  <si>
    <t>住宅</t>
    <phoneticPr fontId="7" type="noConversion"/>
  </si>
  <si>
    <t>商业</t>
    <phoneticPr fontId="7" type="noConversion"/>
  </si>
  <si>
    <t>车库</t>
    <phoneticPr fontId="7" type="noConversion"/>
  </si>
  <si>
    <t>办公楼</t>
  </si>
  <si>
    <t>办公</t>
    <phoneticPr fontId="7" type="noConversion"/>
  </si>
  <si>
    <t>已全部缴纳</t>
  </si>
  <si>
    <t>剩余法-待开发</t>
  </si>
  <si>
    <t>比较法-住宅、综合</t>
  </si>
  <si>
    <t>楼面地价</t>
  </si>
  <si>
    <t>有</t>
    <phoneticPr fontId="26" type="noConversion"/>
  </si>
  <si>
    <t>无</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</si>
</sst>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27" fillId="0" borderId="0" xfId="0" applyFont="1" applyAlignment="1"/>
    <xf numFmtId="0" fontId="0" fillId="17" borderId="0" xfId="0" applyFill="1" applyAlignment="1"/>
    <xf numFmtId="0" fontId="0" fillId="10" borderId="0" xfId="0"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71" fillId="18" borderId="64" xfId="0" applyNumberFormat="1" applyFont="1" applyFill="1" applyBorder="1" applyAlignment="1" applyProtection="1">
      <alignment horizontal="center" vertical="center" wrapText="1"/>
      <protection locked="0"/>
    </xf>
    <xf numFmtId="0" fontId="203" fillId="6" borderId="12"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vertical="center"/>
      <protection locked="0"/>
    </xf>
    <xf numFmtId="0" fontId="86" fillId="6" borderId="7" xfId="2" applyNumberFormat="1" applyFont="1" applyFill="1" applyBorder="1" applyAlignment="1" applyProtection="1">
      <alignment horizontal="center" vertical="center"/>
      <protection locked="0"/>
    </xf>
    <xf numFmtId="0" fontId="86" fillId="6" borderId="12" xfId="2"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13</xdr:col>
      <xdr:colOff>294210</xdr:colOff>
      <xdr:row>91</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9601200"/>
          <a:ext cx="8523810" cy="6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31</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5333334"/>
        </a:xfrm>
        <a:prstGeom prst="rect">
          <a:avLst/>
        </a:prstGeom>
      </xdr:spPr>
    </xdr:pic>
    <xdr:clientData/>
  </xdr:twoCellAnchor>
  <xdr:twoCellAnchor editAs="oneCell">
    <xdr:from>
      <xdr:col>11</xdr:col>
      <xdr:colOff>0</xdr:colOff>
      <xdr:row>0</xdr:row>
      <xdr:rowOff>0</xdr:rowOff>
    </xdr:from>
    <xdr:to>
      <xdr:col>22</xdr:col>
      <xdr:colOff>475248</xdr:colOff>
      <xdr:row>6</xdr:row>
      <xdr:rowOff>28443</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8019048" cy="1057143"/>
        </a:xfrm>
        <a:prstGeom prst="rect">
          <a:avLst/>
        </a:prstGeom>
      </xdr:spPr>
    </xdr:pic>
    <xdr:clientData/>
  </xdr:twoCellAnchor>
  <xdr:twoCellAnchor editAs="oneCell">
    <xdr:from>
      <xdr:col>11</xdr:col>
      <xdr:colOff>0</xdr:colOff>
      <xdr:row>6</xdr:row>
      <xdr:rowOff>0</xdr:rowOff>
    </xdr:from>
    <xdr:to>
      <xdr:col>22</xdr:col>
      <xdr:colOff>218105</xdr:colOff>
      <xdr:row>9</xdr:row>
      <xdr:rowOff>85650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28700"/>
          <a:ext cx="7761905" cy="600000"/>
        </a:xfrm>
        <a:prstGeom prst="rect">
          <a:avLst/>
        </a:prstGeom>
      </xdr:spPr>
    </xdr:pic>
    <xdr:clientData/>
  </xdr:twoCellAnchor>
  <xdr:twoCellAnchor editAs="oneCell">
    <xdr:from>
      <xdr:col>11</xdr:col>
      <xdr:colOff>0</xdr:colOff>
      <xdr:row>10</xdr:row>
      <xdr:rowOff>0</xdr:rowOff>
    </xdr:from>
    <xdr:to>
      <xdr:col>22</xdr:col>
      <xdr:colOff>513343</xdr:colOff>
      <xdr:row>16</xdr:row>
      <xdr:rowOff>66538</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0"/>
          <a:ext cx="8057143" cy="1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山东省济南市历城区开源中路以北、幸福柳路以东出让国有建设用地使用权抵押价格预评估</v>
      </c>
      <c r="AX2" s="2896"/>
      <c r="AZ2" s="2896"/>
      <c r="BA2" s="2897"/>
      <c r="BC2" s="2897"/>
    </row>
    <row r="3" spans="1:55" s="2898" customFormat="1">
      <c r="A3" s="2877" t="s">
        <v>2662</v>
      </c>
      <c r="B3" s="2880" t="str">
        <f>'预评函-封皮'!B40</f>
        <v>济南正启置业有限公司</v>
      </c>
    </row>
    <row r="4" spans="1:55" s="2879" customFormat="1">
      <c r="A4" s="2877" t="s">
        <v>2663</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受贵公司委托，我公司对山东省济南市历城区开源中路以北、幸福柳路以东出让国有建设用地使用权抵押价格进行了预评估。</v>
      </c>
      <c r="AM6" s="2902"/>
    </row>
    <row r="7" spans="1:55" s="2876" customFormat="1">
      <c r="A7" s="2877" t="s">
        <v>2658</v>
      </c>
      <c r="B7" s="2878" t="str">
        <f>'预评函-1'!A6</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2660</v>
      </c>
      <c r="B10" s="2878" t="str">
        <f>'预评函-1'!A11</f>
        <v>2018年8月24日（评估专业人员勘察现场之日）</v>
      </c>
    </row>
    <row r="11" spans="1:55" s="2876" customFormat="1">
      <c r="A11" s="2877" t="s">
        <v>2666</v>
      </c>
      <c r="B11" s="2878" t="str">
        <f>'预评函-1'!A14</f>
        <v>根据《国有土地使用证》[鲁（2018）济南市不动产权第0102470号]，本次评估估价对象证载（地类）用途为住宅、商业。</v>
      </c>
    </row>
    <row r="12" spans="1:55" s="2876" customFormat="1">
      <c r="A12" s="2877" t="s">
        <v>2667</v>
      </c>
      <c r="B12" s="2878" t="str">
        <f>'预评函-1'!A15</f>
        <v>本次评估设定用途即为证载用途住宅、商业。</v>
      </c>
    </row>
    <row r="13" spans="1:55" s="2876" customFormat="1">
      <c r="A13" s="2877" t="s">
        <v>2668</v>
      </c>
      <c r="B13" s="2878" t="str">
        <f>'预评函-1'!A17</f>
        <v>根据委托估价方介绍及评估专业人员现场勘查，本次评估估价对象实际土地开发程度为红线外市政基础设施达“七通”（即通路、通电、通上水、、、、）、宗地红线内场地平整。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根据《国有土地使用证》[]，估价对象（分摊）出让国有建设用地使用权面积为23013平方米。根据《建设工程规划许可证》[]、《出让合同》[]，估价对象规划建筑面积为96730.64平方米。</v>
      </c>
    </row>
    <row r="16" spans="1:55" s="2876" customFormat="1">
      <c r="A16" s="2877" t="s">
        <v>2670</v>
      </c>
      <c r="B16" s="2878" t="str">
        <f>'预评函-1'!A22</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估价期日：2018年8月24日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t="str">
        <f>'预评函-2'!E5</f>
        <v>住宅、商业</v>
      </c>
      <c r="AV32" s="2882"/>
    </row>
    <row r="33" spans="1:2">
      <c r="A33" s="2877" t="s">
        <v>2714</v>
      </c>
      <c r="B33" s="2878">
        <f>'预评函-2'!F5</f>
        <v>258</v>
      </c>
    </row>
    <row r="34" spans="1:2">
      <c r="A34" s="2877" t="s">
        <v>2715</v>
      </c>
      <c r="B34" s="2878" t="str">
        <f>'预评函-2'!G5</f>
        <v>住宅、商业</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红线外七通、宗地红线内场地平整</v>
      </c>
    </row>
    <row r="39" spans="1:2">
      <c r="A39" s="2877" t="s">
        <v>2720</v>
      </c>
      <c r="B39" s="2878" t="str">
        <f>'预评函-2'!L5</f>
        <v>红线外七通、宗地红线内场地平整</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23013</v>
      </c>
    </row>
    <row r="44" spans="1:2">
      <c r="A44" s="2877" t="s">
        <v>2741</v>
      </c>
      <c r="B44" s="2878" t="str">
        <f>'预评函-2'!O3</f>
        <v>规划建筑面积/㎡</v>
      </c>
    </row>
    <row r="45" spans="1:2">
      <c r="A45" s="2877" t="s">
        <v>2723</v>
      </c>
      <c r="B45" s="2878">
        <f>'预评函-2'!O5</f>
        <v>96730.640000000014</v>
      </c>
    </row>
    <row r="46" spans="1:2">
      <c r="A46" s="2877" t="s">
        <v>2724</v>
      </c>
      <c r="B46" s="2878">
        <f ca="1">'预评函-2'!P5</f>
        <v>22946</v>
      </c>
    </row>
    <row r="47" spans="1:2">
      <c r="A47" s="2877" t="s">
        <v>2725</v>
      </c>
      <c r="B47" s="2878">
        <f ca="1">'预评函-2'!Q5</f>
        <v>5459</v>
      </c>
    </row>
    <row r="48" spans="1:2">
      <c r="A48" s="2877" t="s">
        <v>2726</v>
      </c>
      <c r="B48" s="2878">
        <f ca="1">'预评函-2'!R5</f>
        <v>52805</v>
      </c>
    </row>
    <row r="49" spans="1:2">
      <c r="A49" s="2877" t="s">
        <v>2742</v>
      </c>
      <c r="B49" s="2878" t="str">
        <f>'预评函-2'!A6</f>
        <v>抵押价格</v>
      </c>
    </row>
    <row r="50" spans="1:2">
      <c r="A50" s="2877" t="s">
        <v>2727</v>
      </c>
      <c r="B50" s="2878">
        <f ca="1">'预评函-2'!R6</f>
        <v>52805</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1.权利限制：根据估价对象《不动产权证书》原件、，截至估价期日，估价对象抵押权未见登记。未设定租赁等其他他项权利。</v>
      </c>
    </row>
    <row r="56" spans="1:2">
      <c r="A56" s="2877" t="s">
        <v>2680</v>
      </c>
      <c r="B56" s="2878" t="str">
        <f>'预评函-3'!A3</f>
        <v>2.基础设施条件：估价对象实际开发程度为红线外七通、宗地红线内场地平整；本次评估设定开发程度为红线外七通、宗地红线内场地平整。</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（1）根据估价对象《不动产权证书》原件、，截至估价期日，估价对象抵押权未见登记。</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赵雯</v>
      </c>
    </row>
    <row r="70" spans="1:2">
      <c r="A70" s="2877" t="s">
        <v>2691</v>
      </c>
      <c r="B70" s="2884">
        <f ca="1">'预评函-3'!B20</f>
        <v>2011110090</v>
      </c>
    </row>
    <row r="71" spans="1:2">
      <c r="A71" s="2877" t="s">
        <v>2692</v>
      </c>
      <c r="B71" s="2878" t="str">
        <f>'预评函-3'!A21</f>
        <v>崔锴</v>
      </c>
    </row>
    <row r="72" spans="1:2" s="2892" customFormat="1" ht="15" thickBot="1">
      <c r="A72" s="2899" t="s">
        <v>2692</v>
      </c>
      <c r="B72" s="2905">
        <f ca="1">'预评函-3'!B21</f>
        <v>2010110070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43" sqref="H4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6" t="str">
        <f>IF(B10="北京市","北京市",C10)&amp;F10&amp;B16&amp;"国有建设用地使用权"&amp;B9&amp;"预评估"</f>
        <v>山东省济南市历城区开源中路以北、幸福柳路以东出让国有建设用地使用权抵押价格预评估</v>
      </c>
      <c r="C1" s="3237"/>
      <c r="D1" s="3237"/>
      <c r="E1" s="3237"/>
      <c r="F1" s="3237"/>
      <c r="G1" s="3237"/>
      <c r="H1" s="3237"/>
      <c r="I1" s="3238"/>
      <c r="J1" s="1692"/>
      <c r="K1" s="2454" t="str">
        <f>IF(B10="北京市","北京市",C10)&amp;F10&amp;B16&amp;"国有建设用地使用权"&amp;B9</f>
        <v>山东省济南市历城区开源中路以北、幸福柳路以东出让国有建设用地使用权抵押价格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54" t="str">
        <f>IF(B10="北京市","北京市",C10)&amp;F10&amp;B16&amp;"国有建设用地使用权"</f>
        <v>山东省济南市历城区开源中路以北、幸福柳路以东出让国有建设用地使用权</v>
      </c>
      <c r="L2" s="1721"/>
      <c r="M2" s="1721"/>
      <c r="N2" s="1692"/>
      <c r="O2" s="1693"/>
      <c r="P2" s="1692"/>
      <c r="Q2" s="1692"/>
      <c r="R2" s="1692"/>
      <c r="S2" s="1692"/>
      <c r="T2" s="1692"/>
      <c r="U2" s="1692"/>
    </row>
    <row r="3" spans="1:21">
      <c r="A3" s="1659" t="s">
        <v>1942</v>
      </c>
      <c r="B3" s="1660">
        <v>43336</v>
      </c>
      <c r="C3" s="1661" t="s">
        <v>1997</v>
      </c>
      <c r="D3" s="1660">
        <v>43336</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3261</v>
      </c>
      <c r="C4" s="1844">
        <f ca="1">SUMIF(土地估价师,B4,估价师及机构信息!E3:E24)</f>
        <v>2011110090</v>
      </c>
      <c r="D4" s="1841" t="s">
        <v>3262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赵雯、崔锴</v>
      </c>
      <c r="L4" s="1721"/>
      <c r="M4" s="1721"/>
      <c r="N4" s="1692"/>
      <c r="O4" s="1693"/>
      <c r="P4" s="1692"/>
      <c r="Q4" s="1692"/>
      <c r="R4" s="1692"/>
      <c r="S4" s="1692"/>
      <c r="T4" s="1692"/>
      <c r="U4" s="1692"/>
    </row>
    <row r="5" spans="1:21" ht="15" thickTop="1">
      <c r="A5" s="1663" t="s">
        <v>1944</v>
      </c>
      <c r="B5" s="1787" t="s">
        <v>3295</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t="str">
        <f>B5</f>
        <v>济南正启置业有限公司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3296</v>
      </c>
      <c r="C8" s="1669"/>
      <c r="D8" s="3242" t="s">
        <v>1947</v>
      </c>
      <c r="E8" s="1842" t="s">
        <v>3297</v>
      </c>
      <c r="F8" s="1670"/>
      <c r="G8" s="1658"/>
      <c r="H8" s="1658"/>
      <c r="I8" s="1705"/>
      <c r="J8" s="1692"/>
      <c r="K8" s="1772"/>
      <c r="L8" s="1721"/>
      <c r="M8" s="1721"/>
      <c r="N8" s="1692"/>
      <c r="O8" s="1693"/>
      <c r="P8" s="1692"/>
      <c r="Q8" s="1692"/>
      <c r="R8" s="1692"/>
      <c r="S8" s="1692"/>
      <c r="T8" s="1692"/>
      <c r="U8" s="1692"/>
    </row>
    <row r="9" spans="1:21" ht="15" thickBot="1">
      <c r="A9" s="1671" t="s">
        <v>1946</v>
      </c>
      <c r="B9" s="1672" t="s">
        <v>3297</v>
      </c>
      <c r="C9" s="1673"/>
      <c r="D9" s="3243"/>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3298</v>
      </c>
      <c r="C10" s="1674" t="s">
        <v>3299</v>
      </c>
      <c r="D10" s="1665"/>
      <c r="E10" s="1675" t="s">
        <v>1949</v>
      </c>
      <c r="F10" s="1676" t="s">
        <v>3300</v>
      </c>
      <c r="G10" s="1743"/>
      <c r="H10" s="1744"/>
      <c r="I10" s="1665"/>
      <c r="J10" s="1692"/>
      <c r="K10" s="1772"/>
      <c r="L10" s="1721"/>
      <c r="M10" s="1721"/>
      <c r="N10" s="1692"/>
      <c r="O10" s="1693"/>
      <c r="P10" s="1692"/>
      <c r="Q10" s="1692"/>
      <c r="R10" s="1692"/>
      <c r="S10" s="1692"/>
      <c r="T10" s="1692"/>
      <c r="U10" s="1692"/>
    </row>
    <row r="11" spans="1:21">
      <c r="A11" s="1695" t="s">
        <v>2002</v>
      </c>
      <c r="B11" s="1696" t="s">
        <v>3301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9" t="s">
        <v>3302</v>
      </c>
      <c r="C12" s="3240"/>
      <c r="D12" s="3241"/>
      <c r="E12" s="1697" t="s">
        <v>2063</v>
      </c>
      <c r="F12" s="3257" t="s">
        <v>3303</v>
      </c>
      <c r="G12" s="3258"/>
      <c r="H12" s="3258"/>
      <c r="I12" s="3259"/>
      <c r="J12" s="1692"/>
      <c r="K12" s="1772"/>
      <c r="L12" s="1721"/>
      <c r="M12" s="1721"/>
      <c r="N12" s="1692"/>
      <c r="O12" s="1693"/>
      <c r="P12" s="1692"/>
      <c r="Q12" s="1692"/>
      <c r="R12" s="1692"/>
      <c r="S12" s="1692"/>
      <c r="T12" s="1692"/>
      <c r="U12" s="1692"/>
    </row>
    <row r="13" spans="1:21">
      <c r="A13" s="1685" t="s">
        <v>2061</v>
      </c>
      <c r="B13" s="3239" t="s">
        <v>3304</v>
      </c>
      <c r="C13" s="3240"/>
      <c r="D13" s="3241"/>
      <c r="E13" s="1697" t="s">
        <v>2063</v>
      </c>
      <c r="F13" s="3257" t="s">
        <v>3305</v>
      </c>
      <c r="G13" s="3258"/>
      <c r="H13" s="3258"/>
      <c r="I13" s="3259"/>
      <c r="J13" s="1692"/>
      <c r="K13" s="1772"/>
      <c r="L13" s="1721"/>
      <c r="M13" s="1721"/>
      <c r="N13" s="1692"/>
      <c r="O13" s="1693"/>
      <c r="P13" s="1692"/>
      <c r="Q13" s="1692"/>
      <c r="R13" s="1692"/>
      <c r="S13" s="1692"/>
      <c r="T13" s="1692"/>
      <c r="U13" s="1692"/>
    </row>
    <row r="14" spans="1:21">
      <c r="A14" s="1659" t="s">
        <v>2064</v>
      </c>
      <c r="B14" s="1697"/>
      <c r="C14" s="1843" t="s">
        <v>3306</v>
      </c>
      <c r="D14" s="1731" t="str">
        <f>IF(C14="不一致","是否符合证载地类范围","")</f>
        <v/>
      </c>
      <c r="E14" s="1697"/>
      <c r="F14" s="1788" t="s">
        <v>3307</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3308</v>
      </c>
      <c r="C16" s="1697" t="s">
        <v>1951</v>
      </c>
      <c r="D16" s="2645" t="s">
        <v>1952</v>
      </c>
      <c r="E16" s="1720" t="s">
        <v>3309</v>
      </c>
      <c r="F16" s="1720" t="s">
        <v>1678</v>
      </c>
      <c r="G16" s="1720" t="s">
        <v>3329</v>
      </c>
      <c r="H16" s="1720"/>
      <c r="I16" s="1684" t="s">
        <v>1957</v>
      </c>
      <c r="J16" s="1692"/>
      <c r="K16" s="2455" t="str">
        <f>IF(D17="","",D16&amp;TEXT(D17,"yyyy年m月d日;;"))</f>
        <v>住宅2088年5月15日</v>
      </c>
      <c r="L16" s="1697" t="str">
        <f>IF(OR(K16="",M16=""),"","、")</f>
        <v>、</v>
      </c>
      <c r="M16" s="2455" t="str">
        <f>IF(E17="","",E16&amp;TEXT(E17,"yyyy年m月d日;;"))</f>
        <v>商业2058年5月15日</v>
      </c>
      <c r="N16" s="1697" t="str">
        <f>IF(OR(M16="",O16=""),"","、")</f>
        <v>、</v>
      </c>
      <c r="O16" s="2455" t="str">
        <f>IF(F17="","",F16&amp;TEXT(F17,"yyyy年m月d日;;"))</f>
        <v>办公2068年5月15日</v>
      </c>
      <c r="P16" s="1697" t="str">
        <f>IF(OR(O16="",Q16=""),"","、")</f>
        <v>、</v>
      </c>
      <c r="Q16" s="2455" t="str">
        <f>IF(G17="","",G16&amp;TEXT(G17,"yyyy年m月d日;;"))</f>
        <v>车库2068年5月15日</v>
      </c>
      <c r="R16" s="1697" t="str">
        <f>IF(OR(Q16="",S16=""),"","、")</f>
        <v/>
      </c>
      <c r="S16" s="2455" t="str">
        <f>IF(H17="","",H16&amp;TEXT(H17,"yyyy年m月d日;;"))</f>
        <v/>
      </c>
      <c r="T16" s="1697" t="str">
        <f>IF(OR(S16="",U16=""),"","、")</f>
        <v/>
      </c>
      <c r="U16" s="2455" t="str">
        <f>IF(I17="","",I16&amp;TEXT(I17,"yyyy年m月d日;;"))</f>
        <v/>
      </c>
    </row>
    <row r="17" spans="1:21">
      <c r="A17" s="1761"/>
      <c r="B17" s="1680"/>
      <c r="C17" s="1681" t="s">
        <v>1958</v>
      </c>
      <c r="D17" s="1698">
        <v>68803</v>
      </c>
      <c r="E17" s="1698">
        <v>57845</v>
      </c>
      <c r="F17" s="1698">
        <v>61498</v>
      </c>
      <c r="G17" s="1698">
        <v>61498</v>
      </c>
      <c r="H17" s="1698"/>
      <c r="I17" s="1698"/>
      <c r="J17" s="1692"/>
      <c r="K17" s="2454" t="str">
        <f>CONCATENATE(K16,L16,M16,N16,O16,P16,Q16,R16,S16,T16,,U16)</f>
        <v>住宅2088年5月15日、商业2058年5月15日、办公2068年5月15日、车库2068年5月15日</v>
      </c>
      <c r="L17" s="1721"/>
      <c r="M17" s="1721"/>
      <c r="N17" s="1692"/>
      <c r="O17" s="1693"/>
      <c r="P17" s="1692"/>
      <c r="Q17" s="1692"/>
      <c r="R17" s="1692"/>
      <c r="S17" s="1692"/>
      <c r="T17" s="1692"/>
      <c r="U17" s="1692"/>
    </row>
    <row r="18" spans="1:21">
      <c r="A18" s="1761"/>
      <c r="B18" s="1680"/>
      <c r="C18" s="1681" t="s">
        <v>1959</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69.77</v>
      </c>
      <c r="E19" s="1683">
        <f>IF(B16="出让",IF(E17="","",ROUNDDOWN(MIN((E17-$D$3)/365,E18),2)),E18)</f>
        <v>39.75</v>
      </c>
      <c r="F19" s="1683">
        <f>IF(B16="出让",IF(F17="","",ROUNDDOWN(MIN((F17-$D$3)/365,F18),2)),F18)</f>
        <v>49.75</v>
      </c>
      <c r="G19" s="1683">
        <f>IF(B16="出让",IF(G17="","",ROUNDDOWN(MIN((G17-$D$3)/365,G18),2)),G18)</f>
        <v>49.75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4"/>
      <c r="E20" s="3255"/>
      <c r="F20" s="3255"/>
      <c r="G20" s="3255"/>
      <c r="H20" s="3255"/>
      <c r="I20" s="3256"/>
      <c r="J20" s="1692"/>
      <c r="K20" s="1772"/>
      <c r="L20" s="1721"/>
      <c r="M20" s="1721"/>
      <c r="N20" s="1692"/>
      <c r="O20" s="1693"/>
      <c r="P20" s="1692"/>
      <c r="Q20" s="1692"/>
      <c r="R20" s="1692"/>
      <c r="S20" s="1692"/>
      <c r="T20" s="1692"/>
      <c r="U20" s="1692"/>
    </row>
    <row r="21" spans="1:21">
      <c r="A21" s="1761" t="s">
        <v>1961</v>
      </c>
      <c r="B21" s="1762" t="s">
        <v>1962</v>
      </c>
      <c r="C21" s="1757">
        <f>'数据-汇总表'!E3</f>
        <v>96730.640000000014</v>
      </c>
      <c r="D21" s="1758" t="s">
        <v>1963</v>
      </c>
      <c r="E21" s="3244" t="s">
        <v>2000</v>
      </c>
      <c r="F21" s="3245"/>
      <c r="G21" s="3245"/>
      <c r="H21" s="3245"/>
      <c r="I21" s="3246"/>
      <c r="J21" s="1692"/>
      <c r="K21" s="1772"/>
      <c r="L21" s="1721"/>
      <c r="M21" s="1721"/>
      <c r="N21" s="1692"/>
      <c r="O21" s="1693"/>
      <c r="P21" s="1692"/>
      <c r="Q21" s="1692"/>
      <c r="R21" s="1692"/>
      <c r="S21" s="1692"/>
      <c r="T21" s="1692"/>
      <c r="U21" s="1692"/>
    </row>
    <row r="22" spans="1:21">
      <c r="A22" s="3145" t="s">
        <v>952</v>
      </c>
      <c r="B22" s="1659" t="s">
        <v>1964</v>
      </c>
      <c r="C22" s="1684">
        <f>'数据-汇总表'!D3</f>
        <v>23013</v>
      </c>
      <c r="D22" s="1685" t="s">
        <v>1963</v>
      </c>
      <c r="E22" s="3244" t="s">
        <v>2890</v>
      </c>
      <c r="F22" s="3245"/>
      <c r="G22" s="3245"/>
      <c r="H22" s="3245"/>
      <c r="I22" s="3246"/>
      <c r="J22" s="1692"/>
      <c r="K22" s="1772"/>
      <c r="L22" s="1721"/>
      <c r="M22" s="1721"/>
      <c r="N22" s="1692"/>
      <c r="O22" s="1693"/>
      <c r="P22" s="1692"/>
      <c r="Q22" s="1692"/>
      <c r="R22" s="1692"/>
      <c r="S22" s="1692"/>
      <c r="T22" s="1692"/>
      <c r="U22" s="1692"/>
    </row>
    <row r="23" spans="1:21" ht="43.5" thickBot="1">
      <c r="A23" s="1763" t="s">
        <v>1965</v>
      </c>
      <c r="B23" s="1699" t="s">
        <v>1966</v>
      </c>
      <c r="C23" s="1700" t="s">
        <v>3310</v>
      </c>
      <c r="D23" s="1701" t="s">
        <v>1967</v>
      </c>
      <c r="E23" s="1702" t="s">
        <v>952</v>
      </c>
      <c r="F23" s="1703" t="str">
        <f>IF(AND(C23="是",E23="否"),"是否提供他项权证或相关说明","")</f>
        <v/>
      </c>
      <c r="G23" s="1704" t="s">
        <v>952</v>
      </c>
      <c r="H23" s="1692"/>
      <c r="I23" s="1705"/>
      <c r="J23" s="1692"/>
      <c r="K23" s="1772"/>
      <c r="L23" s="1721"/>
      <c r="M23" s="1721"/>
      <c r="N23" s="1692"/>
      <c r="O23" s="1693"/>
      <c r="P23" s="1692"/>
      <c r="Q23" s="1692"/>
      <c r="R23" s="1692"/>
      <c r="S23" s="1692"/>
      <c r="T23" s="1692"/>
      <c r="U23" s="1692"/>
    </row>
    <row r="24" spans="1:21">
      <c r="A24" s="1748" t="s">
        <v>1968</v>
      </c>
      <c r="B24" s="3247" t="s">
        <v>1969</v>
      </c>
      <c r="C24" s="3248"/>
      <c r="D24" s="3249" t="s">
        <v>1970</v>
      </c>
      <c r="E24" s="3250"/>
      <c r="F24" s="1706" t="s">
        <v>1971</v>
      </c>
      <c r="G24" s="1692"/>
      <c r="H24" s="1692"/>
      <c r="I24" s="1705"/>
      <c r="J24" s="1692"/>
      <c r="K24" s="3235" t="s">
        <v>1972</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2327</v>
      </c>
      <c r="C25" s="1707" t="s">
        <v>1973</v>
      </c>
      <c r="D25" s="1708"/>
      <c r="E25" s="1709" t="s">
        <v>952</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21" t="s">
        <v>2003</v>
      </c>
      <c r="B31" s="1762" t="s">
        <v>2004</v>
      </c>
      <c r="C31" s="3260" t="s">
        <v>3311</v>
      </c>
      <c r="D31" s="3261"/>
      <c r="E31" s="1692"/>
      <c r="F31" s="1692"/>
      <c r="G31" s="1692"/>
      <c r="H31" s="1692"/>
      <c r="I31" s="1705"/>
      <c r="J31" s="1692"/>
      <c r="K31" s="2457"/>
      <c r="L31" s="1692"/>
      <c r="M31" s="1692"/>
      <c r="N31" s="1692"/>
      <c r="O31" s="1692"/>
      <c r="P31" s="1692"/>
      <c r="Q31" s="1692"/>
      <c r="R31" s="1692"/>
      <c r="S31" s="1692"/>
      <c r="T31" s="1692"/>
      <c r="U31" s="1692"/>
    </row>
    <row r="32" spans="1:21">
      <c r="A32" s="3221"/>
      <c r="B32" s="1659" t="s">
        <v>2005</v>
      </c>
      <c r="C32" s="1717" t="s">
        <v>3312</v>
      </c>
      <c r="D32" s="1718"/>
      <c r="E32" s="1692"/>
      <c r="F32" s="1692"/>
      <c r="G32" s="1692"/>
      <c r="H32" s="1692"/>
      <c r="I32" s="1705"/>
      <c r="J32" s="1692"/>
      <c r="K32" s="2457"/>
      <c r="L32" s="1692"/>
      <c r="M32" s="1692"/>
      <c r="N32" s="1692"/>
      <c r="O32" s="1692"/>
      <c r="P32" s="1692"/>
      <c r="Q32" s="1692"/>
      <c r="R32" s="1692"/>
      <c r="S32" s="1692"/>
      <c r="T32" s="1692"/>
      <c r="U32" s="1692"/>
    </row>
    <row r="33" spans="1:21">
      <c r="A33" s="3221"/>
      <c r="B33" s="1659" t="s">
        <v>2006</v>
      </c>
      <c r="C33" s="1719" t="s">
        <v>3310</v>
      </c>
      <c r="D33" s="1836"/>
      <c r="E33" s="1692"/>
      <c r="F33" s="1692"/>
      <c r="G33" s="1692"/>
      <c r="H33" s="1692"/>
      <c r="I33" s="1705"/>
      <c r="J33" s="1692"/>
      <c r="K33" s="2457"/>
      <c r="L33" s="1692"/>
      <c r="M33" s="1692"/>
      <c r="N33" s="1692"/>
      <c r="O33" s="1692"/>
      <c r="P33" s="1692"/>
      <c r="Q33" s="1692"/>
      <c r="R33" s="1692"/>
      <c r="S33" s="1692"/>
      <c r="T33" s="1692"/>
      <c r="U33" s="1692"/>
    </row>
    <row r="34" spans="1:21">
      <c r="A34" s="3222"/>
      <c r="B34" s="1659" t="s">
        <v>2007</v>
      </c>
      <c r="C34" s="3223"/>
      <c r="D34" s="3224"/>
      <c r="E34" s="1692"/>
      <c r="F34" s="1692"/>
      <c r="G34" s="1692"/>
      <c r="H34" s="1692"/>
      <c r="I34" s="1705"/>
      <c r="J34" s="1692"/>
      <c r="K34" s="2457"/>
      <c r="L34" s="1692"/>
      <c r="M34" s="1692"/>
      <c r="N34" s="1692"/>
      <c r="O34" s="1692"/>
      <c r="P34" s="1692"/>
      <c r="Q34" s="1692"/>
      <c r="R34" s="1692"/>
      <c r="S34" s="1692"/>
      <c r="T34" s="1692"/>
      <c r="U34" s="1692"/>
    </row>
    <row r="35" spans="1:21">
      <c r="A35" s="3225" t="s">
        <v>847</v>
      </c>
      <c r="B35" s="1720" t="s">
        <v>3313</v>
      </c>
      <c r="C35" s="1774" t="str">
        <f>IF(B35="场地平整","——","具体情况：")</f>
        <v>——</v>
      </c>
      <c r="D35" s="3227"/>
      <c r="E35" s="3228"/>
      <c r="F35" s="3228"/>
      <c r="G35" s="3228"/>
      <c r="H35" s="3228"/>
      <c r="I35" s="3229"/>
      <c r="J35" s="1692"/>
      <c r="K35" s="1773"/>
      <c r="L35" s="1721"/>
      <c r="M35" s="1721"/>
      <c r="N35" s="1692"/>
      <c r="O35" s="1693"/>
      <c r="P35" s="1692"/>
      <c r="Q35" s="1692"/>
      <c r="R35" s="1692"/>
      <c r="S35" s="1692"/>
      <c r="T35" s="1692"/>
      <c r="U35" s="1692"/>
    </row>
    <row r="36" spans="1:21">
      <c r="A36" s="3221"/>
      <c r="B36" s="3230" t="s">
        <v>2056</v>
      </c>
      <c r="C36" s="3231"/>
      <c r="D36" s="1790" t="s">
        <v>3314</v>
      </c>
      <c r="E36" s="3232"/>
      <c r="F36" s="3232"/>
      <c r="G36" s="1685" t="str">
        <f>IF(B35="场地未平整","估价结果处理","")</f>
        <v/>
      </c>
      <c r="H36" s="3233"/>
      <c r="I36" s="3233"/>
      <c r="J36" s="1692"/>
      <c r="K36" s="1773"/>
      <c r="L36" s="1721"/>
      <c r="M36" s="1721"/>
      <c r="N36" s="1692"/>
      <c r="O36" s="1693"/>
      <c r="P36" s="1692"/>
      <c r="Q36" s="1692"/>
      <c r="R36" s="1692"/>
      <c r="S36" s="1692"/>
      <c r="T36" s="1692"/>
      <c r="U36" s="1692"/>
    </row>
    <row r="37" spans="1:21" ht="28.5">
      <c r="A37" s="3221"/>
      <c r="B37" s="325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1"/>
      <c r="B38" s="3252"/>
      <c r="C38" s="1667" t="s">
        <v>850</v>
      </c>
      <c r="D38" s="1789">
        <f>ROUNDDOWN(MIN(('数据-取费表'!$B$2-D37)/365,D34),1)</f>
        <v>118.7</v>
      </c>
      <c r="E38" s="1725" t="s">
        <v>851</v>
      </c>
      <c r="F38" s="1692"/>
      <c r="G38" s="1692"/>
      <c r="H38" s="1692"/>
      <c r="I38" s="1705"/>
      <c r="J38" s="1692"/>
      <c r="K38" s="1773"/>
      <c r="L38" s="1692"/>
      <c r="M38" s="1692"/>
      <c r="N38" s="1692"/>
      <c r="O38" s="1692"/>
      <c r="P38" s="1692"/>
      <c r="Q38" s="1692"/>
      <c r="R38" s="1692"/>
      <c r="S38" s="1692"/>
      <c r="T38" s="1692"/>
      <c r="U38" s="1692"/>
    </row>
    <row r="39" spans="1:21">
      <c r="A39" s="3222"/>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3315</v>
      </c>
      <c r="C40" s="1688" t="s">
        <v>3316</v>
      </c>
      <c r="D40" s="1688" t="s">
        <v>3317</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4" t="s">
        <v>1987</v>
      </c>
      <c r="T40" s="1729" t="str">
        <f>NUMBERSTRING(7-K40,1)&amp;"通"</f>
        <v>七通</v>
      </c>
      <c r="U40" s="1692"/>
    </row>
    <row r="41" spans="1:21">
      <c r="A41" s="1661"/>
      <c r="B41" s="3226" t="s">
        <v>1722</v>
      </c>
      <c r="C41" s="3226"/>
      <c r="D41" s="3226"/>
      <c r="E41" s="3226"/>
      <c r="F41" s="1730" t="str">
        <f>C10</f>
        <v>山东省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34"/>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2891</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9" sqref="M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2334</v>
      </c>
      <c r="BA2" s="2360"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23013</v>
      </c>
      <c r="B3" s="22">
        <f>IF(C3="否",G5-AT5,G5)</f>
        <v>96730.640000000014</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96730.640000000014</v>
      </c>
      <c r="H5" s="27">
        <f t="shared" ref="H5:AT5" si="0">SUM(H13:H641)</f>
        <v>93054.8</v>
      </c>
      <c r="I5" s="27">
        <f t="shared" si="0"/>
        <v>45617.71</v>
      </c>
      <c r="J5" s="27">
        <f t="shared" si="0"/>
        <v>0</v>
      </c>
      <c r="K5" s="27">
        <f t="shared" si="0"/>
        <v>7500.75</v>
      </c>
      <c r="L5" s="27">
        <f t="shared" si="0"/>
        <v>0</v>
      </c>
      <c r="M5" s="27">
        <f t="shared" si="0"/>
        <v>21263.27</v>
      </c>
      <c r="N5" s="27">
        <f t="shared" si="0"/>
        <v>0</v>
      </c>
      <c r="O5" s="27">
        <f t="shared" si="0"/>
        <v>18673.07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3675.84</v>
      </c>
      <c r="AD5" s="27">
        <f t="shared" si="0"/>
        <v>1159.6799999999998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2516.1600000000003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96730.640000000014</v>
      </c>
      <c r="BA5" s="29">
        <f t="shared" si="1"/>
        <v>93054.8</v>
      </c>
      <c r="BB5" s="29">
        <f t="shared" si="1"/>
        <v>45617.71</v>
      </c>
      <c r="BC5" s="29">
        <f t="shared" si="1"/>
        <v>7500.75</v>
      </c>
      <c r="BD5" s="29">
        <f t="shared" si="1"/>
        <v>21263.27</v>
      </c>
      <c r="BE5" s="29">
        <f t="shared" si="1"/>
        <v>18673.07</v>
      </c>
      <c r="BF5" s="29">
        <f t="shared" si="1"/>
        <v>0</v>
      </c>
      <c r="BG5" s="29">
        <f t="shared" si="1"/>
        <v>0</v>
      </c>
      <c r="BH5" s="29">
        <f t="shared" si="1"/>
        <v>0</v>
      </c>
      <c r="BI5" s="29">
        <f t="shared" si="1"/>
        <v>0</v>
      </c>
      <c r="BJ5" s="29">
        <f t="shared" si="1"/>
        <v>0</v>
      </c>
      <c r="BK5" s="29">
        <f t="shared" si="1"/>
        <v>0</v>
      </c>
      <c r="BL5" s="29">
        <f t="shared" si="1"/>
        <v>3675.84</v>
      </c>
      <c r="BM5" s="29">
        <f t="shared" si="1"/>
        <v>1159.6799999999998</v>
      </c>
      <c r="BN5" s="29">
        <f t="shared" si="1"/>
        <v>0</v>
      </c>
      <c r="BO5" s="29">
        <f t="shared" si="1"/>
        <v>0</v>
      </c>
      <c r="BP5" s="29">
        <f t="shared" si="1"/>
        <v>0</v>
      </c>
      <c r="BQ5" s="29">
        <f t="shared" si="1"/>
        <v>0</v>
      </c>
      <c r="BR5" s="29">
        <f t="shared" si="1"/>
        <v>2516.1600000000003</v>
      </c>
      <c r="BS5" s="29">
        <f t="shared" si="1"/>
        <v>0</v>
      </c>
      <c r="BT5" s="30">
        <f t="shared" si="1"/>
        <v>0</v>
      </c>
    </row>
    <row r="6" spans="1:72" s="37" customFormat="1" ht="12.75">
      <c r="A6" s="26" t="s">
        <v>169</v>
      </c>
      <c r="B6" s="31"/>
      <c r="C6" s="31"/>
      <c r="D6" s="32"/>
      <c r="E6" s="27">
        <f>H6+AC6+AT6</f>
        <v>23012.989999999998</v>
      </c>
      <c r="F6" s="27" t="s">
        <v>1</v>
      </c>
      <c r="G6" s="27" t="s">
        <v>2</v>
      </c>
      <c r="H6" s="33">
        <f>SUMIF(I$12:AB$12,"总值",I6:AB6)</f>
        <v>22138.48</v>
      </c>
      <c r="I6" s="27">
        <f t="shared" ref="I6:AB6" si="2">ROUND($A$3*I5/$B$3,2)</f>
        <v>10852.82</v>
      </c>
      <c r="J6" s="27">
        <f t="shared" si="2"/>
        <v>0</v>
      </c>
      <c r="K6" s="27">
        <f t="shared" si="2"/>
        <v>1784.49</v>
      </c>
      <c r="L6" s="27">
        <f t="shared" si="2"/>
        <v>0</v>
      </c>
      <c r="M6" s="27">
        <f t="shared" si="2"/>
        <v>5058.7</v>
      </c>
      <c r="N6" s="27">
        <f t="shared" si="2"/>
        <v>0</v>
      </c>
      <c r="O6" s="27">
        <f t="shared" si="2"/>
        <v>4442.47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874.51</v>
      </c>
      <c r="AD6" s="27">
        <f t="shared" ref="AD6:AS6" si="3">ROUND($A$3*AD5/$B$3,2)</f>
        <v>275.89999999999998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598.61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23013</v>
      </c>
      <c r="AZ6" s="27" t="s">
        <v>3</v>
      </c>
      <c r="BA6" s="27">
        <f>ROUND($AY$6*BA5/$AZ$5,2)</f>
        <v>22138.49</v>
      </c>
      <c r="BB6" s="27">
        <f>ROUND($AY$6*BB5/$AZ$5,2)</f>
        <v>10852.82</v>
      </c>
      <c r="BC6" s="27">
        <f t="shared" ref="BC6:BH6" si="4">ROUND($AY$6*BC5/$AZ$5,2)</f>
        <v>1784.49</v>
      </c>
      <c r="BD6" s="27">
        <f t="shared" si="4"/>
        <v>5058.7</v>
      </c>
      <c r="BE6" s="27">
        <f t="shared" si="4"/>
        <v>4442.47</v>
      </c>
      <c r="BF6" s="27">
        <f t="shared" si="4"/>
        <v>0</v>
      </c>
      <c r="BG6" s="27">
        <f t="shared" si="4"/>
        <v>0</v>
      </c>
      <c r="BH6" s="27">
        <f t="shared" si="4"/>
        <v>0</v>
      </c>
      <c r="BI6" s="27">
        <f t="shared" ref="BI6:BT6" si="5">ROUND($AY$6*BI5/$AZ$5,2)</f>
        <v>0</v>
      </c>
      <c r="BJ6" s="27">
        <f t="shared" si="5"/>
        <v>0</v>
      </c>
      <c r="BK6" s="27">
        <f t="shared" si="5"/>
        <v>0</v>
      </c>
      <c r="BL6" s="27">
        <f t="shared" si="5"/>
        <v>874.51</v>
      </c>
      <c r="BM6" s="27">
        <f t="shared" si="5"/>
        <v>275.89999999999998</v>
      </c>
      <c r="BN6" s="27">
        <f t="shared" si="5"/>
        <v>0</v>
      </c>
      <c r="BO6" s="27">
        <f t="shared" si="5"/>
        <v>0</v>
      </c>
      <c r="BP6" s="27">
        <f t="shared" si="5"/>
        <v>0</v>
      </c>
      <c r="BQ6" s="27">
        <f t="shared" si="5"/>
        <v>0</v>
      </c>
      <c r="BR6" s="27">
        <f t="shared" si="5"/>
        <v>598.61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3319</v>
      </c>
      <c r="J9" s="51"/>
      <c r="K9" s="3017" t="s">
        <v>3319</v>
      </c>
      <c r="L9" s="51"/>
      <c r="M9" s="3017" t="s">
        <v>3328</v>
      </c>
      <c r="N9" s="51"/>
      <c r="O9" s="59" t="s">
        <v>3319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923</v>
      </c>
      <c r="J10" s="51"/>
      <c r="K10" s="3019" t="s">
        <v>3309</v>
      </c>
      <c r="L10" s="51"/>
      <c r="M10" s="3019" t="s">
        <v>3329</v>
      </c>
      <c r="N10" s="51"/>
      <c r="O10" s="66" t="s">
        <v>1678</v>
      </c>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2332</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3320</v>
      </c>
      <c r="J11" s="71"/>
      <c r="K11" s="3018" t="s">
        <v>3321</v>
      </c>
      <c r="L11" s="71"/>
      <c r="M11" s="70" t="s">
        <v>3329</v>
      </c>
      <c r="N11" s="71"/>
      <c r="O11" s="70" t="s">
        <v>3336</v>
      </c>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独立商业</v>
      </c>
      <c r="BD12" s="79" t="str">
        <f>M11</f>
        <v>车库</v>
      </c>
      <c r="BE12" s="50" t="str">
        <f>O11</f>
        <v>办公楼</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3318</v>
      </c>
      <c r="D13" s="3014" t="s">
        <v>1679</v>
      </c>
      <c r="E13" s="27">
        <f t="shared" ref="E13:E20" si="6">IF($C$3="是",ROUND($A$3*G13/$B$3,2),ROUND($A$3*(G13-AT13)/$B$3,2))</f>
        <v>3213.84</v>
      </c>
      <c r="F13" s="81"/>
      <c r="G13" s="82">
        <f t="shared" ref="G13:G20" si="7">H13+AC13+AT13</f>
        <v>13508.76</v>
      </c>
      <c r="H13" s="33">
        <f t="shared" ref="H13:H20" si="8">SUMIF(I$12:AB$12,"总值",I13:AB13)</f>
        <v>12026.26</v>
      </c>
      <c r="I13" s="3016">
        <v>11213.75</v>
      </c>
      <c r="J13" s="3016"/>
      <c r="K13" s="3016">
        <v>812.51</v>
      </c>
      <c r="L13" s="3016"/>
      <c r="M13" s="3016"/>
      <c r="N13" s="83"/>
      <c r="O13" s="83"/>
      <c r="P13" s="83"/>
      <c r="Q13" s="83"/>
      <c r="R13" s="83"/>
      <c r="S13" s="83"/>
      <c r="T13" s="83"/>
      <c r="U13" s="83"/>
      <c r="V13" s="83"/>
      <c r="W13" s="83"/>
      <c r="X13" s="83"/>
      <c r="Y13" s="83"/>
      <c r="Z13" s="83"/>
      <c r="AA13" s="83"/>
      <c r="AB13" s="83"/>
      <c r="AC13" s="27">
        <f t="shared" ref="AC13:AC20" si="9">SUMIF(AD$12:AS$12,"总值",AD13:AS13)</f>
        <v>1482.5</v>
      </c>
      <c r="AD13" s="3020">
        <v>750.38</v>
      </c>
      <c r="AE13" s="3020"/>
      <c r="AF13" s="3020"/>
      <c r="AG13" s="3020"/>
      <c r="AH13" s="3020"/>
      <c r="AI13" s="3020"/>
      <c r="AJ13" s="3020"/>
      <c r="AK13" s="3020"/>
      <c r="AL13" s="3020"/>
      <c r="AM13" s="3020"/>
      <c r="AN13" s="3020">
        <v>732.12</v>
      </c>
      <c r="AO13" s="3020"/>
      <c r="AP13" s="3020"/>
      <c r="AQ13" s="3020"/>
      <c r="AR13" s="3020"/>
      <c r="AS13" s="3020"/>
      <c r="AT13" s="3021"/>
      <c r="AU13" s="3022"/>
      <c r="AV13" s="17">
        <f t="shared" ref="AV13:AX20" si="10">A13</f>
        <v>0</v>
      </c>
      <c r="AW13" s="17">
        <f t="shared" si="10"/>
        <v>0</v>
      </c>
      <c r="AX13" s="17" t="str">
        <f t="shared" si="10"/>
        <v>1#楼</v>
      </c>
      <c r="AY13" s="995">
        <f t="shared" ref="AY13:AY20" si="11">ROUND($AY$6*AZ13/$AZ$5,2)</f>
        <v>3213.84</v>
      </c>
      <c r="AZ13" s="27">
        <f t="shared" ref="AZ13:AZ20" si="12">BA13+BL13</f>
        <v>13508.76</v>
      </c>
      <c r="BA13" s="27">
        <f t="shared" ref="BA13:BA20" si="13">SUM(BB13:BK13)</f>
        <v>12026.26</v>
      </c>
      <c r="BB13" s="27">
        <f t="shared" ref="BB13:BB20" si="14">IF($D13="是",I13-J13,0)</f>
        <v>11213.75</v>
      </c>
      <c r="BC13" s="27">
        <f t="shared" ref="BC13:BC20" si="15">IF($D13="是",K13-L13,0)</f>
        <v>812.51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1482.5</v>
      </c>
      <c r="BM13" s="27">
        <f t="shared" ref="BM13:BM20" si="25">IF($D13="是",AD13-AE13,0)</f>
        <v>750.38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732.12</v>
      </c>
      <c r="BS13" s="27">
        <f t="shared" ref="BS13:BS20" si="31">IF($D13="是",AP13-AQ13,0)</f>
        <v>0</v>
      </c>
      <c r="BT13" s="36">
        <f t="shared" ref="BT13:BT20" si="32">IF($D13="是",AR13-AS13,0)</f>
        <v>0</v>
      </c>
    </row>
    <row r="14" spans="1:72" s="18" customFormat="1" ht="12.75">
      <c r="A14" s="3013"/>
      <c r="B14" s="3013"/>
      <c r="C14" s="3015" t="s">
        <v>3322</v>
      </c>
      <c r="D14" s="3014" t="s">
        <v>1679</v>
      </c>
      <c r="E14" s="27">
        <f t="shared" si="6"/>
        <v>2650.95</v>
      </c>
      <c r="F14" s="81"/>
      <c r="G14" s="82">
        <f t="shared" si="7"/>
        <v>11142.76</v>
      </c>
      <c r="H14" s="33">
        <f t="shared" si="8"/>
        <v>10677.27</v>
      </c>
      <c r="I14" s="3016">
        <v>8755.1</v>
      </c>
      <c r="J14" s="3016"/>
      <c r="K14" s="3016">
        <v>1922.17</v>
      </c>
      <c r="L14" s="3016"/>
      <c r="M14" s="3016"/>
      <c r="N14" s="83"/>
      <c r="O14" s="83"/>
      <c r="P14" s="83"/>
      <c r="Q14" s="83"/>
      <c r="R14" s="83"/>
      <c r="S14" s="83"/>
      <c r="T14" s="83"/>
      <c r="U14" s="83"/>
      <c r="V14" s="83"/>
      <c r="W14" s="83"/>
      <c r="X14" s="83"/>
      <c r="Y14" s="83"/>
      <c r="Z14" s="83"/>
      <c r="AA14" s="83"/>
      <c r="AB14" s="83"/>
      <c r="AC14" s="27">
        <f t="shared" si="9"/>
        <v>465.49</v>
      </c>
      <c r="AD14" s="3020"/>
      <c r="AE14" s="3020"/>
      <c r="AF14" s="3020"/>
      <c r="AG14" s="3020"/>
      <c r="AH14" s="3020"/>
      <c r="AI14" s="3020"/>
      <c r="AJ14" s="3020"/>
      <c r="AK14" s="3020"/>
      <c r="AL14" s="3020"/>
      <c r="AM14" s="3020"/>
      <c r="AN14" s="3020">
        <v>465.49</v>
      </c>
      <c r="AO14" s="3020"/>
      <c r="AP14" s="3020"/>
      <c r="AQ14" s="3020"/>
      <c r="AR14" s="3020"/>
      <c r="AS14" s="3020"/>
      <c r="AT14" s="3021"/>
      <c r="AU14" s="3022"/>
      <c r="AV14" s="17">
        <f t="shared" si="10"/>
        <v>0</v>
      </c>
      <c r="AW14" s="17">
        <f t="shared" si="10"/>
        <v>0</v>
      </c>
      <c r="AX14" s="17" t="str">
        <f t="shared" si="10"/>
        <v>2#楼</v>
      </c>
      <c r="AY14" s="995">
        <f t="shared" si="11"/>
        <v>2650.95</v>
      </c>
      <c r="AZ14" s="27">
        <f t="shared" si="12"/>
        <v>11142.76</v>
      </c>
      <c r="BA14" s="27">
        <f t="shared" si="13"/>
        <v>10677.27</v>
      </c>
      <c r="BB14" s="27">
        <f t="shared" si="14"/>
        <v>8755.1</v>
      </c>
      <c r="BC14" s="27">
        <f t="shared" si="15"/>
        <v>1922.17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465.49</v>
      </c>
      <c r="BM14" s="27">
        <f t="shared" si="25"/>
        <v>0</v>
      </c>
      <c r="BN14" s="27">
        <f t="shared" si="26"/>
        <v>0</v>
      </c>
      <c r="BO14" s="27">
        <f t="shared" si="27"/>
        <v>0</v>
      </c>
      <c r="BP14" s="27">
        <f t="shared" si="28"/>
        <v>0</v>
      </c>
      <c r="BQ14" s="27">
        <f t="shared" si="29"/>
        <v>0</v>
      </c>
      <c r="BR14" s="27">
        <f t="shared" si="30"/>
        <v>465.49</v>
      </c>
      <c r="BS14" s="27">
        <f t="shared" si="31"/>
        <v>0</v>
      </c>
      <c r="BT14" s="36">
        <f t="shared" si="32"/>
        <v>0</v>
      </c>
    </row>
    <row r="15" spans="1:72" s="18" customFormat="1" ht="12.75">
      <c r="A15" s="3013"/>
      <c r="B15" s="3013"/>
      <c r="C15" s="3015" t="s">
        <v>3323</v>
      </c>
      <c r="D15" s="3014" t="s">
        <v>1679</v>
      </c>
      <c r="E15" s="27">
        <f t="shared" si="6"/>
        <v>3581.74</v>
      </c>
      <c r="F15" s="81"/>
      <c r="G15" s="82">
        <f t="shared" si="7"/>
        <v>15055.14</v>
      </c>
      <c r="H15" s="33">
        <f t="shared" si="8"/>
        <v>14084.75</v>
      </c>
      <c r="I15" s="3016">
        <v>12838.79</v>
      </c>
      <c r="J15" s="3016"/>
      <c r="K15" s="3016">
        <v>1245.96</v>
      </c>
      <c r="L15" s="3016"/>
      <c r="M15" s="3016"/>
      <c r="N15" s="83"/>
      <c r="O15" s="83"/>
      <c r="P15" s="83"/>
      <c r="Q15" s="83"/>
      <c r="R15" s="83"/>
      <c r="S15" s="83"/>
      <c r="T15" s="83"/>
      <c r="U15" s="83"/>
      <c r="V15" s="83"/>
      <c r="W15" s="83"/>
      <c r="X15" s="83"/>
      <c r="Y15" s="83"/>
      <c r="Z15" s="83"/>
      <c r="AA15" s="83"/>
      <c r="AB15" s="83"/>
      <c r="AC15" s="27">
        <f t="shared" si="9"/>
        <v>970.39</v>
      </c>
      <c r="AD15" s="3020">
        <v>288.74</v>
      </c>
      <c r="AE15" s="3020"/>
      <c r="AF15" s="3020"/>
      <c r="AG15" s="3020"/>
      <c r="AH15" s="3020"/>
      <c r="AI15" s="3020"/>
      <c r="AJ15" s="3020"/>
      <c r="AK15" s="3020"/>
      <c r="AL15" s="3020"/>
      <c r="AM15" s="3020"/>
      <c r="AN15" s="3020">
        <v>681.65</v>
      </c>
      <c r="AO15" s="3020"/>
      <c r="AP15" s="3020"/>
      <c r="AQ15" s="3020"/>
      <c r="AR15" s="3020"/>
      <c r="AS15" s="3020"/>
      <c r="AT15" s="3021"/>
      <c r="AU15" s="3022"/>
      <c r="AV15" s="17">
        <f t="shared" si="10"/>
        <v>0</v>
      </c>
      <c r="AW15" s="17">
        <f t="shared" si="10"/>
        <v>0</v>
      </c>
      <c r="AX15" s="17" t="str">
        <f t="shared" si="10"/>
        <v>3#楼</v>
      </c>
      <c r="AY15" s="995">
        <f t="shared" si="11"/>
        <v>3581.74</v>
      </c>
      <c r="AZ15" s="27">
        <f t="shared" si="12"/>
        <v>15055.14</v>
      </c>
      <c r="BA15" s="27">
        <f t="shared" si="13"/>
        <v>14084.75</v>
      </c>
      <c r="BB15" s="27">
        <f t="shared" si="14"/>
        <v>12838.79</v>
      </c>
      <c r="BC15" s="27">
        <f t="shared" si="15"/>
        <v>1245.96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970.39</v>
      </c>
      <c r="BM15" s="27">
        <f t="shared" si="25"/>
        <v>288.74</v>
      </c>
      <c r="BN15" s="27">
        <f t="shared" si="26"/>
        <v>0</v>
      </c>
      <c r="BO15" s="27">
        <f t="shared" si="27"/>
        <v>0</v>
      </c>
      <c r="BP15" s="27">
        <f t="shared" si="28"/>
        <v>0</v>
      </c>
      <c r="BQ15" s="27">
        <f t="shared" si="29"/>
        <v>0</v>
      </c>
      <c r="BR15" s="27">
        <f t="shared" si="30"/>
        <v>681.65</v>
      </c>
      <c r="BS15" s="27">
        <f t="shared" si="31"/>
        <v>0</v>
      </c>
      <c r="BT15" s="36">
        <f t="shared" si="32"/>
        <v>0</v>
      </c>
    </row>
    <row r="16" spans="1:72" s="18" customFormat="1" ht="12.75">
      <c r="A16" s="3013"/>
      <c r="B16" s="3013"/>
      <c r="C16" s="3015" t="s">
        <v>3324</v>
      </c>
      <c r="D16" s="3014" t="s">
        <v>1679</v>
      </c>
      <c r="E16" s="27">
        <f t="shared" si="6"/>
        <v>3533.54</v>
      </c>
      <c r="F16" s="81"/>
      <c r="G16" s="82">
        <f t="shared" si="7"/>
        <v>14852.529999999999</v>
      </c>
      <c r="H16" s="33">
        <f t="shared" si="8"/>
        <v>14156.07</v>
      </c>
      <c r="I16" s="3016">
        <v>12810.07</v>
      </c>
      <c r="J16" s="3016"/>
      <c r="K16" s="3016">
        <v>1346</v>
      </c>
      <c r="L16" s="3016"/>
      <c r="M16" s="3016"/>
      <c r="N16" s="83"/>
      <c r="O16" s="83"/>
      <c r="P16" s="83"/>
      <c r="Q16" s="83"/>
      <c r="R16" s="83"/>
      <c r="S16" s="83"/>
      <c r="T16" s="83"/>
      <c r="U16" s="83"/>
      <c r="V16" s="83"/>
      <c r="W16" s="83"/>
      <c r="X16" s="83"/>
      <c r="Y16" s="83"/>
      <c r="Z16" s="83"/>
      <c r="AA16" s="83"/>
      <c r="AB16" s="83"/>
      <c r="AC16" s="27">
        <f t="shared" si="9"/>
        <v>696.46</v>
      </c>
      <c r="AD16" s="3020">
        <v>59.56</v>
      </c>
      <c r="AE16" s="3020"/>
      <c r="AF16" s="3020"/>
      <c r="AG16" s="3020"/>
      <c r="AH16" s="3020"/>
      <c r="AI16" s="3020"/>
      <c r="AJ16" s="3020"/>
      <c r="AK16" s="3020"/>
      <c r="AL16" s="3020"/>
      <c r="AM16" s="3020"/>
      <c r="AN16" s="3020">
        <v>636.9</v>
      </c>
      <c r="AO16" s="3020"/>
      <c r="AP16" s="3020"/>
      <c r="AQ16" s="3020"/>
      <c r="AR16" s="3020"/>
      <c r="AS16" s="3020"/>
      <c r="AT16" s="3021"/>
      <c r="AU16" s="3022"/>
      <c r="AV16" s="17">
        <f t="shared" si="10"/>
        <v>0</v>
      </c>
      <c r="AW16" s="17">
        <f t="shared" si="10"/>
        <v>0</v>
      </c>
      <c r="AX16" s="17" t="str">
        <f t="shared" si="10"/>
        <v>4#楼</v>
      </c>
      <c r="AY16" s="995">
        <f t="shared" si="11"/>
        <v>3533.54</v>
      </c>
      <c r="AZ16" s="27">
        <f t="shared" si="12"/>
        <v>14852.529999999999</v>
      </c>
      <c r="BA16" s="27">
        <f t="shared" si="13"/>
        <v>14156.07</v>
      </c>
      <c r="BB16" s="27">
        <f t="shared" si="14"/>
        <v>12810.07</v>
      </c>
      <c r="BC16" s="27">
        <f t="shared" si="15"/>
        <v>1346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696.46</v>
      </c>
      <c r="BM16" s="27">
        <f t="shared" si="25"/>
        <v>59.56</v>
      </c>
      <c r="BN16" s="27">
        <f t="shared" si="26"/>
        <v>0</v>
      </c>
      <c r="BO16" s="27">
        <f t="shared" si="27"/>
        <v>0</v>
      </c>
      <c r="BP16" s="27">
        <f t="shared" si="28"/>
        <v>0</v>
      </c>
      <c r="BQ16" s="27">
        <f t="shared" si="29"/>
        <v>0</v>
      </c>
      <c r="BR16" s="27">
        <f t="shared" si="30"/>
        <v>636.9</v>
      </c>
      <c r="BS16" s="27">
        <f t="shared" si="31"/>
        <v>0</v>
      </c>
      <c r="BT16" s="36">
        <f t="shared" si="32"/>
        <v>0</v>
      </c>
    </row>
    <row r="17" spans="1:72" s="18" customFormat="1" ht="25.5">
      <c r="A17" s="3013"/>
      <c r="B17" s="3013"/>
      <c r="C17" s="3015" t="s">
        <v>3325</v>
      </c>
      <c r="D17" s="3014" t="s">
        <v>1679</v>
      </c>
      <c r="E17" s="27">
        <f t="shared" si="6"/>
        <v>4456.99</v>
      </c>
      <c r="F17" s="81"/>
      <c r="G17" s="82">
        <f t="shared" si="7"/>
        <v>18734.07</v>
      </c>
      <c r="H17" s="33">
        <f t="shared" si="8"/>
        <v>18673.07</v>
      </c>
      <c r="I17" s="3016"/>
      <c r="J17" s="3016"/>
      <c r="K17" s="1393"/>
      <c r="L17" s="3016"/>
      <c r="M17" s="3016"/>
      <c r="N17" s="83"/>
      <c r="O17" s="3016">
        <v>18673.07</v>
      </c>
      <c r="P17" s="83"/>
      <c r="Q17" s="83"/>
      <c r="R17" s="83"/>
      <c r="S17" s="83"/>
      <c r="T17" s="83"/>
      <c r="U17" s="83"/>
      <c r="V17" s="83"/>
      <c r="W17" s="83"/>
      <c r="X17" s="83"/>
      <c r="Y17" s="83"/>
      <c r="Z17" s="83"/>
      <c r="AA17" s="83"/>
      <c r="AB17" s="83"/>
      <c r="AC17" s="27">
        <f t="shared" si="9"/>
        <v>61</v>
      </c>
      <c r="AD17" s="3020">
        <v>61</v>
      </c>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t="str">
        <f t="shared" si="10"/>
        <v>S1#商业办公楼</v>
      </c>
      <c r="AY17" s="995">
        <f t="shared" si="11"/>
        <v>4456.99</v>
      </c>
      <c r="AZ17" s="27">
        <f t="shared" si="12"/>
        <v>18734.07</v>
      </c>
      <c r="BA17" s="27">
        <f t="shared" si="13"/>
        <v>18673.07</v>
      </c>
      <c r="BB17" s="27">
        <f t="shared" si="14"/>
        <v>0</v>
      </c>
      <c r="BC17" s="27">
        <f t="shared" si="15"/>
        <v>0</v>
      </c>
      <c r="BD17" s="27">
        <f t="shared" si="16"/>
        <v>0</v>
      </c>
      <c r="BE17" s="27">
        <f t="shared" si="17"/>
        <v>18673.07</v>
      </c>
      <c r="BF17" s="27">
        <f t="shared" si="18"/>
        <v>0</v>
      </c>
      <c r="BG17" s="27">
        <f t="shared" si="19"/>
        <v>0</v>
      </c>
      <c r="BH17" s="27">
        <f t="shared" si="20"/>
        <v>0</v>
      </c>
      <c r="BI17" s="27">
        <f t="shared" si="21"/>
        <v>0</v>
      </c>
      <c r="BJ17" s="27">
        <f t="shared" si="22"/>
        <v>0</v>
      </c>
      <c r="BK17" s="27">
        <f t="shared" si="23"/>
        <v>0</v>
      </c>
      <c r="BL17" s="27">
        <f t="shared" si="24"/>
        <v>61</v>
      </c>
      <c r="BM17" s="27">
        <f t="shared" si="25"/>
        <v>61</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3326</v>
      </c>
      <c r="D18" s="3014" t="s">
        <v>1679</v>
      </c>
      <c r="E18" s="87">
        <f t="shared" si="6"/>
        <v>517.24</v>
      </c>
      <c r="F18" s="88"/>
      <c r="G18" s="89">
        <f t="shared" si="7"/>
        <v>2174.11</v>
      </c>
      <c r="H18" s="90">
        <f t="shared" si="8"/>
        <v>2174.11</v>
      </c>
      <c r="I18" s="1393"/>
      <c r="J18" s="91"/>
      <c r="K18" s="1393">
        <v>2174.11</v>
      </c>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S2#商业单体</v>
      </c>
      <c r="AY18" s="95">
        <f t="shared" si="11"/>
        <v>517.24</v>
      </c>
      <c r="AZ18" s="87">
        <f t="shared" si="12"/>
        <v>2174.11</v>
      </c>
      <c r="BA18" s="87">
        <f t="shared" si="13"/>
        <v>2174.11</v>
      </c>
      <c r="BB18" s="87">
        <f t="shared" si="14"/>
        <v>0</v>
      </c>
      <c r="BC18" s="87">
        <f t="shared" si="15"/>
        <v>2174.11</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42.75">
      <c r="A19" s="84"/>
      <c r="B19" s="1397"/>
      <c r="C19" s="1393" t="s">
        <v>3327</v>
      </c>
      <c r="D19" s="3014" t="s">
        <v>1679</v>
      </c>
      <c r="E19" s="87">
        <f t="shared" si="6"/>
        <v>5058.7</v>
      </c>
      <c r="F19" s="88"/>
      <c r="G19" s="89">
        <f t="shared" si="7"/>
        <v>21263.27</v>
      </c>
      <c r="H19" s="90">
        <f t="shared" si="8"/>
        <v>21263.27</v>
      </c>
      <c r="I19" s="1393"/>
      <c r="J19" s="91"/>
      <c r="K19" s="1393"/>
      <c r="L19" s="91"/>
      <c r="M19" s="91">
        <v>21263.27</v>
      </c>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地下车库及其他设施</v>
      </c>
      <c r="AY19" s="95">
        <f t="shared" si="11"/>
        <v>5058.7</v>
      </c>
      <c r="AZ19" s="87">
        <f t="shared" si="12"/>
        <v>21263.27</v>
      </c>
      <c r="BA19" s="87">
        <f t="shared" si="13"/>
        <v>21263.27</v>
      </c>
      <c r="BB19" s="87">
        <f t="shared" si="14"/>
        <v>0</v>
      </c>
      <c r="BC19" s="87">
        <f t="shared" si="15"/>
        <v>0</v>
      </c>
      <c r="BD19" s="87">
        <f t="shared" si="16"/>
        <v>21263.27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4" sqref="I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7"/>
      <c r="H2" s="1198"/>
      <c r="I2" s="1199" t="s">
        <v>857</v>
      </c>
      <c r="J2" s="1983"/>
      <c r="K2" s="1983"/>
      <c r="L2" s="1983"/>
    </row>
    <row r="3" spans="1:16" ht="15.75" thickBot="1">
      <c r="A3" s="3274" t="s">
        <v>206</v>
      </c>
      <c r="B3" s="3274"/>
      <c r="C3" s="3274"/>
      <c r="D3" s="107">
        <f>'数据-基础表'!AY6</f>
        <v>23013</v>
      </c>
      <c r="E3" s="107">
        <f>'数据-基础表'!AZ5</f>
        <v>96730.640000000014</v>
      </c>
      <c r="F3" s="1983"/>
      <c r="G3" s="279" t="s">
        <v>858</v>
      </c>
      <c r="H3" s="274" t="s">
        <v>859</v>
      </c>
      <c r="I3" s="1975">
        <f>ROUND('数据-基础表'!B3/'数据-基础表'!A3,2)</f>
        <v>4.2</v>
      </c>
      <c r="J3" s="1983"/>
      <c r="K3" s="1983"/>
      <c r="L3" s="1983"/>
    </row>
    <row r="4" spans="1:16" ht="15">
      <c r="A4" s="3275"/>
      <c r="B4" s="3276"/>
      <c r="C4" s="3277"/>
      <c r="D4" s="108" t="s">
        <v>204</v>
      </c>
      <c r="E4" s="109" t="s">
        <v>205</v>
      </c>
      <c r="F4" s="1983"/>
      <c r="G4" s="1200"/>
      <c r="H4" s="274" t="s">
        <v>860</v>
      </c>
      <c r="I4" s="1975">
        <f>ROUND(SUMIF('数据-基础表'!I9:AS9,"地上",'数据-基础表'!I5:AS5)/'数据-基础表'!A3,2)</f>
        <v>3.17</v>
      </c>
      <c r="J4" s="1983"/>
      <c r="K4" s="1983"/>
      <c r="L4" s="1983"/>
    </row>
    <row r="5" spans="1:16">
      <c r="A5" s="110" t="s">
        <v>207</v>
      </c>
      <c r="B5" s="3278" t="s">
        <v>230</v>
      </c>
      <c r="C5" s="3278"/>
      <c r="D5" s="111">
        <f>ROUND($D$3*E5/$E$3,2)</f>
        <v>10852.82</v>
      </c>
      <c r="E5" s="112">
        <f>SUMIF('数据-基础表'!$11:$11,"住宅",'数据-基础表'!$5:$5)</f>
        <v>45617.71</v>
      </c>
      <c r="F5" s="1983"/>
      <c r="G5" s="279" t="s">
        <v>861</v>
      </c>
      <c r="H5" s="274" t="s">
        <v>859</v>
      </c>
      <c r="I5" s="1975">
        <f>ROUND(E31/D31,2)</f>
        <v>4.2</v>
      </c>
      <c r="J5" s="1983"/>
      <c r="K5" s="1983"/>
      <c r="L5" s="1983"/>
    </row>
    <row r="6" spans="1:16" ht="15" thickBot="1">
      <c r="A6" s="113"/>
      <c r="B6" s="3278" t="s">
        <v>208</v>
      </c>
      <c r="C6" s="3278"/>
      <c r="D6" s="111">
        <f>ROUND($D$3*E6/$E$3,2)</f>
        <v>12160.18</v>
      </c>
      <c r="E6" s="112">
        <f>E3-E5</f>
        <v>51112.930000000015</v>
      </c>
      <c r="F6" s="1983"/>
      <c r="G6" s="1200"/>
      <c r="H6" s="274" t="s">
        <v>860</v>
      </c>
      <c r="I6" s="1975">
        <f>ROUND(F31/D31,2)</f>
        <v>3.17</v>
      </c>
      <c r="J6" s="1983"/>
      <c r="K6" s="1983"/>
      <c r="L6" s="1983"/>
    </row>
    <row r="7" spans="1:16" ht="15">
      <c r="A7" s="3270"/>
      <c r="B7" s="3271"/>
      <c r="C7" s="3272"/>
      <c r="D7" s="108" t="s">
        <v>204</v>
      </c>
      <c r="E7" s="114" t="s">
        <v>231</v>
      </c>
      <c r="F7" s="1983"/>
      <c r="G7" s="1155" t="s">
        <v>1646</v>
      </c>
      <c r="H7" s="1156"/>
      <c r="I7" s="1845">
        <v>3.17</v>
      </c>
      <c r="J7" s="1983"/>
      <c r="K7" s="1983"/>
      <c r="L7" s="1983"/>
    </row>
    <row r="8" spans="1:16">
      <c r="A8" s="110" t="s">
        <v>209</v>
      </c>
      <c r="B8" s="115" t="s">
        <v>210</v>
      </c>
      <c r="C8" s="111" t="s">
        <v>211</v>
      </c>
      <c r="D8" s="111">
        <f t="shared" ref="D8:D15" si="0">ROUND($D$3*E8/$E$3,2)</f>
        <v>17079.78</v>
      </c>
      <c r="E8" s="116">
        <f>SUMIF('数据-基础表'!BB10:BK10,"地上",'数据-基础表'!BB5:BK5)</f>
        <v>71791.53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5058.7</v>
      </c>
      <c r="E13" s="116">
        <f>SUMPRODUCT(('数据-基础表'!BB10:BK10="地下")*('数据-基础表'!BB11:BK11="车库")*('数据-基础表'!BB5:BK5))</f>
        <v>21263.27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22138.48</v>
      </c>
      <c r="E16" s="120">
        <f>SUM(E8:E15)</f>
        <v>93054.8</v>
      </c>
      <c r="F16" s="1983"/>
      <c r="G16" s="1985"/>
      <c r="H16" s="967" t="s">
        <v>219</v>
      </c>
      <c r="I16" s="968"/>
      <c r="J16" s="1983"/>
      <c r="K16" s="3264" t="s">
        <v>2567</v>
      </c>
      <c r="L16" s="3265"/>
      <c r="M16" s="3265"/>
      <c r="N16" s="3265"/>
      <c r="O16" s="3265"/>
      <c r="P16" s="3266"/>
    </row>
    <row r="17" spans="1:19" ht="15">
      <c r="A17" s="121" t="s">
        <v>216</v>
      </c>
      <c r="B17" s="122" t="s">
        <v>217</v>
      </c>
      <c r="C17" s="2297" t="s">
        <v>2315</v>
      </c>
      <c r="D17" s="108" t="s">
        <v>204</v>
      </c>
      <c r="E17" s="124" t="s">
        <v>205</v>
      </c>
      <c r="F17" s="125"/>
      <c r="G17" s="1364"/>
      <c r="H17" s="969" t="s">
        <v>218</v>
      </c>
      <c r="I17" s="970" t="s">
        <v>2314</v>
      </c>
      <c r="J17" s="1983"/>
      <c r="K17" s="3267" t="s">
        <v>2568</v>
      </c>
      <c r="L17" s="3268"/>
      <c r="M17" s="3269"/>
      <c r="N17" s="3267" t="s">
        <v>2569</v>
      </c>
      <c r="O17" s="3268"/>
      <c r="P17" s="3269"/>
      <c r="R17" s="2298" t="s">
        <v>2313</v>
      </c>
      <c r="S17" s="144"/>
    </row>
    <row r="18" spans="1:19" ht="15">
      <c r="A18" s="117"/>
      <c r="B18" s="128"/>
      <c r="C18" s="129"/>
      <c r="D18" s="2641"/>
      <c r="E18" s="130" t="s">
        <v>220</v>
      </c>
      <c r="F18" s="131" t="s">
        <v>221</v>
      </c>
      <c r="G18" s="1365" t="s">
        <v>222</v>
      </c>
      <c r="H18" s="971" t="s">
        <v>223</v>
      </c>
      <c r="I18" s="972" t="s">
        <v>224</v>
      </c>
      <c r="J18" s="1983"/>
      <c r="K18" s="2604" t="s">
        <v>2570</v>
      </c>
      <c r="L18" s="2605" t="s">
        <v>2571</v>
      </c>
      <c r="M18" s="2606" t="s">
        <v>2572</v>
      </c>
      <c r="N18" s="2604" t="s">
        <v>2570</v>
      </c>
      <c r="O18" s="2605" t="s">
        <v>2571</v>
      </c>
      <c r="P18" s="2606" t="s">
        <v>2572</v>
      </c>
      <c r="R18" s="2299" t="s">
        <v>2311</v>
      </c>
      <c r="S18" s="2299" t="s">
        <v>2312</v>
      </c>
    </row>
    <row r="19" spans="1:19">
      <c r="A19" s="133"/>
      <c r="B19" s="115" t="s">
        <v>225</v>
      </c>
      <c r="C19" s="3023" t="s">
        <v>3333</v>
      </c>
      <c r="D19" s="111">
        <f t="shared" ref="D19:D26" si="1">ROUND($D$3*E19/$E$3,2)</f>
        <v>10852.82</v>
      </c>
      <c r="E19" s="134">
        <f t="shared" ref="E19:E26" si="2">SUM(F19:G19)</f>
        <v>45617.71</v>
      </c>
      <c r="F19" s="135">
        <f>'数据-基础表'!I5</f>
        <v>45617.71</v>
      </c>
      <c r="G19" s="1366"/>
      <c r="H19" s="973">
        <f>ROUND($D$3*I19/$E$3,2)</f>
        <v>569.35</v>
      </c>
      <c r="I19" s="116">
        <f>IF($I$17="自定义",P19,M19)</f>
        <v>2393.16</v>
      </c>
      <c r="J19" s="1983"/>
      <c r="K19" s="2607">
        <f t="shared" ref="K19:K26" si="3">ROUND(E$28*E19/E$27,2)</f>
        <v>1233.48</v>
      </c>
      <c r="L19" s="274">
        <f t="shared" ref="L19:L26" si="4">ROUND(IF(COUNTIF(C19,"*住宅*")&gt;0,E$29*E19/E$32,0),2)</f>
        <v>1159.68</v>
      </c>
      <c r="M19" s="2608">
        <f>K19+L19</f>
        <v>2393.16</v>
      </c>
      <c r="N19" s="2609"/>
      <c r="O19" s="2610"/>
      <c r="P19" s="2611">
        <f>N19+O19</f>
        <v>0</v>
      </c>
      <c r="R19" s="274">
        <f t="shared" ref="R19:S26" si="5">D19+H19</f>
        <v>11422.17</v>
      </c>
      <c r="S19" s="2300">
        <f t="shared" si="5"/>
        <v>48010.869999999995</v>
      </c>
    </row>
    <row r="20" spans="1:19">
      <c r="A20" s="138"/>
      <c r="B20" s="115" t="s">
        <v>226</v>
      </c>
      <c r="C20" s="3023" t="s">
        <v>3334</v>
      </c>
      <c r="D20" s="111">
        <f t="shared" si="1"/>
        <v>1784.49</v>
      </c>
      <c r="E20" s="134">
        <f t="shared" si="2"/>
        <v>7500.75</v>
      </c>
      <c r="F20" s="135">
        <f>'数据-基础表'!K5</f>
        <v>7500.75</v>
      </c>
      <c r="G20" s="1366"/>
      <c r="H20" s="973">
        <f t="shared" ref="H20:H26" si="6">ROUND($D$3*I20/$E$3,2)</f>
        <v>48.25</v>
      </c>
      <c r="I20" s="116">
        <f t="shared" ref="I20:I26" si="7">IF($I$17="自定义",P20,M20)</f>
        <v>202.82</v>
      </c>
      <c r="J20" s="1983"/>
      <c r="K20" s="2607">
        <f t="shared" si="3"/>
        <v>202.82</v>
      </c>
      <c r="L20" s="274">
        <f t="shared" si="4"/>
        <v>0</v>
      </c>
      <c r="M20" s="2608">
        <f t="shared" ref="M20:M26" si="8">K20+L20</f>
        <v>202.82</v>
      </c>
      <c r="N20" s="2609"/>
      <c r="O20" s="2610"/>
      <c r="P20" s="2611">
        <f t="shared" ref="P20:P26" si="9">N20+O20</f>
        <v>0</v>
      </c>
      <c r="R20" s="274">
        <f t="shared" si="5"/>
        <v>1832.74</v>
      </c>
      <c r="S20" s="2300">
        <f t="shared" si="5"/>
        <v>7703.57</v>
      </c>
    </row>
    <row r="21" spans="1:19">
      <c r="A21" s="138"/>
      <c r="B21" s="115" t="s">
        <v>226</v>
      </c>
      <c r="C21" s="3023" t="s">
        <v>3335</v>
      </c>
      <c r="D21" s="111">
        <f t="shared" si="1"/>
        <v>5058.7</v>
      </c>
      <c r="E21" s="134">
        <f t="shared" si="2"/>
        <v>21263.27</v>
      </c>
      <c r="F21" s="135"/>
      <c r="G21" s="1366">
        <f>'数据-基础表'!M5</f>
        <v>21263.27</v>
      </c>
      <c r="H21" s="973">
        <f t="shared" si="6"/>
        <v>136.79</v>
      </c>
      <c r="I21" s="116">
        <f t="shared" si="7"/>
        <v>574.95000000000005</v>
      </c>
      <c r="J21" s="1983"/>
      <c r="K21" s="2607">
        <f t="shared" si="3"/>
        <v>574.95000000000005</v>
      </c>
      <c r="L21" s="274">
        <f t="shared" si="4"/>
        <v>0</v>
      </c>
      <c r="M21" s="2608">
        <f t="shared" si="8"/>
        <v>574.95000000000005</v>
      </c>
      <c r="N21" s="2609"/>
      <c r="O21" s="2610"/>
      <c r="P21" s="2611">
        <f t="shared" si="9"/>
        <v>0</v>
      </c>
      <c r="R21" s="274">
        <f t="shared" si="5"/>
        <v>5195.49</v>
      </c>
      <c r="S21" s="2300">
        <f t="shared" si="5"/>
        <v>21838.22</v>
      </c>
    </row>
    <row r="22" spans="1:19">
      <c r="A22" s="138"/>
      <c r="B22" s="115" t="s">
        <v>226</v>
      </c>
      <c r="C22" s="3192" t="s">
        <v>3337</v>
      </c>
      <c r="D22" s="111">
        <f t="shared" si="1"/>
        <v>4442.47</v>
      </c>
      <c r="E22" s="134">
        <f t="shared" si="2"/>
        <v>18673.07</v>
      </c>
      <c r="F22" s="140">
        <f>'数据-基础表'!O5</f>
        <v>18673.07</v>
      </c>
      <c r="G22" s="1367"/>
      <c r="H22" s="973">
        <f t="shared" si="6"/>
        <v>120.12</v>
      </c>
      <c r="I22" s="116">
        <f t="shared" si="7"/>
        <v>504.91</v>
      </c>
      <c r="J22" s="1983"/>
      <c r="K22" s="2607">
        <f t="shared" si="3"/>
        <v>504.91</v>
      </c>
      <c r="L22" s="274">
        <f t="shared" si="4"/>
        <v>0</v>
      </c>
      <c r="M22" s="2608">
        <f t="shared" si="8"/>
        <v>504.91</v>
      </c>
      <c r="N22" s="2609"/>
      <c r="O22" s="2610"/>
      <c r="P22" s="2611">
        <f t="shared" si="9"/>
        <v>0</v>
      </c>
      <c r="R22" s="274">
        <f t="shared" si="5"/>
        <v>4562.59</v>
      </c>
      <c r="S22" s="2300">
        <f t="shared" si="5"/>
        <v>19177.98</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29.25" thickBot="1">
      <c r="A27" s="138"/>
      <c r="B27" s="111"/>
      <c r="C27" s="127" t="s">
        <v>215</v>
      </c>
      <c r="D27" s="134">
        <f>SUM(D19:D26)</f>
        <v>22138.48</v>
      </c>
      <c r="E27" s="143">
        <f>IF(SUM(E19:E26)='数据-基础表'!BA5,SUM(E19:E26),IF(F27="地上面积有误","面积有误","地下面积有误"))</f>
        <v>93054.799999999988</v>
      </c>
      <c r="F27" s="134">
        <f>IF(SUM(F19:F26)=E8,SUM(F19:F26),"地上面积有误")</f>
        <v>71791.53</v>
      </c>
      <c r="G27" s="112">
        <f>SUM(G19:G26)</f>
        <v>21263.27</v>
      </c>
      <c r="H27" s="974">
        <f>SUM(H19:H26)</f>
        <v>874.51</v>
      </c>
      <c r="I27" s="975">
        <f>SUM(I19:I26)</f>
        <v>3675.84</v>
      </c>
      <c r="J27" s="1983"/>
      <c r="K27" s="2616">
        <f>SUM(K19:K26)</f>
        <v>2516.16</v>
      </c>
      <c r="L27" s="2617">
        <f>SUM(L19:L26)</f>
        <v>1159.68</v>
      </c>
      <c r="M27" s="2618">
        <f>SUM(M19:M26)</f>
        <v>3675.84</v>
      </c>
      <c r="N27" s="2616">
        <f t="shared" ref="N27:O27" si="10">SUM(N19:N26)</f>
        <v>0</v>
      </c>
      <c r="O27" s="2617">
        <f t="shared" si="10"/>
        <v>0</v>
      </c>
      <c r="P27" s="2619">
        <f>SUM(P19:P26)</f>
        <v>0</v>
      </c>
      <c r="R27" s="2304" t="str">
        <f>IF(SUM(R19:R26)=$D$3,SUM(R19:R26),SUM(R19:R26)&amp;"误差"&amp;ROUND(SUM(R19:R26)-$D$3,2))</f>
        <v>23012.99误差-0.01</v>
      </c>
      <c r="S27" s="274">
        <f>IF(SUM(S19:S26)=$E$3,SUM(S19:S26),SUM(S19:S26)&amp;"误差"&amp;ROUND(SUM(S19:S26)-E3,2))</f>
        <v>96730.64</v>
      </c>
    </row>
    <row r="28" spans="1:19">
      <c r="A28" s="138"/>
      <c r="B28" s="115" t="s">
        <v>227</v>
      </c>
      <c r="C28" s="136" t="s">
        <v>228</v>
      </c>
      <c r="D28" s="111">
        <f>ROUND($D$3*E28/$E$3,2)</f>
        <v>598.61</v>
      </c>
      <c r="E28" s="134">
        <f>SUM(F28:G28)</f>
        <v>2516.1600000000003</v>
      </c>
      <c r="F28" s="144">
        <f>'数据-基础表'!BQ5+'数据-基础表'!BS5</f>
        <v>0</v>
      </c>
      <c r="G28" s="145">
        <f>'数据-基础表'!BR5+'数据-基础表'!BT5</f>
        <v>2516.1600000000003</v>
      </c>
      <c r="H28" s="1983"/>
      <c r="I28" s="1983"/>
      <c r="J28" s="1983"/>
      <c r="K28" s="1983"/>
      <c r="L28" s="1983"/>
    </row>
    <row r="29" spans="1:19">
      <c r="A29" s="138"/>
      <c r="B29" s="115" t="s">
        <v>227</v>
      </c>
      <c r="C29" s="2312" t="s">
        <v>2322</v>
      </c>
      <c r="D29" s="111">
        <f>ROUND($D$3*E29/$E$3,2)</f>
        <v>275.89999999999998</v>
      </c>
      <c r="E29" s="134">
        <f>SUM(F29:G29)</f>
        <v>1159.6799999999998</v>
      </c>
      <c r="F29" s="144">
        <f>'数据-基础表'!BM5+'数据-基础表'!BO5</f>
        <v>1159.6799999999998</v>
      </c>
      <c r="G29" s="146">
        <f>'数据-基础表'!BN5+'数据-基础表'!BP5</f>
        <v>0</v>
      </c>
      <c r="H29" s="1983"/>
      <c r="I29" s="1983"/>
      <c r="J29" s="1983"/>
      <c r="K29" s="1983"/>
      <c r="L29" s="1983"/>
    </row>
    <row r="30" spans="1:19">
      <c r="A30" s="138"/>
      <c r="B30" s="111"/>
      <c r="C30" s="147" t="s">
        <v>215</v>
      </c>
      <c r="D30" s="134">
        <f>SUM(D28:D29)</f>
        <v>874.51</v>
      </c>
      <c r="E30" s="134">
        <f>SUM(E28:E29)</f>
        <v>3675.84</v>
      </c>
      <c r="F30" s="134">
        <f>SUM(F28:F29)</f>
        <v>1159.6799999999998</v>
      </c>
      <c r="G30" s="112">
        <f>SUM(G28:G29)</f>
        <v>2516.1600000000003</v>
      </c>
      <c r="H30" s="1983"/>
      <c r="I30" s="1983"/>
      <c r="J30" s="1983"/>
      <c r="K30" s="1983"/>
      <c r="L30" s="1983"/>
    </row>
    <row r="31" spans="1:19" ht="32.25" customHeight="1" thickBot="1">
      <c r="A31" s="1368"/>
      <c r="B31" s="1369" t="s">
        <v>229</v>
      </c>
      <c r="C31" s="2329" t="s">
        <v>2324</v>
      </c>
      <c r="D31" s="1370">
        <f>D27+D30</f>
        <v>23012.989999999998</v>
      </c>
      <c r="E31" s="1370">
        <f>E27+E30</f>
        <v>96730.639999999985</v>
      </c>
      <c r="F31" s="1371">
        <f>F27+F30</f>
        <v>72951.209999999992</v>
      </c>
      <c r="G31" s="1372">
        <f>G27+G30</f>
        <v>23779.43</v>
      </c>
      <c r="H31" s="1983"/>
      <c r="I31" s="1983"/>
      <c r="J31" s="1983"/>
      <c r="K31" s="1983"/>
      <c r="L31" s="1983"/>
    </row>
    <row r="32" spans="1:19">
      <c r="A32" s="1983"/>
      <c r="B32" s="2362" t="s">
        <v>2323</v>
      </c>
      <c r="C32" s="2646"/>
      <c r="D32" s="1200"/>
      <c r="E32" s="1200">
        <f>SUMIF(C19:C26,"*住宅*",E19:E26)</f>
        <v>45617.71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43336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68803</v>
      </c>
      <c r="F6" s="174">
        <f>SUMIF(项目基本情况!D$15:I$15,C6,项目基本情况!D$19:I$19)</f>
        <v>69.77</v>
      </c>
      <c r="G6" s="175">
        <f>IF(ISERROR(ROUND(POWER(1+H6,D6-F6)*(POWER(1+H6,F6)-1)/(POWER(1+H6,D6)-1),3)),0,ROUND(POWER(1+H6,D6-F6)*(POWER(1+H6,F6)-1)/(POWER(1+H6,D6)-1),3))</f>
        <v>0.999</v>
      </c>
      <c r="H6" s="3024">
        <v>0.04</v>
      </c>
      <c r="I6" s="3024">
        <v>4.4999999999999998E-2</v>
      </c>
      <c r="J6" s="176"/>
      <c r="K6" s="179">
        <f>SUMIF('数据-汇总表'!C$19:C$33,'数据-取费表'!A6,'数据-汇总表'!E$19:E$33)</f>
        <v>45617.71</v>
      </c>
      <c r="L6" s="3025">
        <v>2000</v>
      </c>
      <c r="M6" s="177">
        <f t="shared" ref="M6:M14" si="0">ROUND(K6*L6/10000,0)</f>
        <v>9124</v>
      </c>
      <c r="N6" s="3026">
        <v>0</v>
      </c>
      <c r="O6" s="177">
        <f>IF($N$5="成新度","——",ROUND(M6*N6,0))</f>
        <v>0</v>
      </c>
      <c r="P6" s="178">
        <f>IF($N$5="成新度","——",M6-O6)</f>
        <v>9124</v>
      </c>
      <c r="Q6" s="3027">
        <v>0.15</v>
      </c>
      <c r="R6" s="179">
        <f>SUMIF('数据-汇总表'!C$19:C$33,A6,'数据-汇总表'!R$19:R$33)</f>
        <v>11422.17</v>
      </c>
      <c r="S6" s="132">
        <f>IF('数据-汇总表'!$I$17="按面积比例",SUMIF('数据-汇总表'!C$19:C$33,A6,'数据-汇总表'!K$19:K$33),SUMIF('数据-汇总表'!C$19:C$33,A6,'数据-汇总表'!N$19:N$33))</f>
        <v>1233.48</v>
      </c>
      <c r="T6" s="2233">
        <f>IF($T$4="按面积比例",IF(ISERROR(ROUND($M$14*S6/S$16,0)),"0",ROUND($M$14*S6/S$16,0)),"需自行计算录入")</f>
        <v>247</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38"/>
      <c r="AN6" s="2391"/>
      <c r="AO6" s="1999"/>
      <c r="AP6" s="1203">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3309</v>
      </c>
      <c r="D7" s="2307">
        <f>SUMIF(项目基本情况!D$15:I$15,C7,项目基本情况!D$18:I$18)</f>
        <v>40</v>
      </c>
      <c r="E7" s="2308">
        <f>IF(B7="","",SUMIF(项目基本情况!D$15:I$15,C7,项目基本情况!D$17:I$17))</f>
        <v>57845</v>
      </c>
      <c r="F7" s="174">
        <f>SUMIF(项目基本情况!D$15:I$15,C7,项目基本情况!D$19:I$19)</f>
        <v>39.75</v>
      </c>
      <c r="G7" s="175">
        <f t="shared" ref="G7:G11" si="2">IF(ISERROR(ROUND(POWER(1+H7,D7-F7)*(POWER(1+H7,F7)-1)/(POWER(1+H7,D7)-1),3)),0,ROUND(POWER(1+H7,D7-F7)*(POWER(1+H7,F7)-1)/(POWER(1+H7,D7)-1),3))</f>
        <v>0.998</v>
      </c>
      <c r="H7" s="3024">
        <v>5.5E-2</v>
      </c>
      <c r="I7" s="3024">
        <v>0.06</v>
      </c>
      <c r="J7" s="176"/>
      <c r="K7" s="179">
        <f>SUMIF('数据-汇总表'!C$19:C$33,'数据-取费表'!A7,'数据-汇总表'!E$19:E$33)</f>
        <v>7500.75</v>
      </c>
      <c r="L7" s="3025">
        <f>L6</f>
        <v>2000</v>
      </c>
      <c r="M7" s="177">
        <f t="shared" si="0"/>
        <v>1500</v>
      </c>
      <c r="N7" s="3026">
        <f>N6</f>
        <v>0</v>
      </c>
      <c r="O7" s="177">
        <f t="shared" ref="O7:O14" si="3">IF($N$5="成新度","——",ROUND(M7*N7,0))</f>
        <v>0</v>
      </c>
      <c r="P7" s="178">
        <f t="shared" ref="P7:P14" si="4">IF($N$5="成新度","——",M7-O7)</f>
        <v>1500</v>
      </c>
      <c r="Q7" s="3027">
        <v>0.2</v>
      </c>
      <c r="R7" s="179">
        <f>SUMIF('数据-汇总表'!C$19:C$33,A7,'数据-汇总表'!R$19:R$33)</f>
        <v>1832.74</v>
      </c>
      <c r="S7" s="132">
        <f>IF('数据-汇总表'!$I$17="按面积比例",SUMIF('数据-汇总表'!C$19:C$33,A7,'数据-汇总表'!K$19:K$33),SUMIF('数据-汇总表'!C$19:C$33,A7,'数据-汇总表'!N$19:N$33))</f>
        <v>202.82</v>
      </c>
      <c r="T7" s="2233">
        <f t="shared" ref="T7:T13" si="5">IF($T$4="按面积比例",IF(ISERROR(ROUND($M$14*S7/S$16,0)),"0",ROUND($M$14*S7/S$16,0)),"需自行计算录入")</f>
        <v>41</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0.88100000000000001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3329</v>
      </c>
      <c r="D8" s="2307">
        <f>SUMIF(项目基本情况!D$15:I$15,C8,项目基本情况!D$18:I$18)</f>
        <v>50</v>
      </c>
      <c r="E8" s="2308">
        <f>IF(B8="","",SUMIF(项目基本情况!D$15:I$15,C8,项目基本情况!D$17:I$17))</f>
        <v>61498</v>
      </c>
      <c r="F8" s="174">
        <f>SUMIF(项目基本情况!D$15:I$15,C8,项目基本情况!D$19:I$19)</f>
        <v>49.75</v>
      </c>
      <c r="G8" s="175">
        <f t="shared" si="2"/>
        <v>0.999</v>
      </c>
      <c r="H8" s="3024">
        <v>4.4999999999999998E-2</v>
      </c>
      <c r="I8" s="3024">
        <v>0.05</v>
      </c>
      <c r="J8" s="176"/>
      <c r="K8" s="179">
        <f>SUMIF('数据-汇总表'!C$19:C$33,'数据-取费表'!A8,'数据-汇总表'!E$19:E$33)</f>
        <v>21263.27</v>
      </c>
      <c r="L8" s="3025">
        <f>L6</f>
        <v>2000</v>
      </c>
      <c r="M8" s="177">
        <f>ROUND(K8*L8/10000,0)</f>
        <v>4253</v>
      </c>
      <c r="N8" s="3026">
        <f>N6</f>
        <v>0</v>
      </c>
      <c r="O8" s="177">
        <f t="shared" si="3"/>
        <v>0</v>
      </c>
      <c r="P8" s="178">
        <f t="shared" si="4"/>
        <v>4253</v>
      </c>
      <c r="Q8" s="3027">
        <v>0.05</v>
      </c>
      <c r="R8" s="179">
        <f>SUMIF('数据-汇总表'!C$19:C$33,A8,'数据-汇总表'!R$19:R$33)</f>
        <v>5195.49</v>
      </c>
      <c r="S8" s="132">
        <f>IF('数据-汇总表'!$I$17="按面积比例",SUMIF('数据-汇总表'!C$19:C$33,A8,'数据-汇总表'!K$19:K$33),SUMIF('数据-汇总表'!C$19:C$33,A8,'数据-汇总表'!N$19:N$33))</f>
        <v>574.95000000000005</v>
      </c>
      <c r="T8" s="2233">
        <f t="shared" si="5"/>
        <v>115</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0.88800000000000001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办公</v>
      </c>
      <c r="B9" s="2336" t="str">
        <f t="shared" si="1"/>
        <v>经营性</v>
      </c>
      <c r="C9" s="173" t="s">
        <v>1678</v>
      </c>
      <c r="D9" s="2307">
        <f>SUMIF(项目基本情况!D$15:I$15,C9,项目基本情况!D$18:I$18)</f>
        <v>50</v>
      </c>
      <c r="E9" s="2308">
        <f>IF(B9="","",SUMIF(项目基本情况!D$15:I$15,C9,项目基本情况!D$17:I$17))</f>
        <v>61498</v>
      </c>
      <c r="F9" s="174">
        <f>SUMIF(项目基本情况!D$15:I$15,C9,项目基本情况!D$19:I$19)</f>
        <v>49.75</v>
      </c>
      <c r="G9" s="175">
        <f t="shared" si="2"/>
        <v>0.999</v>
      </c>
      <c r="H9" s="176">
        <v>0.05</v>
      </c>
      <c r="I9" s="176">
        <v>5.5E-2</v>
      </c>
      <c r="J9" s="176"/>
      <c r="K9" s="179">
        <f>SUMIF('数据-汇总表'!C$19:C$33,'数据-取费表'!A9,'数据-汇总表'!E$19:E$33)</f>
        <v>18673.07</v>
      </c>
      <c r="L9" s="193">
        <v>3000</v>
      </c>
      <c r="M9" s="177">
        <f t="shared" si="0"/>
        <v>5602</v>
      </c>
      <c r="N9" s="194">
        <f>N6</f>
        <v>0</v>
      </c>
      <c r="O9" s="177">
        <f t="shared" si="3"/>
        <v>0</v>
      </c>
      <c r="P9" s="178">
        <f t="shared" si="4"/>
        <v>5602</v>
      </c>
      <c r="Q9" s="192">
        <v>0.1</v>
      </c>
      <c r="R9" s="179">
        <f>SUMIF('数据-汇总表'!C$19:C$33,A9,'数据-汇总表'!R$19:R$33)</f>
        <v>4562.59</v>
      </c>
      <c r="S9" s="132">
        <f>IF('数据-汇总表'!$I$17="按面积比例",SUMIF('数据-汇总表'!C$19:C$33,A9,'数据-汇总表'!K$19:K$33),SUMIF('数据-汇总表'!C$19:C$33,A9,'数据-汇总表'!N$19:N$33))</f>
        <v>504.91</v>
      </c>
      <c r="T9" s="2233">
        <f t="shared" si="5"/>
        <v>101</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0.91200000000000003</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2516.1600000000003</v>
      </c>
      <c r="L14" s="193">
        <f>L6</f>
        <v>2000</v>
      </c>
      <c r="M14" s="177">
        <f t="shared" si="0"/>
        <v>503</v>
      </c>
      <c r="N14" s="194">
        <f>N6</f>
        <v>0</v>
      </c>
      <c r="O14" s="177">
        <f t="shared" si="3"/>
        <v>0</v>
      </c>
      <c r="P14" s="178">
        <f t="shared" si="4"/>
        <v>503</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1159.6799999999998</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96730.639999999985</v>
      </c>
      <c r="L16" s="206">
        <f>ROUND(M16*10000/SUM(K6:K14),0)</f>
        <v>2195</v>
      </c>
      <c r="M16" s="206">
        <f>SUM(M6:M14)</f>
        <v>20982</v>
      </c>
      <c r="N16" s="207">
        <f>ROUND(SUMPRODUCT(M6:M14,N6:N14)/M16,3)</f>
        <v>0</v>
      </c>
      <c r="O16" s="206">
        <f>SUM(O6:O14)</f>
        <v>0</v>
      </c>
      <c r="P16" s="206">
        <f>SUM(P6:P14)</f>
        <v>20982</v>
      </c>
      <c r="Q16" s="208">
        <f>ROUND(SUMPRODUCT(Q6:Q13,K6:K13)/SUMPRODUCT((Q6:Q13&gt;0)*(K6:K13)),2)</f>
        <v>0.12</v>
      </c>
      <c r="R16" s="2310">
        <f>SUM(R6:R13)</f>
        <v>23012.99</v>
      </c>
      <c r="S16" s="209">
        <f>SUM(S6:S13)</f>
        <v>2516.16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0.91500000000000004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3190">
        <v>92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2340</v>
      </c>
      <c r="B28" s="3191">
        <v>92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2338</v>
      </c>
      <c r="B29" s="231"/>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2895</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3"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4"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4"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1097</v>
      </c>
      <c r="C53" s="3075" t="s">
        <v>2903</v>
      </c>
      <c r="D53" s="3076"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2905</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2906</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2907</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2908</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2909</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2910</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2914</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1664</v>
      </c>
      <c r="B1" s="3280"/>
      <c r="C1" s="3280"/>
      <c r="D1" s="3280"/>
      <c r="E1" s="3280"/>
      <c r="F1" s="3280"/>
      <c r="G1" s="328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81" t="s">
        <v>3265</v>
      </c>
      <c r="D3" s="2008"/>
      <c r="E3" s="1228" t="s">
        <v>1667</v>
      </c>
      <c r="F3" s="1229" t="s">
        <v>1655</v>
      </c>
      <c r="G3" s="3082"/>
      <c r="H3" s="2007"/>
      <c r="I3" s="2007"/>
      <c r="J3" s="2007"/>
      <c r="K3" s="2007"/>
      <c r="L3" s="2007"/>
      <c r="M3" s="2007"/>
      <c r="N3" s="2007"/>
      <c r="O3" s="2007"/>
      <c r="P3" s="2007"/>
      <c r="Q3" s="2007"/>
      <c r="R3" s="2007"/>
    </row>
    <row r="4" spans="1:18" ht="14.25">
      <c r="A4" s="1228"/>
      <c r="B4" s="1230" t="s">
        <v>1668</v>
      </c>
      <c r="C4" s="3182" t="s">
        <v>3266</v>
      </c>
      <c r="D4" s="2008"/>
      <c r="E4" s="1231"/>
      <c r="F4" s="1232" t="s">
        <v>1669</v>
      </c>
      <c r="G4" s="3080"/>
      <c r="H4" s="2007"/>
      <c r="I4" s="2007"/>
      <c r="J4" s="2007"/>
      <c r="K4" s="2007"/>
      <c r="L4" s="2007"/>
      <c r="M4" s="2007"/>
      <c r="N4" s="2007"/>
      <c r="O4" s="2007"/>
      <c r="P4" s="2007"/>
      <c r="Q4" s="2007"/>
      <c r="R4" s="2007"/>
    </row>
    <row r="5" spans="1:18" ht="14.25">
      <c r="A5" s="1228"/>
      <c r="B5" s="1230" t="s">
        <v>1670</v>
      </c>
      <c r="C5" s="3182" t="s">
        <v>3268</v>
      </c>
      <c r="D5" s="2008"/>
      <c r="E5" s="1231"/>
      <c r="F5" s="1230" t="s">
        <v>2547</v>
      </c>
      <c r="G5" s="3080"/>
      <c r="H5" s="2007"/>
      <c r="I5" s="2007"/>
      <c r="J5" s="2007"/>
      <c r="K5" s="2007"/>
      <c r="L5" s="2007"/>
      <c r="M5" s="2007"/>
      <c r="N5" s="2007"/>
      <c r="O5" s="2007"/>
      <c r="P5" s="2007"/>
      <c r="Q5" s="2007"/>
      <c r="R5" s="2007"/>
    </row>
    <row r="6" spans="1:18" ht="14.25">
      <c r="A6" s="1228"/>
      <c r="B6" s="1230" t="s">
        <v>1656</v>
      </c>
      <c r="C6" s="3183" t="s">
        <v>3270</v>
      </c>
      <c r="D6" s="2008"/>
      <c r="E6" s="1231"/>
      <c r="F6" s="1230" t="s">
        <v>2548</v>
      </c>
      <c r="G6" s="3080"/>
      <c r="H6" s="2007"/>
      <c r="I6" s="2007"/>
      <c r="J6" s="2007"/>
      <c r="K6" s="2007"/>
      <c r="L6" s="2007"/>
      <c r="M6" s="2007"/>
      <c r="N6" s="2007"/>
      <c r="O6" s="2007"/>
      <c r="P6" s="2007"/>
      <c r="Q6" s="2007"/>
      <c r="R6" s="2007"/>
    </row>
    <row r="7" spans="1:18" ht="15" thickBot="1">
      <c r="A7" s="1228"/>
      <c r="B7" s="1230" t="s">
        <v>2547</v>
      </c>
      <c r="C7" s="3183" t="s">
        <v>3266</v>
      </c>
      <c r="D7" s="2009"/>
      <c r="E7" s="1233"/>
      <c r="F7" s="1234" t="s">
        <v>1671</v>
      </c>
      <c r="G7" s="3083"/>
      <c r="H7" s="2007"/>
      <c r="I7" s="2007"/>
      <c r="J7" s="2007"/>
      <c r="K7" s="2007"/>
      <c r="L7" s="2007"/>
      <c r="M7" s="2007"/>
      <c r="N7" s="2007"/>
      <c r="O7" s="2007"/>
      <c r="P7" s="2007"/>
      <c r="Q7" s="2007"/>
      <c r="R7" s="2007"/>
    </row>
    <row r="8" spans="1:18">
      <c r="A8" s="1228"/>
      <c r="B8" s="1230" t="s">
        <v>2548</v>
      </c>
      <c r="C8" s="3183" t="s">
        <v>3272</v>
      </c>
      <c r="D8" s="2009"/>
      <c r="E8" s="2009"/>
      <c r="F8" s="1552"/>
      <c r="G8" s="1552"/>
      <c r="H8" s="2007"/>
      <c r="I8" s="2007"/>
      <c r="J8" s="2007"/>
      <c r="K8" s="2007"/>
      <c r="L8" s="2007"/>
      <c r="M8" s="2007"/>
      <c r="N8" s="2007"/>
      <c r="O8" s="2007"/>
      <c r="P8" s="2007"/>
      <c r="Q8" s="2007"/>
      <c r="R8" s="2007"/>
    </row>
    <row r="9" spans="1:18">
      <c r="A9" s="1228"/>
      <c r="B9" s="1230" t="s">
        <v>1657</v>
      </c>
      <c r="C9" s="3182" t="s">
        <v>3265</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27">
      <c r="A15" s="2587" t="s">
        <v>1658</v>
      </c>
      <c r="B15" s="1241" t="s">
        <v>1654</v>
      </c>
      <c r="C15" s="1242" t="str">
        <f>C3</f>
        <v>较好</v>
      </c>
      <c r="D15" s="2008"/>
      <c r="E15" s="2584" t="s">
        <v>1659</v>
      </c>
      <c r="F15" s="1241" t="s">
        <v>1674</v>
      </c>
      <c r="G15" s="1243">
        <f>G3</f>
        <v>0</v>
      </c>
    </row>
    <row r="16" spans="1:18">
      <c r="A16" s="2588"/>
      <c r="B16" s="1244" t="s">
        <v>1668</v>
      </c>
      <c r="C16" s="1245" t="str">
        <f>C4</f>
        <v>较好</v>
      </c>
      <c r="D16" s="2008"/>
      <c r="E16" s="2585"/>
      <c r="F16" s="1246" t="s">
        <v>1669</v>
      </c>
      <c r="G16" s="1004">
        <f>G4</f>
        <v>0</v>
      </c>
    </row>
    <row r="17" spans="1:7" ht="14.25">
      <c r="A17" s="2588"/>
      <c r="B17" s="1244" t="s">
        <v>1670</v>
      </c>
      <c r="C17" s="1245" t="str">
        <f>C5</f>
        <v>较差</v>
      </c>
      <c r="D17" s="2009"/>
      <c r="E17" s="2585"/>
      <c r="F17" s="1246" t="s">
        <v>1675</v>
      </c>
      <c r="G17" s="2793"/>
    </row>
    <row r="18" spans="1:7">
      <c r="A18" s="2588"/>
      <c r="B18" s="1246" t="s">
        <v>1656</v>
      </c>
      <c r="C18" s="1004" t="str">
        <f>C6</f>
        <v>一般</v>
      </c>
      <c r="D18" s="2009"/>
      <c r="E18" s="2585"/>
      <c r="F18" s="1246" t="s">
        <v>1671</v>
      </c>
      <c r="G18" s="1004">
        <f>G7</f>
        <v>0</v>
      </c>
    </row>
    <row r="19" spans="1:7">
      <c r="A19" s="2588"/>
      <c r="B19" s="1246" t="s">
        <v>1660</v>
      </c>
      <c r="C19" s="3184" t="s">
        <v>3273</v>
      </c>
      <c r="D19" s="2008"/>
      <c r="E19" s="2585"/>
      <c r="F19" s="1230" t="s">
        <v>2547</v>
      </c>
      <c r="G19" s="1004">
        <f>G5</f>
        <v>0</v>
      </c>
    </row>
    <row r="20" spans="1:7">
      <c r="A20" s="2588"/>
      <c r="B20" s="1246" t="s">
        <v>1661</v>
      </c>
      <c r="C20" s="1245" t="str">
        <f>C9</f>
        <v>较好</v>
      </c>
      <c r="D20" s="2009"/>
      <c r="E20" s="2585"/>
      <c r="F20" s="1230" t="s">
        <v>2548</v>
      </c>
      <c r="G20" s="1004">
        <f>G6</f>
        <v>0</v>
      </c>
    </row>
    <row r="21" spans="1:7" ht="14.25">
      <c r="A21" s="2588"/>
      <c r="B21" s="1230" t="s">
        <v>2547</v>
      </c>
      <c r="C21" s="1004" t="str">
        <f>C7</f>
        <v>较好</v>
      </c>
      <c r="D21" s="2008"/>
      <c r="E21" s="2585"/>
      <c r="F21" s="1246" t="s">
        <v>1662</v>
      </c>
      <c r="G21" s="3084"/>
    </row>
    <row r="22" spans="1:7" ht="14.25">
      <c r="A22" s="2588"/>
      <c r="B22" s="1230" t="s">
        <v>2548</v>
      </c>
      <c r="C22" s="1004" t="str">
        <f>C8</f>
        <v>七通</v>
      </c>
      <c r="D22" s="2008"/>
      <c r="E22" s="2585"/>
      <c r="F22" s="1246" t="s">
        <v>1672</v>
      </c>
      <c r="G22" s="2793"/>
    </row>
    <row r="23" spans="1:7" ht="15" thickBot="1">
      <c r="A23" s="2588"/>
      <c r="B23" s="1246" t="s">
        <v>1662</v>
      </c>
      <c r="C23" s="3084"/>
      <c r="E23" s="2586"/>
      <c r="F23" s="1247" t="s">
        <v>1676</v>
      </c>
      <c r="G23" s="3085"/>
    </row>
    <row r="24" spans="1:7" ht="14.25" thickBot="1">
      <c r="A24" s="2589"/>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44" t="s">
        <v>2845</v>
      </c>
      <c r="B1" s="3044">
        <f>SUM(B14:B23)</f>
        <v>96730.640000000014</v>
      </c>
      <c r="C1" s="3045"/>
      <c r="D1" s="3045"/>
      <c r="E1" s="3045"/>
      <c r="F1" s="3045"/>
    </row>
    <row r="2" spans="1:9" ht="16.5">
      <c r="A2" s="3044" t="s">
        <v>2846</v>
      </c>
      <c r="B2" s="3044">
        <f>SUM(C14:C23)</f>
        <v>23013</v>
      </c>
      <c r="C2" s="3045"/>
      <c r="D2" s="3045"/>
      <c r="E2" s="3045"/>
      <c r="F2" s="3045"/>
    </row>
    <row r="3" spans="1:9" ht="16.5">
      <c r="A3" s="3044" t="s">
        <v>2847</v>
      </c>
      <c r="B3" s="3046">
        <f>项目基本情况!D3</f>
        <v>43336</v>
      </c>
      <c r="C3" s="3045"/>
      <c r="D3" s="3045"/>
      <c r="E3" s="3045"/>
      <c r="F3" s="3045"/>
    </row>
    <row r="4" spans="1:9" ht="33">
      <c r="A4" s="3044" t="s">
        <v>2848</v>
      </c>
      <c r="B4" s="3044" t="s">
        <v>2849</v>
      </c>
      <c r="C4" s="3044" t="s">
        <v>2850</v>
      </c>
      <c r="D4" s="3044" t="s">
        <v>2851</v>
      </c>
      <c r="E4" s="3045"/>
      <c r="F4" s="3045"/>
    </row>
    <row r="5" spans="1:9" ht="16.5">
      <c r="A5" s="3044" t="s">
        <v>2852</v>
      </c>
      <c r="B5" s="3044">
        <f ca="1">SUM(D14:D23)</f>
        <v>52805</v>
      </c>
      <c r="C5" s="3044">
        <f ca="1">ROUND(B5*10000/$B$1,0)</f>
        <v>5459</v>
      </c>
      <c r="D5" s="3044">
        <f ca="1">ROUND(B5*10000/$B$2,0)</f>
        <v>22946</v>
      </c>
      <c r="E5" s="3045"/>
      <c r="F5" s="3045"/>
    </row>
    <row r="6" spans="1:9" ht="16.5">
      <c r="A6" s="3044" t="s">
        <v>2853</v>
      </c>
      <c r="B6" s="3044">
        <f ca="1">SUM(G14:G23)</f>
        <v>52805</v>
      </c>
      <c r="C6" s="3044">
        <f t="shared" ref="C6:C8" ca="1" si="0">ROUND(B6*10000/$B$1,0)</f>
        <v>5459</v>
      </c>
      <c r="D6" s="3044">
        <f t="shared" ref="D6:D8" ca="1" si="1">ROUND(B6*10000/$B$2,0)</f>
        <v>22946</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96730.640000000014</v>
      </c>
      <c r="C14" s="3048">
        <f>结果表!K38</f>
        <v>23013</v>
      </c>
      <c r="D14" s="3048">
        <f ca="1">结果表!C42</f>
        <v>52805</v>
      </c>
      <c r="E14" s="3048">
        <f ca="1">ROUND(D14*10000/B14,0)</f>
        <v>5459</v>
      </c>
      <c r="F14" s="3048">
        <f ca="1">ROUND(D14*10000/C14,0)</f>
        <v>22946</v>
      </c>
      <c r="G14" s="3048">
        <f ca="1">结果表!C44</f>
        <v>52805</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Normal="100" zoomScaleSheetLayoutView="100" zoomScalePageLayoutView="80" workbookViewId="0">
      <selection activeCell="C29" sqref="C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c r="E1" s="1804" t="s">
        <v>2059</v>
      </c>
      <c r="F1" s="1806"/>
      <c r="G1" s="310"/>
      <c r="H1" s="310"/>
      <c r="I1" s="310"/>
      <c r="J1" s="2028"/>
      <c r="K1" s="2028"/>
      <c r="L1" s="2028"/>
      <c r="M1" s="2028"/>
      <c r="N1" s="2028"/>
      <c r="O1" s="2028"/>
      <c r="P1" s="2028"/>
      <c r="Q1" s="2028"/>
      <c r="R1" s="2028"/>
      <c r="S1" s="2028"/>
      <c r="T1" s="2028"/>
      <c r="U1" s="2028"/>
      <c r="V1" s="2028"/>
    </row>
    <row r="2" spans="1:22" ht="21.75" customHeight="1" thickBot="1">
      <c r="A2" s="3317" t="str">
        <f>项目基本情况!K2</f>
        <v>山东省济南市历城区开源中路以北、幸福柳路以东出让国有建设用地使用权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7" t="s">
        <v>299</v>
      </c>
      <c r="B4" s="258" t="s">
        <v>300</v>
      </c>
      <c r="C4" s="259" t="s">
        <v>3340</v>
      </c>
      <c r="D4" s="259" t="s">
        <v>3339</v>
      </c>
      <c r="E4" s="3282" t="s">
        <v>301</v>
      </c>
      <c r="F4" s="3283"/>
      <c r="G4" s="3283"/>
      <c r="H4" s="3283"/>
      <c r="I4" s="331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0" t="s">
        <v>303</v>
      </c>
      <c r="F5" s="261"/>
      <c r="G5" s="261"/>
      <c r="H5" s="261"/>
      <c r="I5" s="262"/>
      <c r="J5" s="2029"/>
      <c r="K5" s="2028"/>
      <c r="L5" s="2028"/>
      <c r="M5" s="2028"/>
      <c r="N5" s="2028"/>
      <c r="O5" s="2028"/>
      <c r="P5" s="2028"/>
      <c r="Q5" s="2028"/>
      <c r="R5" s="2028"/>
      <c r="S5" s="2028"/>
      <c r="T5" s="2028"/>
      <c r="U5" s="2028"/>
      <c r="V5" s="2028"/>
    </row>
    <row r="6" spans="1:22" ht="14.25">
      <c r="A6" s="3281"/>
      <c r="B6" s="3307"/>
      <c r="C6" s="3308"/>
      <c r="D6" s="3309"/>
      <c r="E6" s="260" t="s">
        <v>304</v>
      </c>
      <c r="F6" s="261"/>
      <c r="G6" s="261"/>
      <c r="H6" s="261"/>
      <c r="I6" s="262"/>
      <c r="J6" s="2029"/>
      <c r="K6" s="2028"/>
      <c r="L6" s="2028"/>
      <c r="M6" s="2028"/>
      <c r="N6" s="2028"/>
      <c r="O6" s="2028"/>
      <c r="P6" s="2028"/>
      <c r="Q6" s="2028"/>
      <c r="R6" s="2028"/>
      <c r="S6" s="2028"/>
      <c r="T6" s="2028"/>
      <c r="U6" s="2028"/>
      <c r="V6" s="2028"/>
    </row>
    <row r="7" spans="1:22" ht="14.25">
      <c r="A7" s="3281"/>
      <c r="B7" s="3307"/>
      <c r="C7" s="3306"/>
      <c r="D7" s="3309"/>
      <c r="E7" s="260" t="s">
        <v>305</v>
      </c>
      <c r="F7" s="261"/>
      <c r="G7" s="261"/>
      <c r="H7" s="261"/>
      <c r="I7" s="262"/>
      <c r="J7" s="2029"/>
      <c r="K7" s="2028"/>
      <c r="L7" s="2028"/>
      <c r="M7" s="2028"/>
      <c r="N7" s="2028"/>
      <c r="O7" s="2028"/>
      <c r="P7" s="2028"/>
      <c r="Q7" s="2028"/>
      <c r="R7" s="2028"/>
      <c r="S7" s="2028"/>
      <c r="T7" s="2028"/>
      <c r="U7" s="2028"/>
      <c r="V7" s="2028"/>
    </row>
    <row r="8" spans="1:22" ht="14.25">
      <c r="A8" s="3281" t="s">
        <v>306</v>
      </c>
      <c r="B8" s="3307">
        <v>15</v>
      </c>
      <c r="C8" s="3305"/>
      <c r="D8" s="3309"/>
      <c r="E8" s="260" t="s">
        <v>307</v>
      </c>
      <c r="F8" s="261"/>
      <c r="G8" s="261"/>
      <c r="H8" s="261"/>
      <c r="I8" s="262"/>
      <c r="J8" s="2029"/>
      <c r="K8" s="2028"/>
      <c r="L8" s="2028"/>
      <c r="M8" s="2028"/>
      <c r="N8" s="2028"/>
      <c r="O8" s="2028"/>
      <c r="P8" s="2028"/>
      <c r="Q8" s="2028"/>
      <c r="R8" s="2028"/>
      <c r="S8" s="2028"/>
      <c r="T8" s="2028"/>
      <c r="U8" s="2028"/>
      <c r="V8" s="2028"/>
    </row>
    <row r="9" spans="1:22" ht="14.25">
      <c r="A9" s="3281"/>
      <c r="B9" s="3307"/>
      <c r="C9" s="3306"/>
      <c r="D9" s="3309"/>
      <c r="E9" s="260" t="s">
        <v>308</v>
      </c>
      <c r="F9" s="261"/>
      <c r="G9" s="261"/>
      <c r="H9" s="261"/>
      <c r="I9" s="262"/>
      <c r="J9" s="2029"/>
      <c r="K9" s="2028"/>
      <c r="L9" s="2028"/>
      <c r="M9" s="2028"/>
      <c r="N9" s="2028"/>
      <c r="O9" s="2028"/>
      <c r="P9" s="2028"/>
      <c r="Q9" s="2028"/>
      <c r="R9" s="2028"/>
      <c r="S9" s="2028"/>
      <c r="T9" s="2028"/>
      <c r="U9" s="2028"/>
      <c r="V9" s="2028"/>
    </row>
    <row r="10" spans="1:22" ht="14.25">
      <c r="A10" s="3281" t="s">
        <v>309</v>
      </c>
      <c r="B10" s="3307">
        <v>15</v>
      </c>
      <c r="C10" s="3305"/>
      <c r="D10" s="3309"/>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1"/>
      <c r="B11" s="3307"/>
      <c r="C11" s="3306"/>
      <c r="D11" s="3309"/>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1" t="s">
        <v>312</v>
      </c>
      <c r="B12" s="3307">
        <v>15</v>
      </c>
      <c r="C12" s="3305"/>
      <c r="D12" s="3309"/>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1"/>
      <c r="B13" s="3307"/>
      <c r="C13" s="3306"/>
      <c r="D13" s="3309"/>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1"/>
      <c r="B15" s="3307"/>
      <c r="C15" s="3308"/>
      <c r="D15" s="3309"/>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1"/>
      <c r="B16" s="3307"/>
      <c r="C16" s="3306"/>
      <c r="D16" s="330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48222</v>
      </c>
      <c r="D19" s="270">
        <f ca="1">SUMIF(INDIRECT("'"&amp;D4&amp;"'"&amp;"!A:A"),结果表!B19,INDIRECT("'"&amp;D4&amp;"'"&amp;"!B:B"))</f>
        <v>57388</v>
      </c>
      <c r="E19" s="267" t="s">
        <v>323</v>
      </c>
      <c r="F19" s="268" t="s">
        <v>322</v>
      </c>
      <c r="G19" s="271">
        <f ca="1">ROUND(C19*$C$18+D19*$D$18,0)</f>
        <v>52805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4985</v>
      </c>
      <c r="D20" s="276">
        <f ca="1">SUMIF(INDIRECT("'"&amp;D4&amp;"'"&amp;"!A:A"),结果表!B20,INDIRECT("'"&amp;D4&amp;"'"&amp;"!B:B"))</f>
        <v>5933</v>
      </c>
      <c r="E20" s="273"/>
      <c r="F20" s="274" t="s">
        <v>325</v>
      </c>
      <c r="G20" s="277">
        <f ca="1">ROUND(C20*$C$18+D20*$D$18,0)</f>
        <v>5459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20954</v>
      </c>
      <c r="D21" s="151">
        <f ca="1">SUMIF(INDIRECT("'"&amp;D4&amp;"'"&amp;"!A:A"),结果表!B21,INDIRECT("'"&amp;D4&amp;"'"&amp;"!B:B"))</f>
        <v>24937</v>
      </c>
      <c r="E21" s="273"/>
      <c r="F21" s="279" t="s">
        <v>327</v>
      </c>
      <c r="G21" s="281">
        <f ca="1">ROUND(C21*$C$18+D21*$D$18,0)</f>
        <v>22946</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0.19007921695491681</v>
      </c>
      <c r="E22" s="283"/>
      <c r="F22" s="284"/>
      <c r="G22" s="285">
        <f ca="1">ROUND(G19/('数据-汇总表'!D3/666.67),0)</f>
        <v>1530</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8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88"/>
      <c r="B25" s="1320" t="s">
        <v>331</v>
      </c>
      <c r="C25" s="289">
        <f>IF(B30=0,0,C30)</f>
        <v>0</v>
      </c>
      <c r="D25" s="290"/>
      <c r="E25" s="310"/>
      <c r="F25" s="310"/>
      <c r="G25" s="310"/>
      <c r="H25" s="310"/>
      <c r="I25" s="310"/>
      <c r="J25" s="2028"/>
      <c r="K25" s="1254" t="str">
        <f ca="1">项目基本情况!B16&amp;"国有建设用地使用权价格："&amp;O38&amp;"万元"</f>
        <v>出让国有建设用地使用权价格：52805万元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大写金额：人民币伍亿贰仟捌佰零伍万元整</v>
      </c>
      <c r="L26" s="1251"/>
      <c r="M26" s="1251"/>
      <c r="N26" s="1251"/>
      <c r="O26" s="1250"/>
      <c r="P26" s="2028"/>
      <c r="Q26" s="2028"/>
      <c r="R26" s="2028"/>
      <c r="S26" s="2028"/>
      <c r="T26" s="2028"/>
      <c r="U26" s="2028"/>
      <c r="V26" s="2028"/>
      <c r="W26" s="291"/>
      <c r="X26" s="291"/>
      <c r="Y26" s="291"/>
      <c r="Z26" s="291"/>
    </row>
    <row r="27" spans="1:26" ht="18">
      <c r="A27" s="292"/>
      <c r="B27" s="293"/>
      <c r="C27" s="293"/>
      <c r="D27" s="3188" t="s">
        <v>3332</v>
      </c>
      <c r="E27" s="310"/>
      <c r="F27" s="310"/>
      <c r="G27" s="310"/>
      <c r="H27" s="310"/>
      <c r="I27" s="310"/>
      <c r="J27" s="2028"/>
      <c r="K27" s="1257" t="str">
        <f ca="1">"单位面积地价："&amp;M38&amp;"元/平方米"</f>
        <v>单位面积地价：22946元/平方米</v>
      </c>
      <c r="L27" s="1251"/>
      <c r="M27" s="1251"/>
      <c r="N27" s="1251"/>
      <c r="O27" s="1250"/>
      <c r="P27" s="2028"/>
      <c r="Q27" s="2028"/>
      <c r="R27" s="2028"/>
      <c r="S27" s="2028"/>
      <c r="T27" s="2028"/>
      <c r="U27" s="2028"/>
      <c r="V27" s="2028"/>
    </row>
    <row r="28" spans="1:26" ht="18.75" customHeight="1">
      <c r="A28" s="292"/>
      <c r="B28" s="293"/>
      <c r="C28" s="293"/>
      <c r="D28" s="3189">
        <v>44203.8992</v>
      </c>
      <c r="E28" s="310"/>
      <c r="F28" s="310"/>
      <c r="G28" s="310"/>
      <c r="H28" s="310"/>
      <c r="I28" s="310"/>
      <c r="J28" s="2028"/>
      <c r="K28" s="1257" t="str">
        <f ca="1">"楼面地价："&amp;N38&amp;"元/平方米"</f>
        <v>楼面地价：5459元/平方米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抵押价格：52805万元</v>
      </c>
      <c r="L29" s="1251"/>
      <c r="M29" s="1251"/>
      <c r="N29" s="1251"/>
      <c r="O29" s="1250"/>
      <c r="P29" s="2028"/>
      <c r="V29" s="2028"/>
    </row>
    <row r="30" spans="1:26" ht="18.75" thickBot="1">
      <c r="A30" s="3127" t="s">
        <v>336</v>
      </c>
      <c r="B30" s="308"/>
      <c r="C30" s="308"/>
      <c r="D30" s="309"/>
      <c r="E30" s="3128" t="s">
        <v>2961</v>
      </c>
      <c r="F30" s="310"/>
      <c r="G30" s="310"/>
      <c r="H30" s="310"/>
      <c r="I30" s="310"/>
      <c r="J30" s="2028"/>
      <c r="K30" s="1257" t="str">
        <f ca="1">IF(K29="——","——","大写金额：人民币"&amp;NUMBERSTRING(INT(O39*10000),2)&amp;"元整")</f>
        <v>大写金额：人民币伍亿贰仟捌佰零伍万元整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1689</v>
      </c>
      <c r="C32" s="1381">
        <f ca="1">G19-C24</f>
        <v>52805</v>
      </c>
      <c r="D32" s="1382" t="s">
        <v>1690</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1691</v>
      </c>
      <c r="C33" s="263">
        <f ca="1">ROUND(C32*10000/'数据-汇总表'!E3,0)</f>
        <v>5459</v>
      </c>
      <c r="D33" s="1384" t="s">
        <v>1692</v>
      </c>
      <c r="E33" s="328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1693</v>
      </c>
      <c r="C34" s="263">
        <f ca="1">ROUND(C32*10000/'数据-汇总表'!D3,0)</f>
        <v>22946</v>
      </c>
      <c r="D34" s="1386" t="s">
        <v>1692</v>
      </c>
      <c r="E34" s="3328"/>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1530</v>
      </c>
      <c r="D35" s="1389" t="s">
        <v>1694</v>
      </c>
      <c r="E35" s="3329"/>
      <c r="F35" s="300" t="s">
        <v>342</v>
      </c>
      <c r="G35" s="981"/>
      <c r="H35" s="980" t="s">
        <v>343</v>
      </c>
      <c r="I35" s="310"/>
      <c r="J35" s="2028"/>
      <c r="K35" s="3302" t="s">
        <v>350</v>
      </c>
      <c r="L35" s="3302" t="s">
        <v>351</v>
      </c>
      <c r="M35" s="1263" t="s">
        <v>352</v>
      </c>
      <c r="N35" s="3302" t="s">
        <v>353</v>
      </c>
      <c r="O35" s="3302" t="s">
        <v>354</v>
      </c>
      <c r="P35" s="2028"/>
      <c r="V35" s="2028"/>
    </row>
    <row r="36" spans="1:26" ht="16.5" customHeight="1">
      <c r="A36" s="302" t="s">
        <v>344</v>
      </c>
      <c r="B36" s="303" t="s">
        <v>333</v>
      </c>
      <c r="C36" s="304" t="s">
        <v>345</v>
      </c>
      <c r="D36" s="304" t="s">
        <v>346</v>
      </c>
      <c r="E36" s="305" t="s">
        <v>347</v>
      </c>
      <c r="F36" s="310"/>
      <c r="G36" s="310"/>
      <c r="H36" s="310"/>
      <c r="I36" s="310"/>
      <c r="J36" s="2030"/>
      <c r="K36" s="3303"/>
      <c r="L36" s="3303"/>
      <c r="M36" s="1265" t="s">
        <v>355</v>
      </c>
      <c r="N36" s="3303"/>
      <c r="O36" s="3303"/>
      <c r="P36" s="2028"/>
      <c r="V36" s="2028"/>
    </row>
    <row r="37" spans="1:26" ht="16.5" customHeight="1" thickBot="1">
      <c r="A37" s="1259" t="s">
        <v>348</v>
      </c>
      <c r="B37" s="306"/>
      <c r="C37" s="293"/>
      <c r="D37" s="293"/>
      <c r="E37" s="294"/>
      <c r="F37" s="310"/>
      <c r="G37" s="310"/>
      <c r="H37" s="310"/>
      <c r="I37" s="310"/>
      <c r="J37" s="2030"/>
      <c r="K37" s="3304"/>
      <c r="L37" s="3304"/>
      <c r="M37" s="1266"/>
      <c r="N37" s="3304"/>
      <c r="O37" s="3304"/>
      <c r="P37" s="2028"/>
      <c r="V37" s="2028"/>
    </row>
    <row r="38" spans="1:26" ht="16.5" customHeight="1" thickBot="1">
      <c r="A38" s="1259" t="s">
        <v>349</v>
      </c>
      <c r="B38" s="306"/>
      <c r="C38" s="293"/>
      <c r="D38" s="293"/>
      <c r="E38" s="294"/>
      <c r="F38" s="310"/>
      <c r="G38" s="310"/>
      <c r="H38" s="310"/>
      <c r="I38" s="310"/>
      <c r="J38" s="2030"/>
      <c r="K38" s="1267">
        <f>'数据-汇总表'!D3</f>
        <v>23013</v>
      </c>
      <c r="L38" s="1268">
        <f>'数据-汇总表'!E3</f>
        <v>96730.640000000014</v>
      </c>
      <c r="M38" s="1268">
        <f ca="1">C34</f>
        <v>22946</v>
      </c>
      <c r="N38" s="1268">
        <f ca="1">C33</f>
        <v>5459</v>
      </c>
      <c r="O38" s="1269">
        <f ca="1">C32</f>
        <v>52805</v>
      </c>
      <c r="P38" s="2028"/>
      <c r="V38" s="2028"/>
    </row>
    <row r="39" spans="1:26" ht="16.5" customHeight="1" thickBot="1">
      <c r="A39" s="1264"/>
      <c r="B39" s="307"/>
      <c r="C39" s="308"/>
      <c r="D39" s="308"/>
      <c r="E39" s="309"/>
      <c r="F39" s="310"/>
      <c r="G39" s="310"/>
      <c r="H39" s="310"/>
      <c r="I39" s="310"/>
      <c r="J39" s="2030"/>
      <c r="K39" s="3347" t="str">
        <f>MID(A44,3,LEN(A44)-2)</f>
        <v>抵押价格</v>
      </c>
      <c r="L39" s="3348"/>
      <c r="M39" s="3348"/>
      <c r="N39" s="3349"/>
      <c r="O39" s="1391">
        <f ca="1">C44</f>
        <v>52805</v>
      </c>
      <c r="P39" s="2028"/>
      <c r="V39" s="2028"/>
    </row>
    <row r="40" spans="1:26" ht="19.5" thickBot="1">
      <c r="A40" s="104" t="s">
        <v>873</v>
      </c>
      <c r="B40" s="310"/>
      <c r="C40" s="310"/>
      <c r="D40" s="310"/>
      <c r="E40" s="310"/>
      <c r="F40" s="310"/>
      <c r="G40" s="310"/>
      <c r="H40" s="310"/>
      <c r="I40" s="310"/>
      <c r="J40" s="2030"/>
      <c r="K40" s="3347" t="str">
        <f t="shared" ref="K40:K41" si="0">MID(A45,3,LEN(A45)-2)</f>
        <v/>
      </c>
      <c r="L40" s="3348"/>
      <c r="M40" s="3348"/>
      <c r="N40" s="3349"/>
      <c r="O40" s="1391" t="str">
        <f>C45</f>
        <v>——</v>
      </c>
      <c r="P40" s="2028"/>
      <c r="V40" s="2028"/>
    </row>
    <row r="41" spans="1:26" ht="16.5" thickBot="1">
      <c r="A41" s="311" t="s">
        <v>356</v>
      </c>
      <c r="B41" s="312"/>
      <c r="C41" s="313" t="s">
        <v>357</v>
      </c>
      <c r="D41" s="314" t="s">
        <v>358</v>
      </c>
      <c r="E41" s="314" t="s">
        <v>359</v>
      </c>
      <c r="F41" s="315" t="s">
        <v>360</v>
      </c>
      <c r="G41" s="310"/>
      <c r="H41" s="310"/>
      <c r="I41" s="310"/>
      <c r="J41" s="2030"/>
      <c r="K41" s="3347" t="str">
        <f t="shared" si="0"/>
        <v/>
      </c>
      <c r="L41" s="3348"/>
      <c r="M41" s="3348"/>
      <c r="N41" s="3349"/>
      <c r="O41" s="1391" t="str">
        <f>C46</f>
        <v>——</v>
      </c>
      <c r="P41" s="2028"/>
      <c r="V41" s="2028"/>
    </row>
    <row r="42" spans="1:26" ht="29.25">
      <c r="A42" s="3289" t="s">
        <v>2069</v>
      </c>
      <c r="B42" s="3290"/>
      <c r="C42" s="263">
        <f ca="1">C32</f>
        <v>52805</v>
      </c>
      <c r="D42" s="316">
        <f ca="1">C33</f>
        <v>5459</v>
      </c>
      <c r="E42" s="316">
        <f ca="1">C34</f>
        <v>22946</v>
      </c>
      <c r="F42" s="317">
        <f ca="1">C35</f>
        <v>1530</v>
      </c>
      <c r="G42" s="310"/>
      <c r="H42" s="310"/>
      <c r="I42" s="318"/>
      <c r="J42" s="2030"/>
      <c r="K42" s="1270" t="s">
        <v>361</v>
      </c>
      <c r="L42" s="2047" t="s">
        <v>362</v>
      </c>
      <c r="M42" s="1271" t="s">
        <v>363</v>
      </c>
      <c r="N42" s="2048" t="s">
        <v>364</v>
      </c>
      <c r="O42" s="2049" t="s">
        <v>365</v>
      </c>
      <c r="P42" s="2028"/>
      <c r="V42" s="2028"/>
    </row>
    <row r="43" spans="1:26" ht="30">
      <c r="A43" s="3300" t="s">
        <v>2731</v>
      </c>
      <c r="B43" s="3301"/>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48222</v>
      </c>
      <c r="M43" s="1274">
        <f>C18</f>
        <v>0.5</v>
      </c>
      <c r="N43" s="1275">
        <f ca="1">IF(N42="测算结果/万元",G19,G20)</f>
        <v>52805</v>
      </c>
      <c r="O43" s="1276">
        <f ca="1">IF(O42="最终结果/万元",C32,C33)</f>
        <v>52805</v>
      </c>
      <c r="P43" s="2028"/>
      <c r="V43" s="2028"/>
    </row>
    <row r="44" spans="1:26" ht="30.75" thickBot="1">
      <c r="A44" s="3289" t="str">
        <f>IF(OR(项目基本情况!E8="抵押价格",项目基本情况!E8="已注销及未注销"),"3.抵押价格","——")</f>
        <v>3.抵押价格</v>
      </c>
      <c r="B44" s="3290"/>
      <c r="C44" s="263">
        <f ca="1">IF(A44="——","——",C42-C43)</f>
        <v>52805</v>
      </c>
      <c r="D44" s="316">
        <f ca="1">ROUND(C44*10000/'数据-汇总表'!E3,0)</f>
        <v>5459</v>
      </c>
      <c r="E44" s="316">
        <f ca="1">ROUND(C44*10000/'数据-汇总表'!D3,0)</f>
        <v>22946</v>
      </c>
      <c r="F44" s="317">
        <f ca="1">ROUND(C44/('数据-汇总表'!D3/666.67),0)</f>
        <v>1530</v>
      </c>
      <c r="G44" s="310"/>
      <c r="H44" s="310"/>
      <c r="I44" s="318"/>
      <c r="J44" s="2030"/>
      <c r="K44" s="1277" t="str">
        <f>D4</f>
        <v>剩余法-待开发</v>
      </c>
      <c r="L44" s="1278">
        <f ca="1">IF(L42="估价结果/万元",D19,D20)</f>
        <v>57388</v>
      </c>
      <c r="M44" s="1279">
        <f>D18</f>
        <v>0.5</v>
      </c>
      <c r="N44" s="1280"/>
      <c r="O44" s="1281"/>
      <c r="P44" s="2028"/>
      <c r="V44" s="2028"/>
    </row>
    <row r="45" spans="1:26" ht="15">
      <c r="A45" s="3295" t="str">
        <f>IF(项目基本情况!E8="已注销及未注销","4.抵押担保权已注销时的抵押价格",IF(项目基本情况!E8="已注销","3.抵押担保权已注销时的抵押价格","——"))</f>
        <v>——</v>
      </c>
      <c r="B45" s="329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1" t="str">
        <f>IF(项目基本情况!E9="抵押净值",IF(A45="——","4.抵押净值","5.抵押净值"),"——")</f>
        <v>——</v>
      </c>
      <c r="B46" s="329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0">
        <f ca="1">ROUND(C42*F63,0)</f>
        <v>31683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297" t="s">
        <v>378</v>
      </c>
      <c r="B64" s="3298"/>
      <c r="C64" s="3298"/>
      <c r="D64" s="3298"/>
      <c r="E64" s="3298"/>
      <c r="F64" s="3298"/>
      <c r="G64" s="3299"/>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293" t="s">
        <v>386</v>
      </c>
      <c r="B66" s="3294"/>
      <c r="C66" s="3294"/>
      <c r="D66" s="260">
        <f ca="1">IF(H66="情况1",0,IF(H66="情况2",D70,IF(H66="情况3",D71,IF(H66="情况4",D72))))</f>
        <v>1690</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351" t="s">
        <v>385</v>
      </c>
      <c r="M66" s="3352"/>
      <c r="N66" s="2458"/>
      <c r="O66" s="2459"/>
      <c r="P66" s="2460"/>
      <c r="Q66" s="2028"/>
      <c r="R66" s="2028"/>
      <c r="S66" s="2028"/>
      <c r="T66" s="2028"/>
      <c r="U66" s="2028"/>
      <c r="V66" s="2028"/>
    </row>
    <row r="67" spans="1:22" ht="25.5" customHeight="1">
      <c r="A67" s="351" t="s">
        <v>390</v>
      </c>
      <c r="B67" s="3284" t="s">
        <v>391</v>
      </c>
      <c r="C67" s="3284"/>
      <c r="D67" s="352">
        <v>0</v>
      </c>
      <c r="E67" s="41" t="s">
        <v>392</v>
      </c>
      <c r="F67" s="62" t="s">
        <v>21</v>
      </c>
      <c r="G67" s="3339"/>
      <c r="H67" s="310"/>
      <c r="I67" s="1291"/>
      <c r="J67" s="2035"/>
      <c r="K67" s="1976">
        <v>2</v>
      </c>
      <c r="L67" s="3350" t="s">
        <v>389</v>
      </c>
      <c r="M67" s="3350"/>
      <c r="N67" s="1324">
        <f>'数据-取费表'!B2</f>
        <v>43336</v>
      </c>
      <c r="O67" s="1324"/>
      <c r="P67" s="1324"/>
      <c r="Q67" s="2028"/>
      <c r="R67" s="2028"/>
      <c r="S67" s="2028"/>
      <c r="T67" s="2028"/>
      <c r="U67" s="2028"/>
      <c r="V67" s="2028"/>
    </row>
    <row r="68" spans="1:22" ht="25.5" customHeight="1">
      <c r="A68" s="353"/>
      <c r="B68" s="3284" t="s">
        <v>394</v>
      </c>
      <c r="C68" s="3284"/>
      <c r="D68" s="354"/>
      <c r="E68" s="77"/>
      <c r="F68" s="355"/>
      <c r="G68" s="3340"/>
      <c r="H68" s="310"/>
      <c r="I68" s="1291"/>
      <c r="J68" s="2035"/>
      <c r="K68" s="1976">
        <v>3</v>
      </c>
      <c r="L68" s="3350" t="s">
        <v>393</v>
      </c>
      <c r="M68" s="3350"/>
      <c r="N68" s="1292">
        <f ca="1">C42</f>
        <v>52805</v>
      </c>
      <c r="O68" s="1292"/>
      <c r="P68" s="1292"/>
      <c r="Q68" s="2028"/>
      <c r="R68" s="2028"/>
      <c r="S68" s="2028"/>
      <c r="T68" s="2028"/>
      <c r="U68" s="2028"/>
      <c r="V68" s="2028"/>
    </row>
    <row r="69" spans="1:22" ht="12" customHeight="1">
      <c r="A69" s="356"/>
      <c r="B69" s="3284" t="s">
        <v>395</v>
      </c>
      <c r="C69" s="3284"/>
      <c r="D69" s="357"/>
      <c r="E69" s="73"/>
      <c r="F69" s="355"/>
      <c r="G69" s="3341"/>
      <c r="H69" s="310"/>
      <c r="I69" s="1291"/>
      <c r="J69" s="2035"/>
      <c r="K69" s="1293">
        <v>4</v>
      </c>
      <c r="L69" s="3355" t="s">
        <v>2884</v>
      </c>
      <c r="M69" s="3356"/>
      <c r="N69" s="1294">
        <f ca="1">C44</f>
        <v>52805</v>
      </c>
      <c r="O69" s="1294"/>
      <c r="P69" s="1294"/>
      <c r="Q69" s="2028"/>
      <c r="R69" s="2028"/>
      <c r="S69" s="2028"/>
      <c r="T69" s="2028"/>
      <c r="U69" s="2028"/>
      <c r="V69" s="2028"/>
    </row>
    <row r="70" spans="1:22" ht="24" customHeight="1">
      <c r="A70" s="358" t="s">
        <v>396</v>
      </c>
      <c r="B70" s="3284" t="s">
        <v>397</v>
      </c>
      <c r="C70" s="3284"/>
      <c r="D70" s="357">
        <f ca="1">ROUND(D63*'数据-取费表'!B41/(1+'数据-取费表'!C42),0)</f>
        <v>1690</v>
      </c>
      <c r="E70" s="17" t="s">
        <v>398</v>
      </c>
      <c r="F70" s="359">
        <f>'数据-取费表'!B41</f>
        <v>5.6000000000000001E-2</v>
      </c>
      <c r="G70" s="360"/>
      <c r="H70" s="310"/>
      <c r="I70" s="1291"/>
      <c r="J70" s="2035"/>
      <c r="K70" s="3061"/>
      <c r="L70" s="3062"/>
      <c r="M70" s="3062"/>
      <c r="N70" s="3063" t="s">
        <v>2889</v>
      </c>
      <c r="O70" s="3062"/>
      <c r="P70" s="3064"/>
      <c r="Q70" s="2028"/>
      <c r="R70" s="2028"/>
      <c r="S70" s="2028"/>
      <c r="T70" s="2028"/>
      <c r="U70" s="2028"/>
      <c r="V70" s="2028"/>
    </row>
    <row r="71" spans="1:22" ht="12" customHeight="1">
      <c r="A71" s="358" t="s">
        <v>404</v>
      </c>
      <c r="B71" s="3285" t="s">
        <v>405</v>
      </c>
      <c r="C71" s="3286"/>
      <c r="D71" s="357">
        <f ca="1">ROUND(D63*'数据-取费表'!B41/(1+'数据-取费表'!C42),0)</f>
        <v>1690</v>
      </c>
      <c r="E71" s="17" t="s">
        <v>398</v>
      </c>
      <c r="F71" s="359">
        <f>'数据-取费表'!B41</f>
        <v>5.6000000000000001E-2</v>
      </c>
      <c r="G71" s="360"/>
      <c r="H71" s="310"/>
      <c r="I71" s="1291"/>
      <c r="J71" s="2035"/>
      <c r="K71" s="3060" t="s">
        <v>399</v>
      </c>
      <c r="L71" s="3357" t="s">
        <v>400</v>
      </c>
      <c r="M71" s="3357"/>
      <c r="N71" s="3060" t="s">
        <v>401</v>
      </c>
      <c r="O71" s="3060" t="s">
        <v>402</v>
      </c>
      <c r="P71" s="3060" t="s">
        <v>403</v>
      </c>
      <c r="Q71" s="2028"/>
      <c r="R71" s="2028"/>
      <c r="S71" s="2028"/>
      <c r="T71" s="2028"/>
      <c r="U71" s="2028"/>
      <c r="V71" s="2028"/>
    </row>
    <row r="72" spans="1:22" ht="12" customHeight="1">
      <c r="A72" s="358" t="s">
        <v>407</v>
      </c>
      <c r="B72" s="3285" t="s">
        <v>408</v>
      </c>
      <c r="C72" s="3286"/>
      <c r="D72" s="357">
        <f ca="1">C86</f>
        <v>1578</v>
      </c>
      <c r="E72" s="73" t="s">
        <v>409</v>
      </c>
      <c r="F72" s="359">
        <f>'数据-取费表'!B41</f>
        <v>5.6000000000000001E-2</v>
      </c>
      <c r="G72" s="360"/>
      <c r="H72" s="1297"/>
      <c r="I72" s="1291"/>
      <c r="J72" s="2035"/>
      <c r="K72" s="1976">
        <v>1</v>
      </c>
      <c r="L72" s="3332" t="s">
        <v>406</v>
      </c>
      <c r="M72" s="3332"/>
      <c r="N72" s="1295">
        <f ca="1">D66</f>
        <v>1690</v>
      </c>
      <c r="O72" s="1859" t="str">
        <f>E66</f>
        <v>销售额×税（费）率</v>
      </c>
      <c r="P72" s="1296">
        <f>F66</f>
        <v>5.6000000000000001E-2</v>
      </c>
      <c r="Q72" s="2028"/>
      <c r="R72" s="2028"/>
      <c r="S72" s="2028"/>
      <c r="T72" s="2028"/>
      <c r="U72" s="2028"/>
      <c r="V72" s="2028"/>
    </row>
    <row r="73" spans="1:22" ht="24" customHeight="1">
      <c r="A73" s="3326" t="s">
        <v>411</v>
      </c>
      <c r="B73" s="3294"/>
      <c r="C73" s="3294"/>
      <c r="D73" s="361">
        <f>IF(H73="个人住宅",0,ROUND(D63*I73,0))</f>
        <v>0</v>
      </c>
      <c r="E73" s="17" t="s">
        <v>412</v>
      </c>
      <c r="F73" s="359" t="str">
        <f>IF(H73="正常",I73,"免征")</f>
        <v>免征</v>
      </c>
      <c r="G73" s="360"/>
      <c r="H73" s="191" t="s">
        <v>2456</v>
      </c>
      <c r="I73" s="359">
        <f>'数据-取费表'!B49</f>
        <v>5.0000000000000001E-4</v>
      </c>
      <c r="J73" s="2035"/>
      <c r="K73" s="1976">
        <v>2</v>
      </c>
      <c r="L73" s="3332" t="s">
        <v>410</v>
      </c>
      <c r="M73" s="3332"/>
      <c r="N73" s="1295">
        <f t="shared" ref="N73:P74" si="1">D73</f>
        <v>0</v>
      </c>
      <c r="O73" s="1859" t="str">
        <f t="shared" si="1"/>
        <v>销售额×税（费）率</v>
      </c>
      <c r="P73" s="1296" t="str">
        <f t="shared" si="1"/>
        <v>免征</v>
      </c>
      <c r="Q73" s="2028"/>
      <c r="R73" s="2028"/>
      <c r="S73" s="2028"/>
      <c r="T73" s="2028"/>
      <c r="U73" s="2028"/>
      <c r="V73" s="2028"/>
    </row>
    <row r="74" spans="1:22" ht="24.75">
      <c r="A74" s="3326" t="s">
        <v>415</v>
      </c>
      <c r="B74" s="3294"/>
      <c r="C74" s="3294"/>
      <c r="D74" s="361">
        <f ca="1">IF(H74="个人住宅",D75,D76)</f>
        <v>17277</v>
      </c>
      <c r="E74" s="17" t="s">
        <v>416</v>
      </c>
      <c r="F74" s="359" t="str">
        <f>IF(H74="正常",F76,"免征")</f>
        <v>——</v>
      </c>
      <c r="G74" s="982" t="s">
        <v>417</v>
      </c>
      <c r="H74" s="362" t="s">
        <v>413</v>
      </c>
      <c r="I74" s="42"/>
      <c r="J74" s="2035"/>
      <c r="K74" s="1976">
        <v>3</v>
      </c>
      <c r="L74" s="3332" t="s">
        <v>414</v>
      </c>
      <c r="M74" s="3332"/>
      <c r="N74" s="1295">
        <f t="shared" ca="1" si="1"/>
        <v>17277</v>
      </c>
      <c r="O74" s="1859" t="str">
        <f t="shared" si="1"/>
        <v>增值额×税（费）率</v>
      </c>
      <c r="P74" s="1298" t="str">
        <f t="shared" si="1"/>
        <v>——</v>
      </c>
      <c r="Q74" s="2028"/>
      <c r="R74" s="2028"/>
      <c r="S74" s="2028"/>
      <c r="T74" s="2028"/>
      <c r="U74" s="2028"/>
      <c r="V74" s="2028"/>
    </row>
    <row r="75" spans="1:22" ht="24">
      <c r="A75" s="358" t="s">
        <v>418</v>
      </c>
      <c r="B75" s="3282" t="s">
        <v>419</v>
      </c>
      <c r="C75" s="3312"/>
      <c r="D75" s="363">
        <v>0</v>
      </c>
      <c r="E75" s="41" t="s">
        <v>420</v>
      </c>
      <c r="F75" s="364"/>
      <c r="G75" s="360"/>
      <c r="H75" s="42"/>
      <c r="I75" s="42"/>
      <c r="J75" s="2035"/>
      <c r="K75" s="3053">
        <f>IF(H77="非个人房产","",4)</f>
        <v>4</v>
      </c>
      <c r="L75" s="3332" t="str">
        <f>IF(H77="非个人房产","——","个人所得税")</f>
        <v>个人所得税</v>
      </c>
      <c r="M75" s="3332"/>
      <c r="N75" s="1299">
        <f ca="1">D77</f>
        <v>317</v>
      </c>
      <c r="O75" s="1872" t="str">
        <f>E77</f>
        <v>销售额×税（费）率</v>
      </c>
      <c r="P75" s="1300">
        <f>F77</f>
        <v>0.01</v>
      </c>
      <c r="Q75" s="2028"/>
      <c r="R75" s="2028"/>
      <c r="S75" s="2028"/>
      <c r="T75" s="2028"/>
      <c r="U75" s="2028"/>
      <c r="V75" s="2028"/>
    </row>
    <row r="76" spans="1:22" ht="24.75">
      <c r="A76" s="358" t="s">
        <v>396</v>
      </c>
      <c r="B76" s="3282" t="s">
        <v>422</v>
      </c>
      <c r="C76" s="3283"/>
      <c r="D76" s="361">
        <f ca="1">IF(H76="转让取得",C99,C115)</f>
        <v>17277</v>
      </c>
      <c r="E76" s="17" t="s">
        <v>423</v>
      </c>
      <c r="F76" s="53" t="s">
        <v>21</v>
      </c>
      <c r="G76" s="360"/>
      <c r="H76" s="362" t="s">
        <v>424</v>
      </c>
      <c r="I76" s="42"/>
      <c r="J76" s="2035"/>
      <c r="K76" s="3053" t="str">
        <f>IF(项目基本情况!K6="上海银行",IF(K75="",4,K75+1),"")</f>
        <v/>
      </c>
      <c r="L76" s="3343" t="str">
        <f>IF(项目基本情况!K6="上海银行","其他处置费用","")</f>
        <v/>
      </c>
      <c r="M76" s="3344"/>
      <c r="N76" s="1295"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5">
        <f ca="1">IF(H77="非个人房产","——",IF(H77="个人住宅",0,ROUND(D63*I77,0)))</f>
        <v>317</v>
      </c>
      <c r="E77" s="366" t="str">
        <f>IF(H77="非个人房产","——","销售额×税（费）率")</f>
        <v>销售额×税（费）率</v>
      </c>
      <c r="F77" s="367">
        <f>IF(H77="非个人房产","——",IF(H77="个人住宅","免征",I77))</f>
        <v>0.01</v>
      </c>
      <c r="G77" s="983" t="s">
        <v>417</v>
      </c>
      <c r="H77" s="362" t="s">
        <v>2885</v>
      </c>
      <c r="I77" s="368">
        <v>0.01</v>
      </c>
      <c r="J77" s="2035"/>
      <c r="K77" s="3333">
        <f>IF(AND(K75="",K76=""),4,IF(项目基本情况!K6="上海银行",K76+1,K75+1))</f>
        <v>5</v>
      </c>
      <c r="L77" s="3332" t="s">
        <v>2886</v>
      </c>
      <c r="M77" s="3059" t="s">
        <v>421</v>
      </c>
      <c r="N77" s="1301"/>
      <c r="O77" s="1302">
        <f ca="1">SUMIF(N72:N76,"&lt;9e307")</f>
        <v>19284</v>
      </c>
      <c r="P77" s="1303"/>
      <c r="Q77" s="3057">
        <f ca="1">O77/N69</f>
        <v>0.36519269008616606</v>
      </c>
      <c r="R77" s="2028"/>
      <c r="S77" s="2028"/>
      <c r="T77" s="2028"/>
      <c r="U77" s="2028"/>
      <c r="V77" s="2028"/>
    </row>
    <row r="78" spans="1:22" ht="12" customHeight="1">
      <c r="A78" s="1304"/>
      <c r="B78" s="310"/>
      <c r="C78" s="310"/>
      <c r="D78" s="310"/>
      <c r="E78" s="42"/>
      <c r="F78" s="42"/>
      <c r="G78" s="42"/>
      <c r="H78" s="1002"/>
      <c r="I78" s="310"/>
      <c r="J78" s="2035"/>
      <c r="K78" s="3333"/>
      <c r="L78" s="3332"/>
      <c r="M78" s="3059" t="s">
        <v>425</v>
      </c>
      <c r="N78" s="1301"/>
      <c r="O78" s="1302" t="str">
        <f ca="1">NUMBERSTRING(INT(O77*10000),2)&amp;"元整"</f>
        <v>壹亿玖仟贰佰捌拾肆万元整</v>
      </c>
      <c r="P78" s="1303"/>
      <c r="Q78" s="2028"/>
      <c r="R78" s="2028"/>
      <c r="S78" s="2028"/>
      <c r="T78" s="2028"/>
      <c r="U78" s="2028"/>
      <c r="V78" s="2028"/>
    </row>
    <row r="79" spans="1:22" ht="13.5" thickBot="1">
      <c r="A79" s="3327" t="s">
        <v>427</v>
      </c>
      <c r="B79" s="3327"/>
      <c r="C79" s="3327"/>
      <c r="D79" s="3327"/>
      <c r="E79" s="3327"/>
      <c r="F79" s="42"/>
      <c r="G79" s="42"/>
      <c r="H79" s="1002"/>
      <c r="I79" s="310"/>
      <c r="J79" s="2035"/>
      <c r="K79" s="3353">
        <f>K77+1</f>
        <v>6</v>
      </c>
      <c r="L79" s="3332" t="s">
        <v>2887</v>
      </c>
      <c r="M79" s="3059" t="s">
        <v>421</v>
      </c>
      <c r="N79" s="1301"/>
      <c r="O79" s="1302">
        <f ca="1">N69-O77</f>
        <v>33521</v>
      </c>
      <c r="P79" s="1303"/>
      <c r="Q79" s="2028"/>
      <c r="R79" s="2028"/>
      <c r="S79" s="2028"/>
      <c r="T79" s="2028"/>
      <c r="U79" s="2028"/>
      <c r="V79" s="2028"/>
    </row>
    <row r="80" spans="1:22" ht="25.5">
      <c r="A80" s="3322" t="s">
        <v>428</v>
      </c>
      <c r="B80" s="3323"/>
      <c r="C80" s="993"/>
      <c r="D80" s="993" t="s">
        <v>429</v>
      </c>
      <c r="E80" s="369" t="s">
        <v>430</v>
      </c>
      <c r="F80" s="42"/>
      <c r="G80" s="42"/>
      <c r="H80" s="1002"/>
      <c r="I80" s="310"/>
      <c r="J80" s="2028"/>
      <c r="K80" s="3354"/>
      <c r="L80" s="3332"/>
      <c r="M80" s="3059" t="s">
        <v>425</v>
      </c>
      <c r="N80" s="1301"/>
      <c r="O80" s="1302" t="str">
        <f ca="1">NUMBERSTRING(INT(O79*10000),2)&amp;"元整"</f>
        <v>叁亿叁仟伍佰贰拾壹万元整</v>
      </c>
      <c r="P80" s="1303"/>
      <c r="Q80" s="2028"/>
      <c r="R80" s="2028"/>
      <c r="S80" s="2028"/>
      <c r="T80" s="2028"/>
      <c r="U80" s="2028"/>
      <c r="V80" s="2028"/>
    </row>
    <row r="81" spans="1:26" ht="13.5" thickBot="1">
      <c r="A81" s="380" t="s">
        <v>1824</v>
      </c>
      <c r="B81" s="370" t="s">
        <v>431</v>
      </c>
      <c r="C81" s="371">
        <f ca="1">ROUND((C82+C83)/(1+'数据-取费表'!C42),0)</f>
        <v>30174</v>
      </c>
      <c r="D81" s="372"/>
      <c r="E81" s="373"/>
      <c r="F81" s="42"/>
      <c r="G81" s="42"/>
      <c r="H81" s="1002"/>
      <c r="I81" s="310"/>
      <c r="J81" s="2028"/>
      <c r="K81" s="3053">
        <f>K79+1</f>
        <v>7</v>
      </c>
      <c r="L81" s="3330" t="s">
        <v>2888</v>
      </c>
      <c r="M81" s="3331"/>
      <c r="N81" s="1305"/>
      <c r="O81" s="1306">
        <f ca="1">ROUND(O79*10000/'数据-汇总表'!E3,0)</f>
        <v>3465</v>
      </c>
      <c r="P81" s="1307"/>
      <c r="Q81" s="2028"/>
      <c r="R81" s="2028"/>
      <c r="S81" s="2028"/>
      <c r="T81" s="2028"/>
      <c r="U81" s="2028"/>
      <c r="V81" s="2028"/>
    </row>
    <row r="82" spans="1:26" ht="13.5" thickTop="1">
      <c r="A82" s="374" t="s">
        <v>1825</v>
      </c>
      <c r="B82" s="375" t="s">
        <v>432</v>
      </c>
      <c r="C82" s="376">
        <f ca="1">D63</f>
        <v>31683</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2"/>
      <c r="I83" s="310"/>
      <c r="J83" s="2028"/>
      <c r="K83" s="3342" t="s">
        <v>2875</v>
      </c>
      <c r="L83" s="3065" t="s">
        <v>2876</v>
      </c>
      <c r="M83" s="3055">
        <f ca="1">IF(N69&gt;10000,N69*0.5%,IF(AND(N69&gt;1000,N69&lt;=10000),N69*1%,IF(AND(N69&gt;100,N69&lt;=1000),N69*3%,IF(AND(N69&gt;10,N69&lt;=100),N69*5%,N69*8%))))</f>
        <v>264.02499999999998</v>
      </c>
      <c r="N83" s="53">
        <f ca="1">ROUND(M83,1)</f>
        <v>264</v>
      </c>
      <c r="O83" s="3058"/>
      <c r="P83" s="2028"/>
      <c r="Q83" s="2028"/>
      <c r="R83" s="2028"/>
      <c r="S83" s="2028"/>
      <c r="T83" s="2028"/>
      <c r="U83" s="2028"/>
      <c r="V83" s="2028"/>
    </row>
    <row r="84" spans="1:26" ht="12.75">
      <c r="A84" s="380" t="s">
        <v>1827</v>
      </c>
      <c r="B84" s="381" t="s">
        <v>434</v>
      </c>
      <c r="C84" s="382">
        <v>2000</v>
      </c>
      <c r="D84" s="383" t="s">
        <v>19</v>
      </c>
      <c r="E84" s="3098" t="s">
        <v>2933</v>
      </c>
      <c r="F84" s="42"/>
      <c r="G84" s="42"/>
      <c r="H84" s="1002"/>
      <c r="I84" s="310"/>
      <c r="J84" s="2028"/>
      <c r="K84" s="3342"/>
      <c r="L84" s="3065" t="s">
        <v>2877</v>
      </c>
      <c r="M84" s="3055">
        <f ca="1">IF(N69&gt;2000,N69*0.5%,IF(AND(N69&gt;1000,N69&lt;=2000),N69*0.6%,IF(AND(N69&gt;500,N69&lt;=1000),N69*0.7%,IF(AND(N69&gt;200,N69&lt;=500),N69*0.8%,IF(AND(N69&gt;100,N69&lt;=200),N69*0.9%,IF(AND(N69&gt;50,N69&lt;=100),N69*1%,IF(AND(N69&gt;20,N69&lt;=50),N69*1.5%,IF(AND(N69&gt;10,N69&lt;=20),N69*2%,IF(AND(N69&gt;1,N69&lt;=10),N69*2.5%)))))))))</f>
        <v>264.02499999999998</v>
      </c>
      <c r="N84" s="53">
        <f t="shared" ref="N84:N85" ca="1" si="2">ROUND(M84,1)</f>
        <v>264</v>
      </c>
      <c r="O84" s="2028" t="s">
        <v>2878</v>
      </c>
      <c r="P84" s="2028"/>
      <c r="Q84" s="2028"/>
      <c r="R84" s="2028"/>
      <c r="S84" s="2028"/>
      <c r="T84" s="2028"/>
      <c r="U84" s="2028"/>
      <c r="V84" s="2028"/>
    </row>
    <row r="85" spans="1:26" ht="12.75">
      <c r="A85" s="380" t="s">
        <v>1828</v>
      </c>
      <c r="B85" s="381" t="s">
        <v>435</v>
      </c>
      <c r="C85" s="384">
        <f ca="1">C81-C84</f>
        <v>28174</v>
      </c>
      <c r="D85" s="377" t="s">
        <v>19</v>
      </c>
      <c r="E85" s="378"/>
      <c r="F85" s="42"/>
      <c r="G85" s="42"/>
      <c r="H85" s="1002"/>
      <c r="I85" s="310"/>
      <c r="J85" s="2028"/>
      <c r="K85" s="3342"/>
      <c r="L85" s="3065" t="s">
        <v>2879</v>
      </c>
      <c r="M85" s="3055">
        <f ca="1">IF(N69&gt;1000,N69*0.1%,IF(AND(N69&gt;500,N69&lt;=1000),N69*0.5%,IF(AND(N69&gt;50,N69&lt;=500),N69*1%,IF(AND(N69&gt;1,N69&lt;=50),N69*1.5%))))</f>
        <v>52.805</v>
      </c>
      <c r="N85" s="53">
        <f t="shared" ca="1" si="2"/>
        <v>52.8</v>
      </c>
      <c r="O85" s="2028" t="s">
        <v>2878</v>
      </c>
      <c r="P85" s="2028"/>
      <c r="Q85" s="2028"/>
      <c r="R85" s="2028"/>
      <c r="S85" s="2028"/>
      <c r="T85" s="2028"/>
      <c r="U85" s="2028"/>
      <c r="V85" s="2028"/>
    </row>
    <row r="86" spans="1:26" ht="13.5" thickBot="1">
      <c r="A86" s="385" t="s">
        <v>1829</v>
      </c>
      <c r="B86" s="386" t="s">
        <v>436</v>
      </c>
      <c r="C86" s="387">
        <f ca="1">IF(C85&lt;=0,0,ROUND(C85*D86,0))</f>
        <v>1578</v>
      </c>
      <c r="D86" s="388">
        <f>'数据-取费表'!B41</f>
        <v>5.6000000000000001E-2</v>
      </c>
      <c r="E86" s="389"/>
      <c r="F86" s="42"/>
      <c r="G86" s="42"/>
      <c r="H86" s="1002"/>
      <c r="I86" s="310"/>
      <c r="J86" s="2028"/>
      <c r="K86" s="3342"/>
      <c r="L86" s="3065" t="s">
        <v>2880</v>
      </c>
      <c r="M86" s="3055">
        <f ca="1">N69*0.5%</f>
        <v>264.02499999999998</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2"/>
      <c r="L87" s="3065" t="s">
        <v>2882</v>
      </c>
      <c r="M87" s="3055">
        <f ca="1">IF(N69&gt;=10000,(8.25+(N69-10000)*0.01%),IF(AND(N69&gt;=8000,N69&lt;10000),(7.85+(N69-8000)*0.02%),IF(AND(N69&gt;=5000,N69&lt;8000),(6.65+(N69-5000)*0.04%),IF(AND(N69&gt;=2000,N69&lt;5000),(4.25+(PN69-2000)*0.08%),IF(AND(N69&gt;=1000,N69&lt;2000),(2.75+(N69-1000)*0.15%),IF(AND(N69&gt;=100,N69&lt;1000),(0.5+(N69-100)*0.25%),IF(AND(N69&gt;0,N69&lt;100),N69*0.5%)))))))</f>
        <v>12.5305</v>
      </c>
      <c r="N87" s="53">
        <f ca="1">ROUND(M87*0.9,1)</f>
        <v>11.3</v>
      </c>
      <c r="O87" s="3058"/>
      <c r="P87" s="310"/>
      <c r="Q87" s="2028"/>
      <c r="R87" s="2028"/>
      <c r="S87" s="2028"/>
      <c r="T87" s="2028"/>
      <c r="U87" s="2028"/>
      <c r="V87" s="2028"/>
      <c r="W87" s="291"/>
      <c r="X87" s="291"/>
      <c r="Y87" s="291"/>
      <c r="Z87" s="291"/>
    </row>
    <row r="88" spans="1:26" s="1313" customFormat="1" ht="15" thickBot="1">
      <c r="A88" s="3324" t="s">
        <v>437</v>
      </c>
      <c r="B88" s="3325"/>
      <c r="C88" s="3325"/>
      <c r="D88" s="3325"/>
      <c r="E88" s="3325"/>
      <c r="F88" s="3325"/>
      <c r="G88" s="3325"/>
      <c r="H88" s="3325"/>
      <c r="I88" s="1314"/>
      <c r="J88" s="2036"/>
      <c r="K88" s="3342"/>
      <c r="L88" s="3065" t="s">
        <v>2883</v>
      </c>
      <c r="M88" s="3055">
        <f ca="1">IF(N69&gt;10000,N69*0.5%,IF(AND(N69&gt;5000,N69&lt;=10000),N69*1%,IF(AND(N69&gt;1000,N69&lt;=5000),N69*2%,IF(AND(N69&gt;200,N69&lt;=1000),N69*3%,N69*5%))))</f>
        <v>264.02499999999998</v>
      </c>
      <c r="N88" s="53">
        <f ca="1">ROUND(M88,1)</f>
        <v>264</v>
      </c>
      <c r="O88" s="3058"/>
      <c r="P88" s="11"/>
      <c r="Q88" s="2033"/>
      <c r="R88" s="2033"/>
      <c r="S88" s="2033"/>
      <c r="T88" s="2033"/>
      <c r="U88" s="2033"/>
      <c r="V88" s="2033"/>
      <c r="W88" s="2037"/>
      <c r="X88" s="2037"/>
      <c r="Y88" s="2037"/>
      <c r="Z88" s="2037"/>
    </row>
    <row r="89" spans="1:26" s="1313" customFormat="1" ht="14.25">
      <c r="A89" s="3322" t="s">
        <v>428</v>
      </c>
      <c r="B89" s="3323"/>
      <c r="C89" s="993"/>
      <c r="D89" s="993" t="s">
        <v>429</v>
      </c>
      <c r="E89" s="390" t="s">
        <v>438</v>
      </c>
      <c r="F89" s="391"/>
      <c r="G89" s="391"/>
      <c r="H89" s="392"/>
      <c r="I89" s="1315"/>
      <c r="J89" s="2038"/>
      <c r="K89" s="3342"/>
      <c r="L89" s="3065" t="s">
        <v>27</v>
      </c>
      <c r="M89" s="3056"/>
      <c r="N89" s="53">
        <f ca="1">ROUND(SUM(N83:N88),0)</f>
        <v>857</v>
      </c>
      <c r="O89" s="3066">
        <f ca="1">N89/N69</f>
        <v>1.622952371934476E-2</v>
      </c>
      <c r="P89" s="2033"/>
      <c r="Q89" s="2033"/>
      <c r="R89" s="2033"/>
      <c r="S89" s="2033"/>
      <c r="T89" s="2033"/>
      <c r="U89" s="2033"/>
      <c r="V89" s="2033"/>
      <c r="W89" s="2037"/>
      <c r="X89" s="2037"/>
      <c r="Y89" s="2037"/>
      <c r="Z89" s="2037"/>
    </row>
    <row r="90" spans="1:26" s="1313" customFormat="1" ht="14.25">
      <c r="A90" s="380" t="s">
        <v>1824</v>
      </c>
      <c r="B90" s="381" t="s">
        <v>439</v>
      </c>
      <c r="C90" s="384">
        <f ca="1">ROUND(D63/(1+'数据-取费表'!C42),0)</f>
        <v>30174</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1830</v>
      </c>
      <c r="B91" s="347" t="s">
        <v>440</v>
      </c>
      <c r="C91" s="384">
        <f ca="1">C92+C96</f>
        <v>2742</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1833</v>
      </c>
      <c r="B94" s="399" t="s">
        <v>446</v>
      </c>
      <c r="C94" s="377">
        <f>IF(F93="购房发票",ROUND(C93*H93*5%,0),0)</f>
        <v>500</v>
      </c>
      <c r="D94" s="400">
        <v>0.05</v>
      </c>
      <c r="E94" s="3285" t="s">
        <v>447</v>
      </c>
      <c r="F94" s="3284"/>
      <c r="G94" s="3284"/>
      <c r="H94" s="332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1835</v>
      </c>
      <c r="B96" s="375" t="s">
        <v>450</v>
      </c>
      <c r="C96" s="404">
        <f ca="1">ROUND(D63*D96/(1+'数据-取费表'!C42),0)</f>
        <v>181</v>
      </c>
      <c r="D96" s="405">
        <f>'数据-取费表'!B43</f>
        <v>6.000000000000001E-3</v>
      </c>
      <c r="E96" s="3313" t="s">
        <v>2429</v>
      </c>
      <c r="F96" s="3314"/>
      <c r="G96" s="3314"/>
      <c r="H96" s="331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1" t="s">
        <v>451</v>
      </c>
      <c r="C97" s="384">
        <f ca="1">C90-C91</f>
        <v>27432</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1" t="s">
        <v>452</v>
      </c>
      <c r="C98" s="406">
        <f ca="1">IF(C97&lt;=0,0,C97/C91)</f>
        <v>10.00437636761488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6" t="s">
        <v>453</v>
      </c>
      <c r="C99" s="407">
        <f ca="1">ROUND(IF(C97&lt;=0,0,IF(C98&gt;=200%,C97*60%-C91*35%,IF(C98&gt;=100%,C97*50%-C91*15%,IF(C98&gt;=50%,C97*40%-C91*5%,IF(C98&lt;50%,C97*30%,0))))),0)</f>
        <v>15500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2" t="s">
        <v>428</v>
      </c>
      <c r="B102" s="332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1824</v>
      </c>
      <c r="B103" s="381" t="s">
        <v>439</v>
      </c>
      <c r="C103" s="384">
        <f ca="1">ROUND(D63/(1+'数据-取费表'!C42),0)</f>
        <v>30174</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1830</v>
      </c>
      <c r="B104" s="347" t="s">
        <v>440</v>
      </c>
      <c r="C104" s="384">
        <f ca="1">IF(H106="仅含出让金",C105+C108+C109+C110+C111+C112,C105+C109+C110+C111+C112)</f>
        <v>871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1831</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1832</v>
      </c>
      <c r="B106" s="375" t="s">
        <v>456</v>
      </c>
      <c r="C106" s="415">
        <v>555</v>
      </c>
      <c r="D106" s="405"/>
      <c r="E106" s="416" t="s">
        <v>457</v>
      </c>
      <c r="F106" s="985"/>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5" t="s">
        <v>461</v>
      </c>
      <c r="C109" s="404">
        <f>IF(H109="——",IF(F1="现房",'剩余法-现房'!C18,'剩余法-待开发'!C18),I109)</f>
        <v>55</v>
      </c>
      <c r="D109" s="405"/>
      <c r="E109" s="3316" t="s">
        <v>462</v>
      </c>
      <c r="F109" s="3314"/>
      <c r="G109" s="331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5" t="s">
        <v>463</v>
      </c>
      <c r="C110" s="404">
        <f>ROUND((C105+C108+C109)*D110,0)</f>
        <v>63</v>
      </c>
      <c r="D110" s="405">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5" t="s">
        <v>450</v>
      </c>
      <c r="C111" s="404">
        <f ca="1">ROUND(D63*D111/(1+'数据-取费表'!C42),0)</f>
        <v>181</v>
      </c>
      <c r="D111" s="405">
        <f>'数据-取费表'!B43</f>
        <v>6.000000000000001E-3</v>
      </c>
      <c r="E111" s="3313" t="s">
        <v>2429</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5" t="s">
        <v>465</v>
      </c>
      <c r="C112" s="404">
        <f>ROUND(C108*D112,0)</f>
        <v>0</v>
      </c>
      <c r="D112" s="405">
        <v>0.2</v>
      </c>
      <c r="E112" s="3316" t="s">
        <v>2454</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1" t="s">
        <v>451</v>
      </c>
      <c r="C113" s="384">
        <f ca="1">ROUND(C103-C104,0)</f>
        <v>29303</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1" t="s">
        <v>452</v>
      </c>
      <c r="C114" s="406">
        <f ca="1">IF(C113&lt;=0,0,C113/C104)</f>
        <v>33.642939150401837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6" t="s">
        <v>453</v>
      </c>
      <c r="C115" s="407">
        <f ca="1">ROUND(IF(C113&lt;=0,0,IF(C114&gt;=200%,C113*60%-C104*35%,IF(C114&gt;=100%,C113*50%-C104*15%,IF(C114&gt;=50%,C113*40%-C104*5%,IF(C114&lt;50%,C113*30%,0))))),0)</f>
        <v>17277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I51" sqref="I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48222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4985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20954</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1397</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67" t="s">
        <v>522</v>
      </c>
      <c r="D6" s="3368"/>
      <c r="E6" s="3367" t="s">
        <v>523</v>
      </c>
      <c r="F6" s="3368"/>
      <c r="G6" s="3367" t="s">
        <v>524</v>
      </c>
      <c r="H6" s="3368"/>
      <c r="I6" s="3367" t="s">
        <v>525</v>
      </c>
      <c r="J6" s="3368"/>
      <c r="K6" s="513" t="s">
        <v>526</v>
      </c>
      <c r="L6" s="2133"/>
      <c r="M6" s="2132"/>
      <c r="N6" s="2132"/>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30" ht="30" customHeight="1">
      <c r="A7" s="514"/>
      <c r="B7" s="515"/>
      <c r="C7" s="3383" t="s">
        <v>2920</v>
      </c>
      <c r="D7" s="3384"/>
      <c r="E7" s="3383" t="str">
        <f>土地案例!A1</f>
        <v>新东站片区张马屯三四期C-6地块</v>
      </c>
      <c r="F7" s="3384"/>
      <c r="G7" s="3383" t="str">
        <f>土地案例!A2</f>
        <v>新东站片区张马屯三四期C-12地块</v>
      </c>
      <c r="H7" s="3384"/>
      <c r="I7" s="3383" t="str">
        <f>土地案例!A3</f>
        <v>新东站片区张马屯三四期A-15地块</v>
      </c>
      <c r="J7" s="3384"/>
      <c r="K7" s="513"/>
      <c r="L7" s="2133"/>
      <c r="M7" s="2132"/>
      <c r="N7" s="2132"/>
      <c r="O7" s="2134"/>
      <c r="P7" s="3371"/>
      <c r="Q7" s="3372"/>
      <c r="R7" s="3377"/>
      <c r="S7" s="3378"/>
      <c r="T7" s="3377"/>
      <c r="U7" s="3378"/>
      <c r="V7" s="3362"/>
      <c r="W7" s="3362"/>
      <c r="X7" s="1566"/>
      <c r="Y7" s="3377"/>
      <c r="Z7" s="3378"/>
      <c r="AA7" s="3365"/>
      <c r="AB7" s="3365"/>
      <c r="AC7" s="3365"/>
    </row>
    <row r="8" spans="1:30" ht="21" thickBot="1">
      <c r="A8" s="514"/>
      <c r="B8" s="515"/>
      <c r="C8" s="3385" t="s">
        <v>2924</v>
      </c>
      <c r="D8" s="3386"/>
      <c r="E8" s="3385" t="s">
        <v>2924</v>
      </c>
      <c r="F8" s="3386"/>
      <c r="G8" s="3381" t="s">
        <v>2924</v>
      </c>
      <c r="H8" s="3382"/>
      <c r="I8" s="3381" t="s">
        <v>2924</v>
      </c>
      <c r="J8" s="3382"/>
      <c r="K8" s="513" t="s">
        <v>528</v>
      </c>
      <c r="L8" s="2133"/>
      <c r="M8" s="2132"/>
      <c r="N8" s="2132"/>
      <c r="O8" s="2134"/>
      <c r="P8" s="3373"/>
      <c r="Q8" s="3374"/>
      <c r="R8" s="3377"/>
      <c r="S8" s="3378"/>
      <c r="T8" s="3379"/>
      <c r="U8" s="3380"/>
      <c r="V8" s="3362"/>
      <c r="W8" s="3362"/>
      <c r="X8" s="1566"/>
      <c r="Y8" s="3379"/>
      <c r="Z8" s="3380"/>
      <c r="AA8" s="3366"/>
      <c r="AB8" s="3366"/>
      <c r="AC8" s="3366"/>
    </row>
    <row r="9" spans="1:30" s="1219" customFormat="1" ht="21" thickBot="1">
      <c r="A9" s="2912"/>
      <c r="B9" s="2919" t="s">
        <v>529</v>
      </c>
      <c r="C9" s="2911">
        <f>'数据-取费表'!B2</f>
        <v>43336</v>
      </c>
      <c r="D9" s="519">
        <v>100</v>
      </c>
      <c r="E9" s="520" t="str">
        <f>土地案例!AA1</f>
        <v>2017-12-01</v>
      </c>
      <c r="F9" s="521">
        <f>SUMIF(72:72,YEAR(E9)&amp;"-"&amp;INT((MONTH(E9)+2)/3),73:73)</f>
        <v>98.5</v>
      </c>
      <c r="G9" s="522" t="str">
        <f>土地案例!AA2</f>
        <v>2017-12-01</v>
      </c>
      <c r="H9" s="519">
        <f>SUMIF(72:72,YEAR(G9)&amp;"-"&amp;INT((MONTH(G9)+2)/3),73:73)</f>
        <v>98.5</v>
      </c>
      <c r="I9" s="522" t="str">
        <f>土地案例!AA3</f>
        <v>2017-12-01</v>
      </c>
      <c r="J9" s="519">
        <f>SUMIF(72:72,YEAR(I9)&amp;"-"&amp;INT((MONTH(I9)+2)/3),73:73)</f>
        <v>98.5</v>
      </c>
      <c r="K9" s="523"/>
      <c r="L9" s="2135"/>
      <c r="M9" s="2132"/>
      <c r="N9" s="2132"/>
      <c r="O9" s="2136"/>
      <c r="P9" s="3392" t="s">
        <v>530</v>
      </c>
      <c r="Q9" s="3394"/>
      <c r="R9" s="1567" t="s">
        <v>8</v>
      </c>
      <c r="S9" s="1568">
        <f t="shared" ref="S9:S17" si="0">F9</f>
        <v>98.5</v>
      </c>
      <c r="T9" s="1567" t="s">
        <v>8</v>
      </c>
      <c r="U9" s="1568">
        <f t="shared" ref="U9:U17" si="1">H9</f>
        <v>98.5</v>
      </c>
      <c r="V9" s="1567" t="s">
        <v>8</v>
      </c>
      <c r="W9" s="1568">
        <f t="shared" ref="W9:W17" si="2">J9</f>
        <v>98.5</v>
      </c>
      <c r="X9" s="1569"/>
      <c r="Y9" s="3392" t="s">
        <v>530</v>
      </c>
      <c r="Z9" s="3393"/>
      <c r="AA9" s="1570">
        <f>D9/F9</f>
        <v>1.015228426395939</v>
      </c>
      <c r="AB9" s="1570">
        <f>D9/H9</f>
        <v>1.015228426395939</v>
      </c>
      <c r="AC9" s="1570">
        <f>D9/J9</f>
        <v>1.015228426395939</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392" t="s">
        <v>533</v>
      </c>
      <c r="Q10" s="3393"/>
      <c r="R10" s="1567" t="s">
        <v>8</v>
      </c>
      <c r="S10" s="1568">
        <f t="shared" si="0"/>
        <v>100</v>
      </c>
      <c r="T10" s="1567" t="s">
        <v>8</v>
      </c>
      <c r="U10" s="1568">
        <f t="shared" si="1"/>
        <v>100</v>
      </c>
      <c r="V10" s="1567" t="s">
        <v>8</v>
      </c>
      <c r="W10" s="1568">
        <f t="shared" si="2"/>
        <v>100</v>
      </c>
      <c r="X10" s="1569"/>
      <c r="Y10" s="3392" t="s">
        <v>533</v>
      </c>
      <c r="Z10" s="3393"/>
      <c r="AA10" s="1570">
        <f t="shared" ref="AA10:AA47" si="3">D10/F10</f>
        <v>1</v>
      </c>
      <c r="AB10" s="1570">
        <f t="shared" ref="AB10:AB47" si="4">D10/H10</f>
        <v>1</v>
      </c>
      <c r="AC10" s="1570">
        <f t="shared" ref="AC10:AC47" si="5">D10/J10</f>
        <v>1</v>
      </c>
    </row>
    <row r="11" spans="1:30" s="1219" customFormat="1" ht="20.25">
      <c r="A11" s="2914"/>
      <c r="B11" s="2921" t="s">
        <v>2757</v>
      </c>
      <c r="C11" s="2908" t="s">
        <v>923</v>
      </c>
      <c r="D11" s="253">
        <v>100</v>
      </c>
      <c r="E11" s="2908" t="s">
        <v>923</v>
      </c>
      <c r="F11" s="253">
        <f>SUMIF(77:77,E11,78:78)-SUMIF(77:77,C11,78:78)+100</f>
        <v>100</v>
      </c>
      <c r="G11" s="2908" t="s">
        <v>923</v>
      </c>
      <c r="H11" s="253">
        <f>SUMIF(77:77,G11,78:78)-SUMIF(77:77,C11,78:78)+100</f>
        <v>100</v>
      </c>
      <c r="I11" s="2908" t="s">
        <v>923</v>
      </c>
      <c r="J11" s="253">
        <f>SUMIF(77:77,I11,78:78)-SUMIF(77:77,C11,78:78)+100</f>
        <v>100</v>
      </c>
      <c r="K11" s="523"/>
      <c r="L11" s="2135"/>
      <c r="M11" s="2132"/>
      <c r="N11" s="2132"/>
      <c r="O11" s="2137"/>
      <c r="P11" s="3361" t="s">
        <v>535</v>
      </c>
      <c r="Q11" s="1150" t="str">
        <f t="shared" ref="Q11:Q17" si="6">B11</f>
        <v>用途</v>
      </c>
      <c r="R11" s="1567" t="s">
        <v>8</v>
      </c>
      <c r="S11" s="1568">
        <f t="shared" si="0"/>
        <v>100</v>
      </c>
      <c r="T11" s="1567" t="s">
        <v>8</v>
      </c>
      <c r="U11" s="1568">
        <f t="shared" si="1"/>
        <v>100</v>
      </c>
      <c r="V11" s="1567" t="s">
        <v>8</v>
      </c>
      <c r="W11" s="1568">
        <f t="shared" si="2"/>
        <v>100</v>
      </c>
      <c r="X11" s="1569"/>
      <c r="Y11" s="3307" t="s">
        <v>536</v>
      </c>
      <c r="Z11" s="1149" t="str">
        <f t="shared" ref="Z11:Z17" si="7">Q11</f>
        <v>用途</v>
      </c>
      <c r="AA11" s="1570">
        <f t="shared" si="3"/>
        <v>1</v>
      </c>
      <c r="AB11" s="1570">
        <f t="shared" si="4"/>
        <v>1</v>
      </c>
      <c r="AC11" s="1570">
        <f t="shared" si="5"/>
        <v>1</v>
      </c>
    </row>
    <row r="12" spans="1:30" s="1337" customFormat="1" ht="27">
      <c r="A12" s="2915"/>
      <c r="B12" s="2920" t="s">
        <v>2758</v>
      </c>
      <c r="C12" s="909" t="s">
        <v>3330</v>
      </c>
      <c r="D12" s="254">
        <v>100</v>
      </c>
      <c r="E12" s="909" t="s">
        <v>3330</v>
      </c>
      <c r="F12" s="254">
        <f>ROUND(100/'数据-取费表'!G16,0)</f>
        <v>100</v>
      </c>
      <c r="G12" s="909" t="s">
        <v>3330</v>
      </c>
      <c r="H12" s="254">
        <f>ROUND(100/'数据-取费表'!G16,0)</f>
        <v>100</v>
      </c>
      <c r="I12" s="909" t="s">
        <v>3330</v>
      </c>
      <c r="J12" s="254">
        <f>ROUND(100/'数据-取费表'!G16,0)</f>
        <v>100</v>
      </c>
      <c r="K12" s="530"/>
      <c r="L12" s="2138"/>
      <c r="M12" s="2132"/>
      <c r="N12" s="2132"/>
      <c r="O12" s="2139"/>
      <c r="P12" s="3361"/>
      <c r="Q12" s="1150" t="str">
        <f t="shared" si="6"/>
        <v>土地使用年限（年）</v>
      </c>
      <c r="R12" s="1567" t="s">
        <v>8</v>
      </c>
      <c r="S12" s="1568">
        <f t="shared" si="0"/>
        <v>100</v>
      </c>
      <c r="T12" s="1567" t="s">
        <v>8</v>
      </c>
      <c r="U12" s="1568">
        <f t="shared" si="1"/>
        <v>100</v>
      </c>
      <c r="V12" s="1567" t="s">
        <v>8</v>
      </c>
      <c r="W12" s="1568">
        <f t="shared" si="2"/>
        <v>100</v>
      </c>
      <c r="X12" s="1569"/>
      <c r="Y12" s="3307"/>
      <c r="Z12" s="1149" t="str">
        <f t="shared" si="7"/>
        <v>土地使用年限（年）</v>
      </c>
      <c r="AA12" s="1570">
        <f t="shared" si="3"/>
        <v>1</v>
      </c>
      <c r="AB12" s="1570">
        <f t="shared" si="4"/>
        <v>1</v>
      </c>
      <c r="AC12" s="1570">
        <f t="shared" si="5"/>
        <v>1</v>
      </c>
    </row>
    <row r="13" spans="1:30" ht="20.25">
      <c r="A13" s="2916"/>
      <c r="B13" s="2920" t="s">
        <v>2759</v>
      </c>
      <c r="C13" s="533">
        <f>'数据-汇总表'!I6</f>
        <v>3.17</v>
      </c>
      <c r="D13" s="254">
        <v>100</v>
      </c>
      <c r="E13" s="532">
        <f>土地案例!L1</f>
        <v>2.2000000000000002</v>
      </c>
      <c r="F13" s="254">
        <f>LOOKUP(E13,82:82,83:83)-LOOKUP(C13,82:82,83:83)+100</f>
        <v>102</v>
      </c>
      <c r="G13" s="533">
        <f>土地案例!L2</f>
        <v>1.6</v>
      </c>
      <c r="H13" s="254">
        <f>LOOKUP(G13,82:82,83:83)-LOOKUP(C13,82:82,83:83)+100</f>
        <v>104</v>
      </c>
      <c r="I13" s="532">
        <f>土地案例!L3</f>
        <v>2.2000000000000002</v>
      </c>
      <c r="J13" s="254">
        <f>LOOKUP(I13,82:82,83:83)-LOOKUP(C13,82:82,83:83)+100</f>
        <v>102</v>
      </c>
      <c r="K13" s="534">
        <v>2</v>
      </c>
      <c r="L13" s="2140"/>
      <c r="M13" s="2132"/>
      <c r="N13" s="2132"/>
      <c r="O13" s="2141"/>
      <c r="P13" s="3361"/>
      <c r="Q13" s="1150" t="str">
        <f t="shared" si="6"/>
        <v>容积率</v>
      </c>
      <c r="R13" s="1567" t="s">
        <v>8</v>
      </c>
      <c r="S13" s="1568">
        <f t="shared" si="0"/>
        <v>102</v>
      </c>
      <c r="T13" s="1567" t="s">
        <v>8</v>
      </c>
      <c r="U13" s="1568">
        <f t="shared" si="1"/>
        <v>104</v>
      </c>
      <c r="V13" s="1567" t="s">
        <v>8</v>
      </c>
      <c r="W13" s="1568">
        <f t="shared" si="2"/>
        <v>102</v>
      </c>
      <c r="X13" s="1569"/>
      <c r="Y13" s="3307"/>
      <c r="Z13" s="1149" t="str">
        <f t="shared" si="7"/>
        <v>容积率</v>
      </c>
      <c r="AA13" s="1570">
        <f t="shared" si="3"/>
        <v>0.98039215686274506</v>
      </c>
      <c r="AB13" s="1570">
        <f t="shared" si="4"/>
        <v>0.96153846153846156</v>
      </c>
      <c r="AC13" s="1570">
        <f t="shared" si="5"/>
        <v>0.98039215686274506</v>
      </c>
    </row>
    <row r="14" spans="1:30" s="1219" customFormat="1" ht="21" thickBot="1">
      <c r="A14" s="2913"/>
      <c r="B14" s="2922" t="s">
        <v>2760</v>
      </c>
      <c r="C14" s="2909" t="s">
        <v>3342</v>
      </c>
      <c r="D14" s="537">
        <v>100</v>
      </c>
      <c r="E14" s="1373" t="s">
        <v>3343</v>
      </c>
      <c r="F14" s="254">
        <f>SUMIF(84:84,E14,85:85)-SUMIF(84:84,C14,85:85)+100</f>
        <v>110</v>
      </c>
      <c r="G14" s="1373" t="s">
        <v>3343</v>
      </c>
      <c r="H14" s="254">
        <f>SUMIF(84:84,G14,85:85)-SUMIF(84:84,C14,85:85)+100</f>
        <v>110</v>
      </c>
      <c r="I14" s="1373" t="s">
        <v>3343</v>
      </c>
      <c r="J14" s="254">
        <f>SUMIF(84:84,I14,85:85)-SUMIF(84:84,C14,85:85)+100</f>
        <v>110</v>
      </c>
      <c r="K14" s="530"/>
      <c r="L14" s="2135"/>
      <c r="M14" s="2132"/>
      <c r="N14" s="2132"/>
      <c r="O14" s="2137"/>
      <c r="P14" s="3361"/>
      <c r="Q14" s="1150" t="str">
        <f t="shared" si="6"/>
        <v>配建</v>
      </c>
      <c r="R14" s="1567" t="s">
        <v>8</v>
      </c>
      <c r="S14" s="1568">
        <f t="shared" si="0"/>
        <v>110</v>
      </c>
      <c r="T14" s="1567" t="s">
        <v>8</v>
      </c>
      <c r="U14" s="1568">
        <f t="shared" si="1"/>
        <v>110</v>
      </c>
      <c r="V14" s="1567" t="s">
        <v>8</v>
      </c>
      <c r="W14" s="1568">
        <f t="shared" si="2"/>
        <v>110</v>
      </c>
      <c r="X14" s="1569"/>
      <c r="Y14" s="3307"/>
      <c r="Z14" s="1149" t="str">
        <f t="shared" si="7"/>
        <v>配建</v>
      </c>
      <c r="AA14" s="1570">
        <f>D14/F14</f>
        <v>0.90909090909090906</v>
      </c>
      <c r="AB14" s="1570">
        <f>D14/H14</f>
        <v>0.90909090909090906</v>
      </c>
      <c r="AC14" s="1570">
        <f>D14/J14</f>
        <v>0.90909090909090906</v>
      </c>
    </row>
    <row r="15" spans="1:30" ht="20.25" hidden="1">
      <c r="A15" s="2917"/>
      <c r="B15" s="2923">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1"/>
      <c r="Q15" s="1150">
        <f t="shared" si="6"/>
        <v>111</v>
      </c>
      <c r="R15" s="1567" t="s">
        <v>8</v>
      </c>
      <c r="S15" s="1568">
        <f t="shared" si="0"/>
        <v>100</v>
      </c>
      <c r="T15" s="1567" t="s">
        <v>8</v>
      </c>
      <c r="U15" s="1568">
        <f t="shared" si="1"/>
        <v>100</v>
      </c>
      <c r="V15" s="1567" t="s">
        <v>8</v>
      </c>
      <c r="W15" s="1568">
        <f t="shared" si="2"/>
        <v>100</v>
      </c>
      <c r="X15" s="1569"/>
      <c r="Y15" s="3307"/>
      <c r="Z15" s="1149">
        <f t="shared" si="7"/>
        <v>111</v>
      </c>
      <c r="AA15" s="1570">
        <f>D15/F15</f>
        <v>1</v>
      </c>
      <c r="AB15" s="1570">
        <f>D15/H15</f>
        <v>1</v>
      </c>
      <c r="AC15" s="1570">
        <f>D15/J15</f>
        <v>1</v>
      </c>
    </row>
    <row r="16" spans="1:30" ht="21" hidden="1" thickBot="1">
      <c r="A16" s="2918"/>
      <c r="B16" s="2924">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1"/>
      <c r="Q16" s="1150">
        <f t="shared" si="6"/>
        <v>111</v>
      </c>
      <c r="R16" s="1567" t="s">
        <v>8</v>
      </c>
      <c r="S16" s="1568">
        <f t="shared" si="0"/>
        <v>100</v>
      </c>
      <c r="T16" s="1567" t="s">
        <v>8</v>
      </c>
      <c r="U16" s="1568">
        <f t="shared" si="1"/>
        <v>100</v>
      </c>
      <c r="V16" s="1567" t="s">
        <v>8</v>
      </c>
      <c r="W16" s="1568">
        <f t="shared" si="2"/>
        <v>100</v>
      </c>
      <c r="X16" s="1569"/>
      <c r="Y16" s="3307"/>
      <c r="Z16" s="1149">
        <f t="shared" si="7"/>
        <v>111</v>
      </c>
      <c r="AA16" s="1570">
        <f>D16/F16</f>
        <v>1</v>
      </c>
      <c r="AB16" s="1570">
        <f>D16/H16</f>
        <v>1</v>
      </c>
      <c r="AC16" s="1570">
        <f>D16/J16</f>
        <v>1</v>
      </c>
    </row>
    <row r="17" spans="1:29" ht="20.25">
      <c r="A17" s="2910" t="s">
        <v>2755</v>
      </c>
      <c r="B17" s="577" t="s">
        <v>295</v>
      </c>
      <c r="C17" s="547" t="str">
        <f>估价对象房地状况!C15</f>
        <v>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395" t="s">
        <v>540</v>
      </c>
      <c r="Q17" s="1571" t="str">
        <f t="shared" si="6"/>
        <v>居住社区成熟度</v>
      </c>
      <c r="R17" s="1572" t="s">
        <v>8</v>
      </c>
      <c r="S17" s="1573">
        <f t="shared" si="0"/>
        <v>100</v>
      </c>
      <c r="T17" s="1572" t="s">
        <v>8</v>
      </c>
      <c r="U17" s="1573">
        <f t="shared" si="1"/>
        <v>100</v>
      </c>
      <c r="V17" s="1572" t="s">
        <v>8</v>
      </c>
      <c r="W17" s="1573">
        <f t="shared" si="2"/>
        <v>100</v>
      </c>
      <c r="X17" s="1566"/>
      <c r="Y17" s="3395" t="s">
        <v>540</v>
      </c>
      <c r="Z17" s="1574" t="str">
        <f t="shared" si="7"/>
        <v>居住社区成熟度</v>
      </c>
      <c r="AA17" s="1575">
        <f t="shared" si="3"/>
        <v>1</v>
      </c>
      <c r="AB17" s="1575">
        <f t="shared" si="4"/>
        <v>1</v>
      </c>
      <c r="AC17" s="1575">
        <f t="shared" si="5"/>
        <v>1</v>
      </c>
    </row>
    <row r="18" spans="1:29" ht="20.25">
      <c r="A18" s="531"/>
      <c r="B18" s="552"/>
      <c r="C18" s="553" t="s">
        <v>3264</v>
      </c>
      <c r="D18" s="556"/>
      <c r="E18" s="553" t="s">
        <v>3264</v>
      </c>
      <c r="F18" s="554"/>
      <c r="G18" s="553" t="s">
        <v>3264</v>
      </c>
      <c r="H18" s="558"/>
      <c r="I18" s="553" t="s">
        <v>3264</v>
      </c>
      <c r="J18" s="554"/>
      <c r="K18" s="530"/>
      <c r="L18" s="2142"/>
      <c r="M18" s="2132"/>
      <c r="N18" s="2132"/>
      <c r="O18" s="2141"/>
      <c r="P18" s="3396"/>
      <c r="Q18" s="1571"/>
      <c r="R18" s="1572"/>
      <c r="S18" s="1573"/>
      <c r="T18" s="1572"/>
      <c r="U18" s="1573"/>
      <c r="V18" s="1572"/>
      <c r="W18" s="1573"/>
      <c r="X18" s="1566"/>
      <c r="Y18" s="3396"/>
      <c r="Z18" s="1574"/>
      <c r="AA18" s="1575">
        <v>1</v>
      </c>
      <c r="AB18" s="1575">
        <v>1</v>
      </c>
      <c r="AC18" s="1575">
        <v>1</v>
      </c>
    </row>
    <row r="19" spans="1:29" ht="20.25">
      <c r="A19" s="531"/>
      <c r="B19" s="559" t="s">
        <v>541</v>
      </c>
      <c r="C19" s="560" t="str">
        <f>估价对象房地状况!C16</f>
        <v>较好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3396"/>
      <c r="Q19" s="1571" t="str">
        <f>B19</f>
        <v>商业繁华度</v>
      </c>
      <c r="R19" s="1572" t="s">
        <v>8</v>
      </c>
      <c r="S19" s="1573">
        <f>F19</f>
        <v>100</v>
      </c>
      <c r="T19" s="1572" t="s">
        <v>8</v>
      </c>
      <c r="U19" s="1573">
        <f>H19</f>
        <v>100</v>
      </c>
      <c r="V19" s="1572" t="s">
        <v>8</v>
      </c>
      <c r="W19" s="1573">
        <f>J19</f>
        <v>100</v>
      </c>
      <c r="X19" s="1566"/>
      <c r="Y19" s="3396"/>
      <c r="Z19" s="1574" t="str">
        <f>Q19</f>
        <v>商业繁华度</v>
      </c>
      <c r="AA19" s="1575">
        <f t="shared" si="3"/>
        <v>1</v>
      </c>
      <c r="AB19" s="1575">
        <f t="shared" si="4"/>
        <v>1</v>
      </c>
      <c r="AC19" s="1575">
        <f t="shared" si="5"/>
        <v>1</v>
      </c>
    </row>
    <row r="20" spans="1:29" ht="20.25">
      <c r="A20" s="531"/>
      <c r="B20" s="565"/>
      <c r="C20" s="566" t="s">
        <v>3264</v>
      </c>
      <c r="D20" s="562"/>
      <c r="E20" s="566" t="s">
        <v>3264</v>
      </c>
      <c r="F20" s="558"/>
      <c r="G20" s="566" t="s">
        <v>3264</v>
      </c>
      <c r="H20" s="554"/>
      <c r="I20" s="566" t="s">
        <v>3264</v>
      </c>
      <c r="J20" s="554"/>
      <c r="K20" s="530"/>
      <c r="L20" s="2142"/>
      <c r="M20" s="2132"/>
      <c r="N20" s="2132"/>
      <c r="O20" s="2141"/>
      <c r="P20" s="3396"/>
      <c r="Q20" s="1571"/>
      <c r="R20" s="1572"/>
      <c r="S20" s="1573"/>
      <c r="T20" s="1572"/>
      <c r="U20" s="1573"/>
      <c r="V20" s="1572"/>
      <c r="W20" s="1573"/>
      <c r="X20" s="1566"/>
      <c r="Y20" s="3396"/>
      <c r="Z20" s="1574"/>
      <c r="AA20" s="1575">
        <v>1</v>
      </c>
      <c r="AB20" s="1575">
        <v>1</v>
      </c>
      <c r="AC20" s="1575">
        <v>1</v>
      </c>
    </row>
    <row r="21" spans="1:29" ht="20.25" hidden="1">
      <c r="A21" s="531"/>
      <c r="B21" s="559" t="s">
        <v>542</v>
      </c>
      <c r="C21" s="560" t="str">
        <f>估价对象房地状况!C17</f>
        <v>较差</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396"/>
      <c r="Q21" s="1571" t="str">
        <f>B21</f>
        <v>办公集聚程度</v>
      </c>
      <c r="R21" s="1572" t="s">
        <v>8</v>
      </c>
      <c r="S21" s="1573">
        <f>F21</f>
        <v>100</v>
      </c>
      <c r="T21" s="1572" t="s">
        <v>8</v>
      </c>
      <c r="U21" s="1573">
        <f>H21</f>
        <v>100</v>
      </c>
      <c r="V21" s="1572" t="s">
        <v>8</v>
      </c>
      <c r="W21" s="1573">
        <f>J21</f>
        <v>100</v>
      </c>
      <c r="X21" s="1566"/>
      <c r="Y21" s="3396"/>
      <c r="Z21" s="1574" t="str">
        <f>Q21</f>
        <v>办公集聚程度</v>
      </c>
      <c r="AA21" s="1575">
        <f t="shared" si="3"/>
        <v>1</v>
      </c>
      <c r="AB21" s="1575">
        <f t="shared" si="4"/>
        <v>1</v>
      </c>
      <c r="AC21" s="1575">
        <f t="shared" si="5"/>
        <v>1</v>
      </c>
    </row>
    <row r="22" spans="1:29" ht="20.25" hidden="1">
      <c r="A22" s="531"/>
      <c r="B22" s="565"/>
      <c r="C22" s="553" t="s">
        <v>3267</v>
      </c>
      <c r="D22" s="556"/>
      <c r="E22" s="553" t="s">
        <v>3267</v>
      </c>
      <c r="F22" s="554"/>
      <c r="G22" s="553" t="s">
        <v>3267</v>
      </c>
      <c r="H22" s="554"/>
      <c r="I22" s="553" t="s">
        <v>3267</v>
      </c>
      <c r="J22" s="554"/>
      <c r="K22" s="530"/>
      <c r="L22" s="2142"/>
      <c r="M22" s="2132"/>
      <c r="N22" s="2132"/>
      <c r="O22" s="2141"/>
      <c r="P22" s="3396"/>
      <c r="Q22" s="1571"/>
      <c r="R22" s="1572"/>
      <c r="S22" s="1573"/>
      <c r="T22" s="1572"/>
      <c r="U22" s="1573"/>
      <c r="V22" s="1572"/>
      <c r="W22" s="1573"/>
      <c r="X22" s="1566"/>
      <c r="Y22" s="3396"/>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3396"/>
      <c r="Q23" s="1571" t="str">
        <f>B23</f>
        <v>交通便捷度</v>
      </c>
      <c r="R23" s="1572" t="s">
        <v>8</v>
      </c>
      <c r="S23" s="1573">
        <f>F23</f>
        <v>100</v>
      </c>
      <c r="T23" s="1572" t="s">
        <v>8</v>
      </c>
      <c r="U23" s="1573">
        <f>H23</f>
        <v>100</v>
      </c>
      <c r="V23" s="1572" t="s">
        <v>8</v>
      </c>
      <c r="W23" s="1573">
        <f>J23</f>
        <v>100</v>
      </c>
      <c r="X23" s="1566"/>
      <c r="Y23" s="3396"/>
      <c r="Z23" s="1574" t="str">
        <f>Q23</f>
        <v>交通便捷度</v>
      </c>
      <c r="AA23" s="1575">
        <f t="shared" si="3"/>
        <v>1</v>
      </c>
      <c r="AB23" s="1575">
        <f t="shared" si="4"/>
        <v>1</v>
      </c>
      <c r="AC23" s="1575">
        <f t="shared" si="5"/>
        <v>1</v>
      </c>
    </row>
    <row r="24" spans="1:29" ht="20.25">
      <c r="A24" s="531"/>
      <c r="B24" s="577"/>
      <c r="C24" s="553" t="s">
        <v>3269</v>
      </c>
      <c r="D24" s="556"/>
      <c r="E24" s="553" t="s">
        <v>3269</v>
      </c>
      <c r="F24" s="554"/>
      <c r="G24" s="553" t="s">
        <v>3269</v>
      </c>
      <c r="H24" s="554"/>
      <c r="I24" s="553" t="s">
        <v>3269</v>
      </c>
      <c r="J24" s="554"/>
      <c r="K24" s="530"/>
      <c r="L24" s="2142"/>
      <c r="M24" s="2132"/>
      <c r="N24" s="2132"/>
      <c r="O24" s="2141"/>
      <c r="P24" s="3396"/>
      <c r="Q24" s="1571"/>
      <c r="R24" s="1572"/>
      <c r="S24" s="1573"/>
      <c r="T24" s="1572"/>
      <c r="U24" s="1573"/>
      <c r="V24" s="1572"/>
      <c r="W24" s="1573"/>
      <c r="X24" s="1566"/>
      <c r="Y24" s="3396"/>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96"/>
      <c r="Q25" s="1571" t="str">
        <f t="shared" ref="Q25:Q39" si="8">B25</f>
        <v>区域土地利用方向</v>
      </c>
      <c r="R25" s="1572" t="s">
        <v>8</v>
      </c>
      <c r="S25" s="1573">
        <f>F25</f>
        <v>100</v>
      </c>
      <c r="T25" s="1572" t="s">
        <v>8</v>
      </c>
      <c r="U25" s="1573">
        <f>H25</f>
        <v>100</v>
      </c>
      <c r="V25" s="1572" t="s">
        <v>8</v>
      </c>
      <c r="W25" s="1573">
        <f>J25</f>
        <v>100</v>
      </c>
      <c r="X25" s="1566"/>
      <c r="Y25" s="3396"/>
      <c r="Z25" s="1574" t="str">
        <f>Q25</f>
        <v>区域土地利用方向</v>
      </c>
      <c r="AA25" s="1575">
        <f t="shared" si="3"/>
        <v>1</v>
      </c>
      <c r="AB25" s="1575">
        <f t="shared" si="4"/>
        <v>1</v>
      </c>
      <c r="AC25" s="1575">
        <f t="shared" si="5"/>
        <v>1</v>
      </c>
    </row>
    <row r="26" spans="1:29" ht="20.25">
      <c r="A26" s="514"/>
      <c r="B26" s="1006"/>
      <c r="C26" s="553" t="s">
        <v>3264</v>
      </c>
      <c r="D26" s="556"/>
      <c r="E26" s="553" t="s">
        <v>3264</v>
      </c>
      <c r="F26" s="554"/>
      <c r="G26" s="553" t="s">
        <v>3264</v>
      </c>
      <c r="H26" s="554"/>
      <c r="I26" s="553" t="s">
        <v>3264</v>
      </c>
      <c r="J26" s="554"/>
      <c r="K26" s="530"/>
      <c r="L26" s="2142"/>
      <c r="M26" s="2132"/>
      <c r="N26" s="2132"/>
      <c r="O26" s="2141"/>
      <c r="P26" s="3396"/>
      <c r="Q26" s="1571"/>
      <c r="R26" s="1572"/>
      <c r="S26" s="1573"/>
      <c r="T26" s="1572"/>
      <c r="U26" s="1573"/>
      <c r="V26" s="1572"/>
      <c r="W26" s="1573"/>
      <c r="X26" s="1566"/>
      <c r="Y26" s="3396"/>
      <c r="Z26" s="1574"/>
      <c r="AA26" s="1575"/>
      <c r="AB26" s="1575"/>
      <c r="AC26" s="1575"/>
    </row>
    <row r="27" spans="1:29" ht="27">
      <c r="A27" s="514"/>
      <c r="B27" s="577" t="s">
        <v>545</v>
      </c>
      <c r="C27" s="560" t="str">
        <f>估价对象房地状况!C20</f>
        <v>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396"/>
      <c r="Q27" s="1571" t="str">
        <f t="shared" si="8"/>
        <v>自然及人文环境状况</v>
      </c>
      <c r="R27" s="1572" t="s">
        <v>8</v>
      </c>
      <c r="S27" s="1573">
        <f>F27</f>
        <v>100</v>
      </c>
      <c r="T27" s="1572" t="s">
        <v>8</v>
      </c>
      <c r="U27" s="1573">
        <f>H27</f>
        <v>100</v>
      </c>
      <c r="V27" s="1572" t="s">
        <v>8</v>
      </c>
      <c r="W27" s="1573">
        <f>J27</f>
        <v>100</v>
      </c>
      <c r="X27" s="1566"/>
      <c r="Y27" s="3396"/>
      <c r="Z27" s="1574" t="str">
        <f>Q27</f>
        <v>自然及人文环境状况</v>
      </c>
      <c r="AA27" s="1575">
        <f t="shared" si="3"/>
        <v>1</v>
      </c>
      <c r="AB27" s="1575">
        <f t="shared" si="4"/>
        <v>1</v>
      </c>
      <c r="AC27" s="1575">
        <f t="shared" si="5"/>
        <v>1</v>
      </c>
    </row>
    <row r="28" spans="1:29" ht="20.25">
      <c r="A28" s="514"/>
      <c r="B28" s="565"/>
      <c r="C28" s="553" t="s">
        <v>3264</v>
      </c>
      <c r="D28" s="556"/>
      <c r="E28" s="553" t="s">
        <v>3264</v>
      </c>
      <c r="F28" s="554"/>
      <c r="G28" s="553" t="s">
        <v>3264</v>
      </c>
      <c r="H28" s="554"/>
      <c r="I28" s="553" t="s">
        <v>3264</v>
      </c>
      <c r="J28" s="554"/>
      <c r="K28" s="530"/>
      <c r="L28" s="2142"/>
      <c r="M28" s="2132"/>
      <c r="N28" s="2132"/>
      <c r="O28" s="2141"/>
      <c r="P28" s="3396"/>
      <c r="Q28" s="1571"/>
      <c r="R28" s="1572"/>
      <c r="S28" s="1573"/>
      <c r="T28" s="1572"/>
      <c r="U28" s="1573"/>
      <c r="V28" s="1572"/>
      <c r="W28" s="1573"/>
      <c r="X28" s="1566"/>
      <c r="Y28" s="3396"/>
      <c r="Z28" s="1574"/>
      <c r="AA28" s="1575">
        <v>1</v>
      </c>
      <c r="AB28" s="1575">
        <v>1</v>
      </c>
      <c r="AC28" s="1575">
        <v>1</v>
      </c>
    </row>
    <row r="29" spans="1:29" s="1219" customFormat="1" ht="20.25">
      <c r="A29" s="576"/>
      <c r="B29" s="2591" t="s">
        <v>2549</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396"/>
      <c r="Q29" s="1150" t="str">
        <f t="shared" si="8"/>
        <v>公共配套设施</v>
      </c>
      <c r="R29" s="1567" t="s">
        <v>8</v>
      </c>
      <c r="S29" s="1568">
        <f>F29</f>
        <v>100</v>
      </c>
      <c r="T29" s="1567" t="s">
        <v>8</v>
      </c>
      <c r="U29" s="1568">
        <f>H29</f>
        <v>100</v>
      </c>
      <c r="V29" s="1567" t="s">
        <v>8</v>
      </c>
      <c r="W29" s="1568">
        <f>J29</f>
        <v>100</v>
      </c>
      <c r="X29" s="1569"/>
      <c r="Y29" s="3396"/>
      <c r="Z29" s="1149" t="str">
        <f>Q29</f>
        <v>公共配套设施</v>
      </c>
      <c r="AA29" s="1575">
        <f>D29/F29</f>
        <v>1</v>
      </c>
      <c r="AB29" s="1575">
        <f>D29/H29</f>
        <v>1</v>
      </c>
      <c r="AC29" s="1575">
        <f>D29/J29</f>
        <v>1</v>
      </c>
    </row>
    <row r="30" spans="1:29" s="1219" customFormat="1" ht="20.25">
      <c r="A30" s="576"/>
      <c r="B30" s="565"/>
      <c r="C30" s="578" t="s">
        <v>3264</v>
      </c>
      <c r="D30" s="556"/>
      <c r="E30" s="578" t="s">
        <v>3264</v>
      </c>
      <c r="F30" s="554"/>
      <c r="G30" s="578" t="s">
        <v>3264</v>
      </c>
      <c r="H30" s="554"/>
      <c r="I30" s="578" t="s">
        <v>3264</v>
      </c>
      <c r="J30" s="554"/>
      <c r="K30" s="530"/>
      <c r="L30" s="2135"/>
      <c r="M30" s="2132"/>
      <c r="N30" s="2132"/>
      <c r="O30" s="2137"/>
      <c r="P30" s="3396"/>
      <c r="Q30" s="1150"/>
      <c r="R30" s="1567"/>
      <c r="S30" s="1568"/>
      <c r="T30" s="1567"/>
      <c r="U30" s="1568"/>
      <c r="V30" s="1567"/>
      <c r="W30" s="1568"/>
      <c r="X30" s="1569"/>
      <c r="Y30" s="3396"/>
      <c r="Z30" s="1149"/>
      <c r="AA30" s="1575">
        <v>1</v>
      </c>
      <c r="AB30" s="1575">
        <v>1</v>
      </c>
      <c r="AC30" s="1575">
        <v>1</v>
      </c>
    </row>
    <row r="31" spans="1:29" s="1219" customFormat="1" ht="20.25">
      <c r="A31" s="576"/>
      <c r="B31" s="2591"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96"/>
      <c r="Q31" s="2578" t="str">
        <f t="shared" ref="Q31" si="9">B31</f>
        <v>基础设施水平</v>
      </c>
      <c r="R31" s="1567" t="s">
        <v>8</v>
      </c>
      <c r="S31" s="1568">
        <f>F31</f>
        <v>100</v>
      </c>
      <c r="T31" s="1567" t="s">
        <v>8</v>
      </c>
      <c r="U31" s="1568">
        <f>H31</f>
        <v>100</v>
      </c>
      <c r="V31" s="1567" t="s">
        <v>8</v>
      </c>
      <c r="W31" s="1568">
        <f>J31</f>
        <v>100</v>
      </c>
      <c r="X31" s="1569"/>
      <c r="Y31" s="3396"/>
      <c r="Z31" s="2575" t="str">
        <f>Q31</f>
        <v>基础设施水平</v>
      </c>
      <c r="AA31" s="1575">
        <f>D31/F31</f>
        <v>1</v>
      </c>
      <c r="AB31" s="1575">
        <f>D31/H31</f>
        <v>1</v>
      </c>
      <c r="AC31" s="1575">
        <f>D31/J31</f>
        <v>1</v>
      </c>
    </row>
    <row r="32" spans="1:29" s="1219" customFormat="1" ht="20.25">
      <c r="A32" s="576"/>
      <c r="B32" s="565"/>
      <c r="C32" s="578" t="s">
        <v>3271</v>
      </c>
      <c r="D32" s="556"/>
      <c r="E32" s="578" t="s">
        <v>3271</v>
      </c>
      <c r="F32" s="554"/>
      <c r="G32" s="578" t="s">
        <v>3271</v>
      </c>
      <c r="H32" s="554"/>
      <c r="I32" s="578" t="s">
        <v>3271</v>
      </c>
      <c r="J32" s="554"/>
      <c r="K32" s="530"/>
      <c r="L32" s="2135"/>
      <c r="M32" s="2132"/>
      <c r="N32" s="2132"/>
      <c r="O32" s="2137"/>
      <c r="P32" s="3396"/>
      <c r="Q32" s="2578"/>
      <c r="R32" s="1567"/>
      <c r="S32" s="1568"/>
      <c r="T32" s="1567"/>
      <c r="U32" s="1568"/>
      <c r="V32" s="1567"/>
      <c r="W32" s="1568"/>
      <c r="X32" s="1569"/>
      <c r="Y32" s="3396"/>
      <c r="Z32" s="2575"/>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2"/>
      <c r="M33" s="2132"/>
      <c r="N33" s="2132"/>
      <c r="O33" s="2141"/>
      <c r="P33" s="339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6"/>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396"/>
      <c r="Q34" s="1571" t="str">
        <f t="shared" si="8"/>
        <v>毗邻道路的类型与等级</v>
      </c>
      <c r="R34" s="1572" t="s">
        <v>8</v>
      </c>
      <c r="S34" s="1573">
        <f t="shared" si="10"/>
        <v>100</v>
      </c>
      <c r="T34" s="1572" t="s">
        <v>8</v>
      </c>
      <c r="U34" s="1573">
        <f t="shared" si="11"/>
        <v>100</v>
      </c>
      <c r="V34" s="1572" t="s">
        <v>8</v>
      </c>
      <c r="W34" s="1573">
        <f t="shared" si="12"/>
        <v>100</v>
      </c>
      <c r="X34" s="1566"/>
      <c r="Y34" s="3396"/>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396"/>
      <c r="Q35" s="1571"/>
      <c r="R35" s="1572"/>
      <c r="S35" s="1573"/>
      <c r="T35" s="1572"/>
      <c r="U35" s="1573"/>
      <c r="V35" s="1572"/>
      <c r="W35" s="1573"/>
      <c r="X35" s="1566"/>
      <c r="Y35" s="3396"/>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96"/>
      <c r="Q36" s="1571" t="str">
        <f t="shared" si="8"/>
        <v>土地级别</v>
      </c>
      <c r="R36" s="1572" t="s">
        <v>8</v>
      </c>
      <c r="S36" s="1573">
        <f t="shared" si="10"/>
        <v>100</v>
      </c>
      <c r="T36" s="1572" t="s">
        <v>8</v>
      </c>
      <c r="U36" s="1573">
        <f t="shared" si="11"/>
        <v>100</v>
      </c>
      <c r="V36" s="1572" t="s">
        <v>8</v>
      </c>
      <c r="W36" s="1573">
        <f t="shared" si="12"/>
        <v>100</v>
      </c>
      <c r="X36" s="1566"/>
      <c r="Y36" s="3396"/>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96"/>
      <c r="Q37" s="1571">
        <f t="shared" si="8"/>
        <v>111</v>
      </c>
      <c r="R37" s="1572" t="s">
        <v>8</v>
      </c>
      <c r="S37" s="1573">
        <f t="shared" si="10"/>
        <v>100</v>
      </c>
      <c r="T37" s="1572" t="s">
        <v>8</v>
      </c>
      <c r="U37" s="1573">
        <f t="shared" si="11"/>
        <v>100</v>
      </c>
      <c r="V37" s="1572" t="s">
        <v>8</v>
      </c>
      <c r="W37" s="1573">
        <f t="shared" si="12"/>
        <v>100</v>
      </c>
      <c r="X37" s="1566"/>
      <c r="Y37" s="3396"/>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97" t="s">
        <v>550</v>
      </c>
      <c r="Q38" s="1571">
        <f t="shared" si="8"/>
        <v>111</v>
      </c>
      <c r="R38" s="1572" t="s">
        <v>8</v>
      </c>
      <c r="S38" s="1573">
        <f t="shared" si="10"/>
        <v>100</v>
      </c>
      <c r="T38" s="1572" t="s">
        <v>8</v>
      </c>
      <c r="U38" s="1573">
        <f t="shared" si="11"/>
        <v>100</v>
      </c>
      <c r="V38" s="1572" t="s">
        <v>8</v>
      </c>
      <c r="W38" s="1573">
        <f t="shared" si="12"/>
        <v>100</v>
      </c>
      <c r="X38" s="1566"/>
      <c r="Y38" s="3398"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98"/>
      <c r="Q39" s="1571">
        <f t="shared" si="8"/>
        <v>111</v>
      </c>
      <c r="R39" s="1576" t="s">
        <v>8</v>
      </c>
      <c r="S39" s="1577">
        <f t="shared" si="10"/>
        <v>100</v>
      </c>
      <c r="T39" s="1576" t="s">
        <v>8</v>
      </c>
      <c r="U39" s="1577">
        <f t="shared" si="11"/>
        <v>100</v>
      </c>
      <c r="V39" s="1576" t="s">
        <v>8</v>
      </c>
      <c r="W39" s="1577">
        <f t="shared" si="12"/>
        <v>100</v>
      </c>
      <c r="X39" s="1578"/>
      <c r="Y39" s="3398"/>
      <c r="Z39" s="1579">
        <f t="shared" si="13"/>
        <v>111</v>
      </c>
      <c r="AA39" s="1575">
        <f t="shared" si="3"/>
        <v>1</v>
      </c>
      <c r="AB39" s="1575">
        <f t="shared" si="4"/>
        <v>1</v>
      </c>
      <c r="AC39" s="1575">
        <f t="shared" si="5"/>
        <v>1</v>
      </c>
    </row>
    <row r="40" spans="1:29" ht="20.25">
      <c r="A40" s="2907" t="s">
        <v>2756</v>
      </c>
      <c r="B40" s="594" t="s">
        <v>552</v>
      </c>
      <c r="C40" s="595"/>
      <c r="D40" s="596">
        <v>100</v>
      </c>
      <c r="E40" s="595">
        <f>土地案例!J1</f>
        <v>51597</v>
      </c>
      <c r="F40" s="596">
        <f>LOOKUP(E40,119:119,120:120)-LOOKUP(C40,119:119,120:120)+100</f>
        <v>103</v>
      </c>
      <c r="G40" s="595">
        <f>土地案例!J2</f>
        <v>40843</v>
      </c>
      <c r="H40" s="596">
        <f>LOOKUP(G40,119:119,120:120)-LOOKUP(C40,119:119,120:120)+100</f>
        <v>103</v>
      </c>
      <c r="I40" s="597">
        <f>土地案例!J3</f>
        <v>110494</v>
      </c>
      <c r="J40" s="596">
        <f>LOOKUP(I40,119:119,120:120)-LOOKUP(C40,119:119,120:120)+100</f>
        <v>104</v>
      </c>
      <c r="K40" s="580"/>
      <c r="L40" s="2142"/>
      <c r="M40" s="2132"/>
      <c r="N40" s="2132"/>
      <c r="O40" s="2141"/>
      <c r="P40" s="3398"/>
      <c r="Q40" s="1571" t="str">
        <f>B40</f>
        <v>宗地面积</v>
      </c>
      <c r="R40" s="1572" t="s">
        <v>8</v>
      </c>
      <c r="S40" s="1573">
        <f t="shared" si="10"/>
        <v>103</v>
      </c>
      <c r="T40" s="1572" t="s">
        <v>8</v>
      </c>
      <c r="U40" s="1573">
        <f t="shared" si="11"/>
        <v>103</v>
      </c>
      <c r="V40" s="1572" t="s">
        <v>8</v>
      </c>
      <c r="W40" s="1573">
        <f t="shared" si="12"/>
        <v>104</v>
      </c>
      <c r="X40" s="1566"/>
      <c r="Y40" s="3398"/>
      <c r="Z40" s="1574" t="str">
        <f t="shared" si="13"/>
        <v>宗地面积</v>
      </c>
      <c r="AA40" s="1575">
        <f t="shared" si="3"/>
        <v>0.970873786407767</v>
      </c>
      <c r="AB40" s="1575">
        <f t="shared" si="4"/>
        <v>0.970873786407767</v>
      </c>
      <c r="AC40" s="1575">
        <f t="shared" si="5"/>
        <v>0.96153846153846156</v>
      </c>
    </row>
    <row r="41" spans="1:29" ht="20.25">
      <c r="A41" s="593"/>
      <c r="B41" s="526" t="s">
        <v>553</v>
      </c>
      <c r="C41" s="598" t="s">
        <v>3280</v>
      </c>
      <c r="D41" s="539">
        <v>100</v>
      </c>
      <c r="E41" s="598" t="s">
        <v>3280</v>
      </c>
      <c r="F41" s="539">
        <f>SUMIF(121:121,E41,122:122)-SUMIF(121:121,C41,122:122)+100</f>
        <v>100</v>
      </c>
      <c r="G41" s="598" t="s">
        <v>3280</v>
      </c>
      <c r="H41" s="539">
        <f>SUMIF(121:121,G41,122:122)-SUMIF(121:121,C41,122:122)+100</f>
        <v>100</v>
      </c>
      <c r="I41" s="598" t="s">
        <v>3280</v>
      </c>
      <c r="J41" s="539">
        <f>SUMIF(121:121,I41,122:122)-SUMIF(121:121,C41,122:122)+100</f>
        <v>100</v>
      </c>
      <c r="K41" s="583">
        <v>2</v>
      </c>
      <c r="L41" s="2142"/>
      <c r="M41" s="2132"/>
      <c r="N41" s="2132"/>
      <c r="O41" s="2141"/>
      <c r="P41" s="3398"/>
      <c r="Q41" s="1571" t="str">
        <f t="shared" ref="Q41:Q47" si="14">B41</f>
        <v>宗地形状</v>
      </c>
      <c r="R41" s="1572" t="s">
        <v>8</v>
      </c>
      <c r="S41" s="1573">
        <f t="shared" si="10"/>
        <v>100</v>
      </c>
      <c r="T41" s="1572" t="s">
        <v>8</v>
      </c>
      <c r="U41" s="1573">
        <f t="shared" si="11"/>
        <v>100</v>
      </c>
      <c r="V41" s="1572" t="s">
        <v>8</v>
      </c>
      <c r="W41" s="1573">
        <f t="shared" si="12"/>
        <v>100</v>
      </c>
      <c r="X41" s="1566"/>
      <c r="Y41" s="3398"/>
      <c r="Z41" s="1574" t="str">
        <f t="shared" si="13"/>
        <v>宗地形状</v>
      </c>
      <c r="AA41" s="1575">
        <f t="shared" si="3"/>
        <v>1</v>
      </c>
      <c r="AB41" s="1575">
        <f t="shared" si="4"/>
        <v>1</v>
      </c>
      <c r="AC41" s="1575">
        <f t="shared" si="5"/>
        <v>1</v>
      </c>
    </row>
    <row r="42" spans="1:29" ht="20.25">
      <c r="A42" s="593"/>
      <c r="B42" s="526" t="s">
        <v>554</v>
      </c>
      <c r="C42" s="598" t="s">
        <v>3285</v>
      </c>
      <c r="D42" s="539">
        <v>100</v>
      </c>
      <c r="E42" s="598" t="s">
        <v>3285</v>
      </c>
      <c r="F42" s="539">
        <f>SUMIF(123:123,E42,124:124)-SUMIF(123:123,C42,124:124)+100</f>
        <v>100</v>
      </c>
      <c r="G42" s="598" t="s">
        <v>3285</v>
      </c>
      <c r="H42" s="539">
        <f>SUMIF(123:123,G42,124:124)-SUMIF(123:123,C42,124:124)+100</f>
        <v>100</v>
      </c>
      <c r="I42" s="598" t="s">
        <v>3285</v>
      </c>
      <c r="J42" s="539">
        <f>SUMIF(123:123,I42,124:124)-SUMIF(123:123,C42,124:124)+100</f>
        <v>100</v>
      </c>
      <c r="K42" s="583">
        <v>2</v>
      </c>
      <c r="L42" s="2142"/>
      <c r="M42" s="2132"/>
      <c r="N42" s="2132"/>
      <c r="O42" s="2141"/>
      <c r="P42" s="3398"/>
      <c r="Q42" s="1571" t="str">
        <f t="shared" si="14"/>
        <v>临街宽度及深度</v>
      </c>
      <c r="R42" s="1572" t="s">
        <v>8</v>
      </c>
      <c r="S42" s="1573">
        <f t="shared" si="10"/>
        <v>100</v>
      </c>
      <c r="T42" s="1572" t="s">
        <v>8</v>
      </c>
      <c r="U42" s="1573">
        <f t="shared" si="11"/>
        <v>100</v>
      </c>
      <c r="V42" s="1572" t="s">
        <v>8</v>
      </c>
      <c r="W42" s="1573">
        <f t="shared" si="12"/>
        <v>100</v>
      </c>
      <c r="X42" s="1566"/>
      <c r="Y42" s="3398"/>
      <c r="Z42" s="1574" t="str">
        <f t="shared" si="13"/>
        <v>临街宽度及深度</v>
      </c>
      <c r="AA42" s="1575">
        <f t="shared" si="3"/>
        <v>1</v>
      </c>
      <c r="AB42" s="1575">
        <f t="shared" si="4"/>
        <v>1</v>
      </c>
      <c r="AC42" s="1575">
        <f t="shared" si="5"/>
        <v>1</v>
      </c>
    </row>
    <row r="43" spans="1:29" s="1219" customFormat="1" ht="20.25">
      <c r="A43" s="599"/>
      <c r="B43" s="1895" t="s">
        <v>2425</v>
      </c>
      <c r="C43" s="3187" t="s">
        <v>3290</v>
      </c>
      <c r="D43" s="254">
        <v>100</v>
      </c>
      <c r="E43" s="600" t="s">
        <v>3290</v>
      </c>
      <c r="F43" s="539">
        <f>SUMIF(125:125,E43,126:126)-SUMIF(125:125,C43,126:126)+100</f>
        <v>100</v>
      </c>
      <c r="G43" s="600" t="s">
        <v>3290</v>
      </c>
      <c r="H43" s="539">
        <f>SUMIF(125:125,G43,126:126)-SUMIF(125:125,C43,126:126)+100</f>
        <v>100</v>
      </c>
      <c r="I43" s="600" t="s">
        <v>3290</v>
      </c>
      <c r="J43" s="539">
        <f>SUMIF(125:125,I43,126:126)-SUMIF(125:125,C43,126:126)+100</f>
        <v>100</v>
      </c>
      <c r="K43" s="583">
        <v>1</v>
      </c>
      <c r="L43" s="2135"/>
      <c r="M43" s="2132"/>
      <c r="N43" s="2132"/>
      <c r="O43" s="2137"/>
      <c r="P43" s="3398"/>
      <c r="Q43" s="1571" t="str">
        <f t="shared" si="14"/>
        <v>宗地开发程度</v>
      </c>
      <c r="R43" s="1567" t="s">
        <v>8</v>
      </c>
      <c r="S43" s="1568">
        <f t="shared" si="10"/>
        <v>100</v>
      </c>
      <c r="T43" s="1567" t="s">
        <v>8</v>
      </c>
      <c r="U43" s="1568">
        <f t="shared" si="11"/>
        <v>100</v>
      </c>
      <c r="V43" s="1567" t="s">
        <v>8</v>
      </c>
      <c r="W43" s="1568">
        <f t="shared" si="12"/>
        <v>100</v>
      </c>
      <c r="X43" s="1569"/>
      <c r="Y43" s="3398"/>
      <c r="Z43" s="1149" t="str">
        <f t="shared" si="13"/>
        <v>宗地开发程度</v>
      </c>
      <c r="AA43" s="1570">
        <f t="shared" si="3"/>
        <v>1</v>
      </c>
      <c r="AB43" s="1570">
        <f t="shared" si="4"/>
        <v>1</v>
      </c>
      <c r="AC43" s="1570">
        <f t="shared" si="5"/>
        <v>1</v>
      </c>
    </row>
    <row r="44" spans="1:29" ht="21" thickBot="1">
      <c r="A44" s="593"/>
      <c r="B44" s="526" t="s">
        <v>555</v>
      </c>
      <c r="C44" s="598" t="s">
        <v>3264</v>
      </c>
      <c r="D44" s="539">
        <v>100</v>
      </c>
      <c r="E44" s="598" t="s">
        <v>3264</v>
      </c>
      <c r="F44" s="539">
        <f>SUMIF(127:127,E44,128:128)-SUMIF(127:127,C44,128:128)+100</f>
        <v>100</v>
      </c>
      <c r="G44" s="598" t="s">
        <v>3264</v>
      </c>
      <c r="H44" s="539">
        <f>SUMIF(127:127,G44,128:128)-SUMIF(127:127,C44,128:128)+100</f>
        <v>100</v>
      </c>
      <c r="I44" s="598" t="s">
        <v>3264</v>
      </c>
      <c r="J44" s="539">
        <f>SUMIF(127:127,I44,128:128)-SUMIF(127:127,C44,128:128)+100</f>
        <v>100</v>
      </c>
      <c r="K44" s="583">
        <v>2</v>
      </c>
      <c r="L44" s="2142"/>
      <c r="M44" s="2132"/>
      <c r="N44" s="2132"/>
      <c r="O44" s="2141"/>
      <c r="P44" s="3398" t="s">
        <v>550</v>
      </c>
      <c r="Q44" s="1571" t="str">
        <f t="shared" si="14"/>
        <v>工程地质条件</v>
      </c>
      <c r="R44" s="1572" t="s">
        <v>8</v>
      </c>
      <c r="S44" s="1573">
        <f t="shared" si="10"/>
        <v>100</v>
      </c>
      <c r="T44" s="1572" t="s">
        <v>8</v>
      </c>
      <c r="U44" s="1573">
        <f t="shared" si="11"/>
        <v>100</v>
      </c>
      <c r="V44" s="1572" t="s">
        <v>8</v>
      </c>
      <c r="W44" s="1573">
        <f t="shared" si="12"/>
        <v>100</v>
      </c>
      <c r="X44" s="1566"/>
      <c r="Y44" s="3398"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98"/>
      <c r="Q45" s="1571">
        <f t="shared" si="14"/>
        <v>111</v>
      </c>
      <c r="R45" s="1572" t="s">
        <v>8</v>
      </c>
      <c r="S45" s="1573">
        <f t="shared" si="10"/>
        <v>100</v>
      </c>
      <c r="T45" s="1572" t="s">
        <v>8</v>
      </c>
      <c r="U45" s="1573">
        <f t="shared" si="11"/>
        <v>100</v>
      </c>
      <c r="V45" s="1572" t="s">
        <v>8</v>
      </c>
      <c r="W45" s="1573">
        <f t="shared" si="12"/>
        <v>100</v>
      </c>
      <c r="X45" s="1566"/>
      <c r="Y45" s="3398"/>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98"/>
      <c r="Q46" s="1571">
        <f t="shared" si="14"/>
        <v>111</v>
      </c>
      <c r="R46" s="1572" t="s">
        <v>8</v>
      </c>
      <c r="S46" s="1573">
        <f t="shared" si="10"/>
        <v>100</v>
      </c>
      <c r="T46" s="1572" t="s">
        <v>8</v>
      </c>
      <c r="U46" s="1573">
        <f t="shared" si="11"/>
        <v>100</v>
      </c>
      <c r="V46" s="1572" t="s">
        <v>8</v>
      </c>
      <c r="W46" s="1573">
        <f t="shared" si="12"/>
        <v>100</v>
      </c>
      <c r="X46" s="1566"/>
      <c r="Y46" s="3398"/>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98"/>
      <c r="Q47" s="1571">
        <f t="shared" si="14"/>
        <v>111</v>
      </c>
      <c r="R47" s="1576" t="s">
        <v>8</v>
      </c>
      <c r="S47" s="1577">
        <f t="shared" si="10"/>
        <v>100</v>
      </c>
      <c r="T47" s="1576" t="s">
        <v>8</v>
      </c>
      <c r="U47" s="1577">
        <f t="shared" si="11"/>
        <v>100</v>
      </c>
      <c r="V47" s="1576" t="s">
        <v>8</v>
      </c>
      <c r="W47" s="1577">
        <f t="shared" si="12"/>
        <v>100</v>
      </c>
      <c r="X47" s="1578"/>
      <c r="Y47" s="3398"/>
      <c r="Z47" s="1579">
        <f t="shared" si="13"/>
        <v>111</v>
      </c>
      <c r="AA47" s="1575">
        <f t="shared" si="3"/>
        <v>1</v>
      </c>
      <c r="AB47" s="1575">
        <f t="shared" si="4"/>
        <v>1</v>
      </c>
      <c r="AC47" s="1575">
        <f t="shared" si="5"/>
        <v>1</v>
      </c>
    </row>
    <row r="48" spans="1:29" ht="20.25">
      <c r="A48" s="606" t="s">
        <v>556</v>
      </c>
      <c r="B48" s="607" t="s">
        <v>3341</v>
      </c>
      <c r="C48" s="608" t="s">
        <v>1</v>
      </c>
      <c r="D48" s="609"/>
      <c r="E48" s="610">
        <f>ROUND(土地案例!AK1,0)</f>
        <v>7478</v>
      </c>
      <c r="F48" s="611"/>
      <c r="G48" s="612">
        <f>ROUND(土地案例!AK2,0)</f>
        <v>8118</v>
      </c>
      <c r="H48" s="613"/>
      <c r="I48" s="610">
        <f>ROUND(土地案例!AK3,0)</f>
        <v>7572</v>
      </c>
      <c r="J48" s="613"/>
      <c r="K48" s="1339"/>
      <c r="L48" s="2144"/>
      <c r="M48" s="2132"/>
      <c r="N48" s="2132"/>
      <c r="O48" s="2145"/>
      <c r="P48" s="3361" t="str">
        <f>A48</f>
        <v>成交单价</v>
      </c>
      <c r="Q48" s="3361"/>
      <c r="R48" s="3362">
        <f>E48</f>
        <v>7478</v>
      </c>
      <c r="S48" s="3362"/>
      <c r="T48" s="3362">
        <f>G48</f>
        <v>8118</v>
      </c>
      <c r="U48" s="3362"/>
      <c r="V48" s="3362">
        <f>I48</f>
        <v>7572</v>
      </c>
      <c r="W48" s="3362"/>
      <c r="X48" s="1558"/>
      <c r="Y48" s="1580"/>
      <c r="Z48" s="1558"/>
      <c r="AA48" s="1558"/>
      <c r="AB48" s="1558"/>
      <c r="AC48" s="1558"/>
    </row>
    <row r="49" spans="1:29" ht="21" thickBot="1">
      <c r="A49" s="614" t="s">
        <v>2694</v>
      </c>
      <c r="B49" s="615"/>
      <c r="C49" s="616">
        <f>R50</f>
        <v>6717</v>
      </c>
      <c r="D49" s="617"/>
      <c r="E49" s="616">
        <f>R49</f>
        <v>6569</v>
      </c>
      <c r="F49" s="618"/>
      <c r="G49" s="619">
        <f>T49</f>
        <v>6994</v>
      </c>
      <c r="H49" s="617"/>
      <c r="I49" s="616">
        <f>V49</f>
        <v>6588</v>
      </c>
      <c r="J49" s="617"/>
      <c r="K49" s="1340"/>
      <c r="L49" s="2144"/>
      <c r="M49" s="2132"/>
      <c r="N49" s="2132"/>
      <c r="O49" s="2145"/>
      <c r="P49" s="3361" t="str">
        <f>A49</f>
        <v>比较价格（元/平方米）</v>
      </c>
      <c r="Q49" s="3361"/>
      <c r="R49" s="3363">
        <f>ROUND(PRODUCT(R48,AA9:AA47),0)</f>
        <v>6569</v>
      </c>
      <c r="S49" s="3363"/>
      <c r="T49" s="3363">
        <f>ROUND(PRODUCT(T48,AB9:AB47),0)</f>
        <v>6994</v>
      </c>
      <c r="U49" s="3363"/>
      <c r="V49" s="3363">
        <f>ROUND(PRODUCT(V48,AC9:AC47),0)</f>
        <v>6588</v>
      </c>
      <c r="W49" s="3363"/>
      <c r="X49" s="1558"/>
      <c r="Y49" s="1558"/>
      <c r="Z49" s="1558"/>
      <c r="AA49" s="1558"/>
      <c r="AB49" s="1558"/>
      <c r="AC49" s="1558"/>
    </row>
    <row r="50" spans="1:29" ht="21" thickBot="1">
      <c r="A50" s="620" t="s">
        <v>2926</v>
      </c>
      <c r="B50" s="621"/>
      <c r="C50" s="622">
        <f>R50</f>
        <v>6717</v>
      </c>
      <c r="D50" s="622"/>
      <c r="E50" s="622"/>
      <c r="F50" s="622"/>
      <c r="G50" s="622"/>
      <c r="H50" s="622"/>
      <c r="I50" s="622"/>
      <c r="J50" s="622"/>
      <c r="K50" s="1341"/>
      <c r="L50" s="2144"/>
      <c r="M50" s="2132"/>
      <c r="N50" s="2132"/>
      <c r="O50" s="2145"/>
      <c r="P50" s="3358" t="str">
        <f>A50</f>
        <v>估价对象XX用房的比较价格（楼面单价，元/平方米）</v>
      </c>
      <c r="Q50" s="3359"/>
      <c r="R50" s="3360">
        <f>ROUND(AVERAGE(R49:V49),0)</f>
        <v>6717</v>
      </c>
      <c r="S50" s="3360"/>
      <c r="T50" s="3360"/>
      <c r="U50" s="3360"/>
      <c r="V50" s="3360"/>
      <c r="W50" s="336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0.1383772263662657</v>
      </c>
      <c r="F53" s="626" t="str">
        <f>IF(OR(E53&gt;=0.3,E53&lt;=-0.3),"超过30%","")</f>
        <v/>
      </c>
      <c r="G53" s="625">
        <f>IF(G48&lt;G49,G49/G48-1,G48/G49-1)</f>
        <v>0.16070917929653983</v>
      </c>
      <c r="H53" s="626" t="str">
        <f>IF(OR(G53&gt;=0.3,G53&lt;=-0.3),"超过30%","")</f>
        <v/>
      </c>
      <c r="I53" s="625">
        <f>IF(I48&lt;I49,I49/I48-1,I48/I49-1)</f>
        <v>0.14936247723132978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6.469782310854022E-2</v>
      </c>
      <c r="F54" s="626" t="str">
        <f>IF(OR(E54&gt;=0.2,E54&lt;=-0.2),"超过20%","")</f>
        <v/>
      </c>
      <c r="G54" s="625">
        <f>IF(G49&lt;I49,I49/G49-1,G49/I49-1)</f>
        <v>6.1627200971463347E-2</v>
      </c>
      <c r="H54" s="626" t="str">
        <f>IF(OR(G54&gt;=0.2,G54&lt;=-0.2),"超过20%","")</f>
        <v/>
      </c>
      <c r="I54" s="625">
        <f>IF(I49&lt;E49,E49/I49-1,I49/E49-1)</f>
        <v>2.8923732683818759E-3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8.5584380850494801E-2</v>
      </c>
      <c r="F55" s="626" t="str">
        <f>IF(OR(E55&gt;=0.3,E55&lt;=-0.3),"超过30%","")</f>
        <v/>
      </c>
      <c r="G55" s="625">
        <f>IF(G48&lt;I48,I48/G48-1,G48/I48-1)</f>
        <v>7.2107765451663974E-2</v>
      </c>
      <c r="H55" s="626" t="str">
        <f>IF(OR(G55&gt;=0.3,G55&lt;=-0.3),"超过30%","")</f>
        <v/>
      </c>
      <c r="I55" s="625">
        <f>IF(I48&lt;E48,E48/I48-1,I48/E48-1)</f>
        <v>1.2570205937416423E-2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2295</v>
      </c>
      <c r="E57" s="630" t="s">
        <v>562</v>
      </c>
      <c r="F57" s="631" t="s">
        <v>563</v>
      </c>
      <c r="G57" s="3387" t="s">
        <v>2283</v>
      </c>
      <c r="H57" s="3388"/>
      <c r="I57" s="1554" t="s">
        <v>1723</v>
      </c>
      <c r="J57" s="1554" t="str">
        <f>项目基本情况!F41</f>
        <v>山东省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6717</v>
      </c>
      <c r="C58" s="634">
        <v>1</v>
      </c>
      <c r="D58" s="2228">
        <v>1</v>
      </c>
      <c r="E58" s="634">
        <f>'数据-汇总表'!E8+'数据-汇总表'!E9</f>
        <v>71791.53</v>
      </c>
      <c r="F58" s="635">
        <f t="shared" ref="F58:F67" si="15">ROUND(B58*E58/10000,0)</f>
        <v>48222</v>
      </c>
      <c r="G58" s="3389"/>
      <c r="H58" s="339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391"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39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39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39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21263.27</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93054.8</v>
      </c>
      <c r="F68" s="643">
        <f>IF(B48="楼面地价",SUM(F58:F67),ROUND(C50*E68/10000,0))</f>
        <v>48222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2648</v>
      </c>
      <c r="B73" s="478" t="str">
        <f>"北京市平均增长率"&amp;TEXT(SUMIF(基准地价!N21:N25,A73,基准地价!P21:P25),"0.00%")</f>
        <v>北京市平均增长率2.23%</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0" t="s">
        <v>3263</v>
      </c>
      <c r="D77" s="3180" t="s">
        <v>3331</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5" t="s">
        <v>3342</v>
      </c>
      <c r="D84" s="1374" t="s">
        <v>3343</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90</v>
      </c>
      <c r="D85" s="670">
        <v>100</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85" t="s">
        <v>3274</v>
      </c>
      <c r="D108" s="3185" t="s">
        <v>3275</v>
      </c>
      <c r="E108" s="3185" t="s">
        <v>3276</v>
      </c>
      <c r="F108" s="3185" t="s">
        <v>3277</v>
      </c>
      <c r="G108" s="3185" t="s">
        <v>3278</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0(含)-10000</v>
      </c>
      <c r="D118" s="703" t="str">
        <f t="shared" si="26"/>
        <v>10000(含)-20000</v>
      </c>
      <c r="E118" s="703" t="str">
        <f t="shared" si="26"/>
        <v>20000(含)-40000</v>
      </c>
      <c r="F118" s="703" t="str">
        <f t="shared" si="26"/>
        <v>40000(含)-80000</v>
      </c>
      <c r="G118" s="703" t="str">
        <f t="shared" si="26"/>
        <v>80000(含)-160000</v>
      </c>
      <c r="H118" s="703" t="str">
        <f t="shared" si="26"/>
        <v>160000(含)-320000</v>
      </c>
      <c r="I118" s="703" t="str">
        <f t="shared" si="26"/>
        <v>320000(含)-640000</v>
      </c>
      <c r="J118" s="3090" t="str">
        <f t="shared" si="26"/>
        <v>640000(含)-1280000</v>
      </c>
      <c r="K118" s="3090" t="str">
        <f t="shared" si="26"/>
        <v>1280000(含)-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v>
      </c>
      <c r="E119" s="729">
        <v>20000</v>
      </c>
      <c r="F119" s="729">
        <v>40000</v>
      </c>
      <c r="G119" s="729">
        <v>80000</v>
      </c>
      <c r="H119" s="729">
        <v>160000</v>
      </c>
      <c r="I119" s="729">
        <v>320000</v>
      </c>
      <c r="J119" s="2367">
        <v>640000</v>
      </c>
      <c r="K119" s="2367">
        <v>1280000</v>
      </c>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 t="shared" ref="E120:K120" si="27">D120+1</f>
        <v>102</v>
      </c>
      <c r="F120" s="725">
        <f t="shared" si="27"/>
        <v>103</v>
      </c>
      <c r="G120" s="725">
        <f t="shared" si="27"/>
        <v>104</v>
      </c>
      <c r="H120" s="725">
        <f t="shared" si="27"/>
        <v>105</v>
      </c>
      <c r="I120" s="725">
        <f t="shared" si="27"/>
        <v>106</v>
      </c>
      <c r="J120" s="725">
        <f t="shared" si="27"/>
        <v>107</v>
      </c>
      <c r="K120" s="725">
        <f t="shared" si="27"/>
        <v>108</v>
      </c>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86" t="s">
        <v>3279</v>
      </c>
      <c r="D121" s="3186" t="s">
        <v>3281</v>
      </c>
      <c r="E121" s="3186" t="s">
        <v>3282</v>
      </c>
      <c r="F121" s="3186" t="s">
        <v>3283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85" t="s">
        <v>3284</v>
      </c>
      <c r="D123" s="3185" t="s">
        <v>3286</v>
      </c>
      <c r="E123" s="3185" t="s">
        <v>3287</v>
      </c>
      <c r="F123" s="3186" t="s">
        <v>3288</v>
      </c>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2426</v>
      </c>
      <c r="C125" s="1374" t="s">
        <v>3271</v>
      </c>
      <c r="D125" s="1374" t="s">
        <v>3289</v>
      </c>
      <c r="E125" s="1374" t="s">
        <v>3290</v>
      </c>
      <c r="F125" s="1374" t="s">
        <v>3291</v>
      </c>
      <c r="G125" s="1374" t="s">
        <v>3292</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3293</v>
      </c>
      <c r="D127" s="687" t="s">
        <v>3264</v>
      </c>
      <c r="E127" s="717" t="s">
        <v>3269</v>
      </c>
      <c r="F127" s="717" t="s">
        <v>3267</v>
      </c>
      <c r="G127" s="717" t="s">
        <v>3294</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9" sqref="F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10</v>
      </c>
    </row>
    <row r="2" spans="1:31" s="2041" customFormat="1" ht="18" customHeight="1">
      <c r="A2" s="2101" t="s">
        <v>467</v>
      </c>
      <c r="B2" s="2105">
        <f ca="1">C36</f>
        <v>57388</v>
      </c>
      <c r="C2" s="2104"/>
      <c r="D2" s="2104"/>
      <c r="E2" s="2104"/>
      <c r="F2" s="2104"/>
      <c r="G2" s="2104"/>
      <c r="H2" s="2104"/>
      <c r="I2" s="2104"/>
      <c r="J2" s="2104"/>
      <c r="K2" s="2104"/>
    </row>
    <row r="3" spans="1:31" s="2041" customFormat="1" ht="18" customHeight="1">
      <c r="A3" s="2106" t="s">
        <v>1685</v>
      </c>
      <c r="B3" s="2107">
        <f ca="1">ROUND(B2*10000/IF(B1="",'数据-汇总表'!E3,INDIRECT("'数据-取费表'!K"&amp;$K$1)),0)</f>
        <v>5933</v>
      </c>
      <c r="C3" s="2104"/>
      <c r="D3" s="2104"/>
      <c r="E3" s="2104"/>
      <c r="F3" s="2104"/>
      <c r="G3" s="2104"/>
      <c r="H3" s="2104"/>
      <c r="I3" s="2104"/>
      <c r="J3" s="2104"/>
      <c r="K3" s="2104"/>
    </row>
    <row r="4" spans="1:31" s="2041" customFormat="1" ht="18" customHeight="1">
      <c r="A4" s="425" t="s">
        <v>468</v>
      </c>
      <c r="B4" s="426">
        <f ca="1">ROUND(B2*10000/IF(B1="",'数据-汇总表'!D3,INDIRECT("'数据-取费表'!R"&amp;$K$1)),0)</f>
        <v>24937</v>
      </c>
      <c r="C4" s="427"/>
      <c r="D4" s="421"/>
      <c r="E4" s="421"/>
      <c r="F4" s="421"/>
      <c r="G4" s="421"/>
      <c r="H4" s="421"/>
      <c r="I4" s="421"/>
      <c r="J4" s="421"/>
      <c r="K4" s="421"/>
    </row>
    <row r="5" spans="1:31" s="2041" customFormat="1" ht="18" customHeight="1" thickBot="1">
      <c r="A5" s="428"/>
      <c r="B5" s="429">
        <f ca="1">ROUND(B2/(IF(B1="",'数据-汇总表'!D3,INDIRECT("'数据-取费表'!R"&amp;$K$1))/666.67),0)</f>
        <v>1662</v>
      </c>
      <c r="C5" s="430" t="s">
        <v>469</v>
      </c>
      <c r="D5" s="421"/>
      <c r="E5" s="421"/>
      <c r="F5" s="421"/>
      <c r="G5" s="421"/>
      <c r="H5" s="421"/>
      <c r="I5" s="421"/>
      <c r="J5" s="421"/>
      <c r="K5" s="421"/>
    </row>
    <row r="6" spans="1:31" s="2111" customFormat="1" ht="16.5" customHeight="1">
      <c r="A6" s="2828" t="s">
        <v>1843</v>
      </c>
      <c r="B6" s="2829"/>
      <c r="C6" s="2830">
        <f>SUM(C10:K10)</f>
        <v>115081</v>
      </c>
      <c r="D6" s="2829"/>
      <c r="E6" s="2829"/>
      <c r="F6" s="2829"/>
      <c r="G6" s="2829"/>
      <c r="H6" s="2829"/>
      <c r="I6" s="2829"/>
      <c r="J6" s="2829"/>
      <c r="K6" s="2831"/>
    </row>
    <row r="7" spans="1:31" s="2113" customFormat="1" ht="15">
      <c r="A7" s="2832" t="s">
        <v>470</v>
      </c>
      <c r="B7" s="2833" t="s">
        <v>471</v>
      </c>
      <c r="C7" s="435" t="s">
        <v>923</v>
      </c>
      <c r="D7" s="435" t="s">
        <v>3309</v>
      </c>
      <c r="E7" s="435" t="s">
        <v>3329</v>
      </c>
      <c r="F7" s="435" t="s">
        <v>1678</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34">
        <v>16000</v>
      </c>
      <c r="D8" s="2834">
        <v>25000</v>
      </c>
      <c r="E8" s="2834">
        <v>0</v>
      </c>
      <c r="F8" s="2834">
        <v>12500</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45617.71</v>
      </c>
      <c r="D9" s="440">
        <f>SUMIF('数据-汇总表'!$C19:$C33,'剩余法-待开发'!D7,'数据-汇总表'!$E19:$E33)</f>
        <v>7500.75</v>
      </c>
      <c r="E9" s="440">
        <f>SUMIF('数据-汇总表'!$C19:$C33,'剩余法-待开发'!E7,'数据-汇总表'!$E19:$E33)</f>
        <v>21263.27</v>
      </c>
      <c r="F9" s="440">
        <f>SUMIF('数据-汇总表'!$C19:$C33,'剩余法-待开发'!F7,'数据-汇总表'!$E19:$E33)</f>
        <v>18673.07</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ROUND(C8*C9/10000,0)</f>
        <v>72988</v>
      </c>
      <c r="D10" s="3028">
        <f>ROUND(D8*D9/10000,0)</f>
        <v>18752</v>
      </c>
      <c r="E10" s="3028">
        <v>0</v>
      </c>
      <c r="F10" s="3028">
        <f>ROUND(F8*F9/10000,0)</f>
        <v>23341</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49">
        <f ca="1">IF(B1="",'数据-取费表'!P16,INDIRECT("'数据-取费表'!p"&amp;$K$1)+INDIRECT("'数据-取费表'!t"&amp;$K$1))</f>
        <v>20982</v>
      </c>
      <c r="D13" s="2844"/>
      <c r="E13" s="2845"/>
      <c r="F13" s="2846"/>
      <c r="G13" s="2812"/>
      <c r="H13" s="2813"/>
      <c r="I13" s="2813"/>
      <c r="J13" s="2813"/>
      <c r="K13" s="2814"/>
    </row>
    <row r="14" spans="1:31" s="2116" customFormat="1" ht="13.5" customHeight="1">
      <c r="A14" s="2842" t="s">
        <v>1850</v>
      </c>
      <c r="B14" s="2843" t="s">
        <v>480</v>
      </c>
      <c r="C14" s="53">
        <f ca="1">ROUND(C13*F14,0)</f>
        <v>629</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456</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1935</v>
      </c>
      <c r="D16" s="2844">
        <f ca="1">IF(B1="",'数据-汇总表'!E3,INDIRECT("'数据-取费表'!K"&amp;$K$1)+INDIRECT("'数据-取费表'!S"&amp;$K$1))</f>
        <v>96730.640000000014</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315</v>
      </c>
      <c r="D17" s="474"/>
      <c r="E17" s="2848"/>
      <c r="F17" s="2849">
        <f>'数据-取费表'!B36</f>
        <v>1.4999999999999999E-2</v>
      </c>
      <c r="G17" s="260" t="s">
        <v>486</v>
      </c>
      <c r="H17" s="2815"/>
      <c r="I17" s="2815"/>
      <c r="J17" s="2815"/>
      <c r="K17" s="278"/>
    </row>
    <row r="18" spans="1:14" s="2116" customFormat="1" ht="13.5" customHeight="1">
      <c r="A18" s="2850" t="s">
        <v>1854</v>
      </c>
      <c r="B18" s="2851" t="s">
        <v>487</v>
      </c>
      <c r="C18" s="2852">
        <f ca="1">SUM(C13:C17)</f>
        <v>24317</v>
      </c>
      <c r="D18" s="2853"/>
      <c r="E18" s="467"/>
      <c r="F18" s="467"/>
      <c r="G18" s="2816" t="s">
        <v>2431</v>
      </c>
      <c r="H18" s="2817"/>
      <c r="I18" s="2817"/>
      <c r="J18" s="2817"/>
      <c r="K18" s="2818"/>
    </row>
    <row r="19" spans="1:14" s="2116" customFormat="1" ht="13.5" customHeight="1">
      <c r="A19" s="2850" t="s">
        <v>1855</v>
      </c>
      <c r="B19" s="2851" t="s">
        <v>488</v>
      </c>
      <c r="C19" s="2808">
        <f ca="1">ROUND(D19*E19/10000,0)</f>
        <v>484</v>
      </c>
      <c r="D19" s="2854">
        <f ca="1">D16</f>
        <v>96730.640000000014</v>
      </c>
      <c r="E19" s="2808">
        <f>'数据-取费表'!B32</f>
        <v>50</v>
      </c>
      <c r="F19" s="467"/>
      <c r="G19" s="2812" t="s">
        <v>489</v>
      </c>
      <c r="H19" s="2813"/>
      <c r="I19" s="2817"/>
      <c r="J19" s="2817"/>
      <c r="K19" s="2818"/>
    </row>
    <row r="20" spans="1:14" s="2116" customFormat="1" ht="13.5" customHeight="1">
      <c r="A20" s="2850" t="s">
        <v>1856</v>
      </c>
      <c r="B20" s="2851" t="s">
        <v>490</v>
      </c>
      <c r="C20" s="2808">
        <f ca="1">C21+C22-IF(B1="",'数据-取费表'!B29,IF(G20="已全部缴纳",C21+C22,H20))</f>
        <v>890</v>
      </c>
      <c r="D20" s="2854"/>
      <c r="E20" s="2808"/>
      <c r="F20" s="2855"/>
      <c r="G20" s="3086" t="s">
        <v>3338</v>
      </c>
      <c r="H20" s="2810">
        <v>0</v>
      </c>
      <c r="I20" s="2811" t="s">
        <v>2652</v>
      </c>
      <c r="J20" s="2817"/>
      <c r="K20" s="2818"/>
    </row>
    <row r="21" spans="1:14" s="2116" customFormat="1" ht="13.5" customHeight="1">
      <c r="A21" s="2842" t="s">
        <v>1857</v>
      </c>
      <c r="B21" s="2843" t="s">
        <v>491</v>
      </c>
      <c r="C21" s="53">
        <f ca="1">ROUND(D21*E21/10000,0)</f>
        <v>420</v>
      </c>
      <c r="D21" s="2844">
        <f ca="1">IF(B1="",'数据-汇总表'!E5,IF(INDIRECT("'数据-取费表'!c"&amp;$K$1)="住宅",INDIRECT("'数据-取费表'!k"&amp;$K$1),0))</f>
        <v>45617.71</v>
      </c>
      <c r="E21" s="53">
        <f>'数据-取费表'!B27</f>
        <v>92</v>
      </c>
      <c r="F21" s="2847"/>
      <c r="G21" s="26"/>
      <c r="H21" s="51"/>
      <c r="I21" s="51"/>
      <c r="J21" s="51"/>
      <c r="K21" s="2819"/>
    </row>
    <row r="22" spans="1:14" s="2116" customFormat="1" ht="13.5" customHeight="1">
      <c r="A22" s="2842" t="s">
        <v>1858</v>
      </c>
      <c r="B22" s="2843" t="s">
        <v>492</v>
      </c>
      <c r="C22" s="53">
        <f ca="1">ROUND(D22*E22/10000,0)</f>
        <v>470</v>
      </c>
      <c r="D22" s="2844">
        <f ca="1">IF(B1="",'数据-汇总表'!E6,IF(INDIRECT("'数据-取费表'!c"&amp;$K$1)="住宅",INDIRECT("'数据-取费表'!s"&amp;$K$1),INDIRECT("'数据-取费表'!k"&amp;$K$1)+INDIRECT("'数据-取费表'!s"&amp;$K$1)))</f>
        <v>51112.930000000015</v>
      </c>
      <c r="E22" s="53">
        <f>'数据-取费表'!B28</f>
        <v>92</v>
      </c>
      <c r="F22" s="2847"/>
      <c r="G22" s="26"/>
      <c r="H22" s="51"/>
      <c r="I22" s="51"/>
      <c r="J22" s="51"/>
      <c r="K22" s="2819"/>
    </row>
    <row r="23" spans="1:14" s="2116" customFormat="1" ht="13.5" customHeight="1">
      <c r="A23" s="2850" t="s">
        <v>1859</v>
      </c>
      <c r="B23" s="3034" t="s">
        <v>2835</v>
      </c>
      <c r="C23" s="2852">
        <f ca="1">ROUND((C18+C19+C20)*F23,0)</f>
        <v>514</v>
      </c>
      <c r="D23" s="467"/>
      <c r="E23" s="467"/>
      <c r="F23" s="2856">
        <f>'数据-取费表'!B37</f>
        <v>0.02</v>
      </c>
      <c r="G23" s="2812" t="s">
        <v>2432</v>
      </c>
      <c r="H23" s="2813"/>
      <c r="I23" s="2813"/>
      <c r="J23" s="2813"/>
      <c r="K23" s="2814"/>
      <c r="L23" s="2118"/>
      <c r="M23" s="2118"/>
      <c r="N23" s="2118"/>
    </row>
    <row r="24" spans="1:14" s="2116" customFormat="1" ht="13.5" customHeight="1">
      <c r="A24" s="2850" t="s">
        <v>1860</v>
      </c>
      <c r="B24" s="3034" t="s">
        <v>2838</v>
      </c>
      <c r="C24" s="2852">
        <f>ROUND(C6*F24,0)</f>
        <v>2302</v>
      </c>
      <c r="D24" s="474"/>
      <c r="E24" s="472"/>
      <c r="F24" s="2856">
        <f>'数据-取费表'!B38</f>
        <v>0.02</v>
      </c>
      <c r="G24" s="2821" t="s">
        <v>499</v>
      </c>
      <c r="H24" s="2815"/>
      <c r="I24" s="2815"/>
      <c r="J24" s="2815"/>
      <c r="K24" s="278"/>
      <c r="L24" s="2118"/>
      <c r="M24" s="2118"/>
      <c r="N24" s="2118"/>
    </row>
    <row r="25" spans="1:14" s="2119" customFormat="1" ht="13.5" customHeight="1">
      <c r="A25" s="2850" t="s">
        <v>1861</v>
      </c>
      <c r="B25" s="3034" t="s">
        <v>2836</v>
      </c>
      <c r="C25" s="466">
        <f>ROUND(F25/(1+'数据-取费表'!C42),4)</f>
        <v>2.9000000000000001E-2</v>
      </c>
      <c r="D25" s="461" t="s">
        <v>2830</v>
      </c>
      <c r="E25" s="468"/>
      <c r="F25" s="2856">
        <f>'数据-取费表'!B48+'数据-取费表'!B49</f>
        <v>3.0499999999999999E-2</v>
      </c>
      <c r="G25" s="2820" t="s">
        <v>2291</v>
      </c>
      <c r="H25" s="2813"/>
      <c r="I25" s="2813"/>
      <c r="J25" s="2813"/>
      <c r="K25" s="2814"/>
    </row>
    <row r="26" spans="1:14" s="2118" customFormat="1" ht="13.5" customHeight="1">
      <c r="A26" s="2850" t="s">
        <v>1862</v>
      </c>
      <c r="B26" s="3035" t="s">
        <v>2837</v>
      </c>
      <c r="C26" s="2857">
        <f ca="1">C28</f>
        <v>2055</v>
      </c>
      <c r="D26" s="466">
        <f ca="1">C27</f>
        <v>0.1537</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1857</v>
      </c>
      <c r="B27" s="2858" t="s">
        <v>496</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1858</v>
      </c>
      <c r="B28" s="2858" t="s">
        <v>2839</v>
      </c>
      <c r="C28" s="2860">
        <f ca="1">ROUND(IF('数据-取费表'!B22&lt;=1,(C18+C19+C20+C23+C24)*F26*'数据-取费表'!B24/2,(C18+C19+C20+C23+C24)*(POWER((1+F26),'数据-取费表'!B24/2)-1)),0)</f>
        <v>2055</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1863</v>
      </c>
      <c r="B29" s="2851" t="s">
        <v>497</v>
      </c>
      <c r="C29" s="2852">
        <f>ROUND(C6*F29/(1+'数据-取费表'!C42),0)</f>
        <v>6138</v>
      </c>
      <c r="D29" s="467"/>
      <c r="E29" s="467"/>
      <c r="F29" s="3036">
        <f>'数据-取费表'!B41</f>
        <v>5.6000000000000001E-2</v>
      </c>
      <c r="G29" s="2821" t="s">
        <v>498</v>
      </c>
      <c r="H29" s="2813"/>
      <c r="I29" s="2813"/>
      <c r="J29" s="2813"/>
      <c r="K29" s="2814"/>
    </row>
    <row r="30" spans="1:14" s="2121" customFormat="1" ht="13.5" customHeight="1">
      <c r="A30" s="1634" t="s">
        <v>1864</v>
      </c>
      <c r="B30" s="2862" t="s">
        <v>500</v>
      </c>
      <c r="C30" s="2857">
        <f ca="1">C31</f>
        <v>36700</v>
      </c>
      <c r="D30" s="476">
        <f ca="1">C32</f>
        <v>0.1827</v>
      </c>
      <c r="E30" s="468" t="s">
        <v>495</v>
      </c>
      <c r="F30" s="470"/>
      <c r="G30" s="2820" t="s">
        <v>2965</v>
      </c>
      <c r="H30" s="2813"/>
      <c r="I30" s="2813"/>
      <c r="J30" s="2813"/>
      <c r="K30" s="2814"/>
    </row>
    <row r="31" spans="1:14" s="2120" customFormat="1" ht="13.5" customHeight="1">
      <c r="A31" s="802" t="s">
        <v>1857</v>
      </c>
      <c r="B31" s="2858"/>
      <c r="C31" s="449">
        <f ca="1">C18+C19+C20+C23+C24+C26+C29</f>
        <v>36700</v>
      </c>
      <c r="D31" s="471"/>
      <c r="E31" s="472"/>
      <c r="F31" s="473"/>
      <c r="G31" s="260"/>
      <c r="H31" s="2815"/>
      <c r="I31" s="2815"/>
      <c r="J31" s="2815"/>
      <c r="K31" s="278"/>
    </row>
    <row r="32" spans="1:14" s="2120" customFormat="1" ht="13.5" customHeight="1">
      <c r="A32" s="802" t="s">
        <v>1858</v>
      </c>
      <c r="B32" s="2858"/>
      <c r="C32" s="53">
        <f ca="1">ROUND(C25+D26,4)</f>
        <v>0.1827</v>
      </c>
      <c r="D32" s="471"/>
      <c r="E32" s="472"/>
      <c r="F32" s="473"/>
      <c r="G32" s="260"/>
      <c r="H32" s="2815"/>
      <c r="I32" s="2815"/>
      <c r="J32" s="2815"/>
      <c r="K32" s="278"/>
    </row>
    <row r="33" spans="1:11" s="2122" customFormat="1" ht="13.5" customHeight="1">
      <c r="A33" s="3033" t="s">
        <v>2834</v>
      </c>
      <c r="B33" s="3031" t="s">
        <v>2832</v>
      </c>
      <c r="C33" s="477">
        <f ca="1">C35</f>
        <v>3421</v>
      </c>
      <c r="D33" s="466">
        <f ca="1">C34</f>
        <v>0.1235</v>
      </c>
      <c r="E33" s="468" t="s">
        <v>495</v>
      </c>
      <c r="F33" s="478">
        <f ca="1">IF(B1="",'数据-取费表'!Q16,INDIRECT("'数据-取费表'!q"&amp;$K$1))</f>
        <v>0.12</v>
      </c>
      <c r="G33" s="2816"/>
      <c r="H33" s="2817"/>
      <c r="I33" s="2817"/>
      <c r="J33" s="2817"/>
      <c r="K33" s="2818"/>
    </row>
    <row r="34" spans="1:11" s="2123" customFormat="1" ht="13.5" customHeight="1">
      <c r="A34" s="374" t="s">
        <v>1857</v>
      </c>
      <c r="B34" s="2863" t="s">
        <v>501</v>
      </c>
      <c r="C34" s="471">
        <f ca="1">ROUND((1+C25)*F33,4)</f>
        <v>0.1235</v>
      </c>
      <c r="D34" s="471"/>
      <c r="E34" s="472"/>
      <c r="F34" s="479"/>
      <c r="G34" s="260" t="s">
        <v>2292</v>
      </c>
      <c r="H34" s="2815"/>
      <c r="I34" s="2815"/>
      <c r="J34" s="2815"/>
      <c r="K34" s="278"/>
    </row>
    <row r="35" spans="1:11" s="2123" customFormat="1" ht="13.5" customHeight="1" thickBot="1">
      <c r="A35" s="1635" t="s">
        <v>1858</v>
      </c>
      <c r="B35" s="3032" t="s">
        <v>2840</v>
      </c>
      <c r="C35" s="1627">
        <f ca="1">ROUND((C18+C19+C20+C23+C24)*F33,0)</f>
        <v>3421</v>
      </c>
      <c r="D35" s="1628"/>
      <c r="E35" s="2864"/>
      <c r="F35" s="1629"/>
      <c r="G35" s="2822"/>
      <c r="H35" s="2823"/>
      <c r="I35" s="2823"/>
      <c r="J35" s="2823"/>
      <c r="K35" s="2824"/>
    </row>
    <row r="36" spans="1:11" s="2085" customFormat="1" ht="13.5" customHeight="1" thickBot="1">
      <c r="A36" s="283" t="s">
        <v>1845</v>
      </c>
      <c r="B36" s="2826"/>
      <c r="C36" s="2865">
        <f ca="1">ROUND((C6-C30-C33)/(1+D30+D33),0)</f>
        <v>57388</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3" t="str">
        <f>项目基本情况!B1</f>
        <v>山东省济南市历城区开源中路以北、幸福柳路以东出让国有建设用地使用权抵押价格预评估</v>
      </c>
      <c r="C37" s="3193"/>
      <c r="D37" s="3193"/>
      <c r="E37" s="3193"/>
      <c r="F37" s="3193"/>
      <c r="G37" s="3193"/>
      <c r="H37" s="3193"/>
      <c r="I37" s="3193"/>
    </row>
    <row r="38" spans="1:9">
      <c r="A38" s="1655"/>
      <c r="B38" s="1655"/>
    </row>
    <row r="39" spans="1:9">
      <c r="A39" s="1653" t="s">
        <v>1902</v>
      </c>
      <c r="B39" s="1653" t="s">
        <v>2048</v>
      </c>
    </row>
    <row r="40" spans="1:9">
      <c r="A40" s="1653"/>
      <c r="B40" s="1653" t="str">
        <f>项目基本情况!B5</f>
        <v>济南正启置业有限公司</v>
      </c>
    </row>
    <row r="41" spans="1:9">
      <c r="A41" s="1653"/>
      <c r="B41" s="1653"/>
    </row>
    <row r="42" spans="1:9">
      <c r="A42" s="1653" t="s">
        <v>1902</v>
      </c>
      <c r="B42" s="1653" t="s">
        <v>2049</v>
      </c>
    </row>
    <row r="43" spans="1:9">
      <c r="A43" s="1653"/>
      <c r="B43" s="1653" t="s">
        <v>1904</v>
      </c>
    </row>
    <row r="44" spans="1:9">
      <c r="A44" s="1653"/>
      <c r="B44" s="1653"/>
    </row>
    <row r="45" spans="1:9">
      <c r="A45" s="1653" t="s">
        <v>1902</v>
      </c>
      <c r="B45" s="1653" t="s">
        <v>2047</v>
      </c>
    </row>
    <row r="46" spans="1:9" s="1653" customFormat="1" ht="12.75">
      <c r="B46" s="1653" t="str">
        <f>项目基本情况!K4</f>
        <v>赵雯、崔锴</v>
      </c>
    </row>
    <row r="47" spans="1:9">
      <c r="A47" s="1653"/>
      <c r="B47" s="1653"/>
    </row>
    <row r="48" spans="1:9">
      <c r="A48" s="1653" t="s">
        <v>1902</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20982</v>
      </c>
      <c r="D13" s="450"/>
      <c r="E13" s="364"/>
      <c r="F13" s="451"/>
      <c r="G13" s="443"/>
      <c r="H13" s="446"/>
      <c r="I13" s="446"/>
      <c r="J13" s="446"/>
      <c r="K13" s="447"/>
    </row>
    <row r="14" spans="1:41" s="2116" customFormat="1" ht="13.5" customHeight="1">
      <c r="A14" s="1632" t="s">
        <v>1850</v>
      </c>
      <c r="B14" s="448" t="s">
        <v>480</v>
      </c>
      <c r="C14" s="53">
        <f ca="1">ROUND(C13*F14,0)</f>
        <v>629</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456</v>
      </c>
      <c r="D15" s="450"/>
      <c r="E15" s="364"/>
      <c r="F15" s="452">
        <f>'数据-取费表'!B34</f>
        <v>0.05</v>
      </c>
      <c r="G15" s="443" t="s">
        <v>502</v>
      </c>
      <c r="H15" s="446"/>
      <c r="I15" s="446"/>
      <c r="J15" s="446"/>
      <c r="K15" s="447"/>
    </row>
    <row r="16" spans="1:41" s="2117" customFormat="1" ht="13.5" customHeight="1">
      <c r="A16" s="1632" t="s">
        <v>1852</v>
      </c>
      <c r="B16" s="448" t="s">
        <v>484</v>
      </c>
      <c r="C16" s="53">
        <f ca="1">ROUND(D16*E16/10000,0)</f>
        <v>1935</v>
      </c>
      <c r="D16" s="450">
        <f ca="1">IF(B1="",'数据-汇总表'!E3,INDIRECT("'数据-取费表'!K"&amp;$K$1)+INDIRECT("'数据-取费表'!S"&amp;$K$1))</f>
        <v>96730.640000000014</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315</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24317</v>
      </c>
      <c r="D18" s="460"/>
      <c r="E18" s="461"/>
      <c r="F18" s="461"/>
      <c r="G18" s="1326" t="s">
        <v>2433</v>
      </c>
      <c r="H18" s="446"/>
      <c r="I18" s="446"/>
      <c r="J18" s="446"/>
      <c r="K18" s="447"/>
    </row>
    <row r="19" spans="1:14" s="2119" customFormat="1" ht="13.5" customHeight="1">
      <c r="A19" s="1633" t="s">
        <v>1855</v>
      </c>
      <c r="B19" s="458" t="s">
        <v>493</v>
      </c>
      <c r="C19" s="459">
        <f ca="1">ROUND(C18*F19,0)</f>
        <v>486</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29">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1859</v>
      </c>
      <c r="B21" s="460" t="s">
        <v>494</v>
      </c>
      <c r="C21" s="469">
        <f ca="1">C22</f>
        <v>1788</v>
      </c>
      <c r="D21" s="466">
        <f ca="1">C23</f>
        <v>1.4E-3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1849</v>
      </c>
      <c r="B22" s="1327" t="s">
        <v>2436</v>
      </c>
      <c r="C22" s="486">
        <f ca="1">ROUND(IF('数据-取费表'!B22&lt;=1,(C18+C19)*F21*'数据-取费表'!B20/2,(C18+C19)*(POWER((1+F21),'数据-取费表'!B20/2)-1)),0)</f>
        <v>1788</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1850</v>
      </c>
      <c r="B23" s="1327" t="s">
        <v>508</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31" t="s">
        <v>2833</v>
      </c>
      <c r="C24" s="477">
        <f ca="1">C25</f>
        <v>2976</v>
      </c>
      <c r="D24" s="488">
        <f ca="1">C26</f>
        <v>2.3999999999999998E-3</v>
      </c>
      <c r="E24" s="468" t="s">
        <v>507</v>
      </c>
      <c r="F24" s="478">
        <f ca="1">IF(B1="",'数据-取费表'!Q16,INDIRECT("'数据-取费表'!q"&amp;$K$1))</f>
        <v>0.12</v>
      </c>
      <c r="G24" s="443"/>
      <c r="H24" s="446"/>
      <c r="I24" s="446"/>
      <c r="J24" s="446"/>
      <c r="K24" s="447"/>
    </row>
    <row r="25" spans="1:14" s="2120" customFormat="1" ht="13.5" customHeight="1">
      <c r="A25" s="1632" t="s">
        <v>1849</v>
      </c>
      <c r="B25" s="1327" t="s">
        <v>2437</v>
      </c>
      <c r="C25" s="489">
        <f ca="1">ROUND((C18+C19)*F24,0)</f>
        <v>2976</v>
      </c>
      <c r="D25" s="471"/>
      <c r="E25" s="472"/>
      <c r="F25" s="479"/>
      <c r="G25" s="1325" t="s">
        <v>2434</v>
      </c>
      <c r="H25" s="456"/>
      <c r="I25" s="456"/>
      <c r="J25" s="456"/>
      <c r="K25" s="457"/>
    </row>
    <row r="26" spans="1:14" s="2120" customFormat="1" ht="13.5" customHeight="1">
      <c r="A26" s="1632" t="s">
        <v>1850</v>
      </c>
      <c r="B26" s="1327" t="s">
        <v>509</v>
      </c>
      <c r="C26" s="490">
        <f ca="1">ROUND(F20*F24,4)</f>
        <v>2.3999999999999998E-3</v>
      </c>
      <c r="D26" s="471"/>
      <c r="E26" s="480"/>
      <c r="F26" s="479"/>
      <c r="G26" s="1325" t="s">
        <v>510</v>
      </c>
      <c r="H26" s="456"/>
      <c r="I26" s="456"/>
      <c r="J26" s="456"/>
      <c r="K26" s="457"/>
    </row>
    <row r="27" spans="1:14" s="2120" customFormat="1" ht="13.5" customHeight="1">
      <c r="A27" s="1636" t="s">
        <v>1868</v>
      </c>
      <c r="B27" s="458" t="s">
        <v>511</v>
      </c>
      <c r="C27" s="3030">
        <f>ROUND(F27/(1+'数据-取费表'!C42),4)</f>
        <v>5.33E-2</v>
      </c>
      <c r="D27" s="461" t="s">
        <v>2831</v>
      </c>
      <c r="E27" s="461"/>
      <c r="F27" s="465">
        <f>'数据-取费表'!B41</f>
        <v>5.6000000000000001E-2</v>
      </c>
      <c r="G27" s="1960" t="s">
        <v>2293</v>
      </c>
      <c r="H27" s="446"/>
      <c r="I27" s="446"/>
      <c r="J27" s="446"/>
      <c r="K27" s="447"/>
    </row>
    <row r="28" spans="1:14" s="2121" customFormat="1" ht="13.5" customHeight="1">
      <c r="A28" s="1636" t="s">
        <v>1869</v>
      </c>
      <c r="B28" s="475" t="s">
        <v>512</v>
      </c>
      <c r="C28" s="469">
        <f ca="1">ROUND((C18+C19+C21+C24)/(1-C20-D21-D24-C27),0)</f>
        <v>32037</v>
      </c>
      <c r="D28" s="476"/>
      <c r="E28" s="468"/>
      <c r="F28" s="470"/>
      <c r="G28" s="1326" t="s">
        <v>2435</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1866</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3" t="s">
        <v>2966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67" t="s">
        <v>522</v>
      </c>
      <c r="D6" s="3368"/>
      <c r="E6" s="3401" t="s">
        <v>523</v>
      </c>
      <c r="F6" s="3402"/>
      <c r="G6" s="3367" t="s">
        <v>524</v>
      </c>
      <c r="H6" s="3368"/>
      <c r="I6" s="3367" t="s">
        <v>525</v>
      </c>
      <c r="J6" s="3368"/>
      <c r="K6" s="513" t="s">
        <v>526</v>
      </c>
      <c r="L6" s="2133"/>
      <c r="M6" s="2134"/>
      <c r="N6" s="2134"/>
      <c r="O6" s="2134"/>
      <c r="P6" s="3369" t="s">
        <v>527</v>
      </c>
      <c r="Q6" s="3370"/>
      <c r="R6" s="3375" t="s">
        <v>523</v>
      </c>
      <c r="S6" s="3376"/>
      <c r="T6" s="3375" t="s">
        <v>524</v>
      </c>
      <c r="U6" s="3376"/>
      <c r="V6" s="3362" t="s">
        <v>525</v>
      </c>
      <c r="W6" s="3362"/>
      <c r="X6" s="1566"/>
      <c r="Y6" s="3375" t="s">
        <v>527</v>
      </c>
      <c r="Z6" s="3376"/>
      <c r="AA6" s="3364" t="s">
        <v>523</v>
      </c>
      <c r="AB6" s="3365" t="s">
        <v>524</v>
      </c>
      <c r="AC6" s="3364" t="s">
        <v>525</v>
      </c>
    </row>
    <row r="7" spans="1:29" ht="15">
      <c r="A7" s="514"/>
      <c r="B7" s="515"/>
      <c r="C7" s="3383" t="s">
        <v>2920</v>
      </c>
      <c r="D7" s="3384"/>
      <c r="E7" s="3403" t="s">
        <v>2921</v>
      </c>
      <c r="F7" s="3404"/>
      <c r="G7" s="3383" t="s">
        <v>2922</v>
      </c>
      <c r="H7" s="3384"/>
      <c r="I7" s="3383" t="s">
        <v>2923</v>
      </c>
      <c r="J7" s="3384"/>
      <c r="K7" s="513"/>
      <c r="L7" s="2133"/>
      <c r="M7" s="2134"/>
      <c r="N7" s="2134"/>
      <c r="O7" s="2134"/>
      <c r="P7" s="3371"/>
      <c r="Q7" s="3372"/>
      <c r="R7" s="3377"/>
      <c r="S7" s="3378"/>
      <c r="T7" s="3377"/>
      <c r="U7" s="3378"/>
      <c r="V7" s="3362"/>
      <c r="W7" s="3362"/>
      <c r="X7" s="1566"/>
      <c r="Y7" s="3377"/>
      <c r="Z7" s="3378"/>
      <c r="AA7" s="3365"/>
      <c r="AB7" s="3365"/>
      <c r="AC7" s="3365"/>
    </row>
    <row r="8" spans="1:29" ht="15.75" thickBot="1">
      <c r="A8" s="516"/>
      <c r="B8" s="517"/>
      <c r="C8" s="3381" t="s">
        <v>2924</v>
      </c>
      <c r="D8" s="3382"/>
      <c r="E8" s="3399" t="s">
        <v>2924</v>
      </c>
      <c r="F8" s="3400"/>
      <c r="G8" s="3381" t="s">
        <v>2924</v>
      </c>
      <c r="H8" s="3382"/>
      <c r="I8" s="3381" t="s">
        <v>2924</v>
      </c>
      <c r="J8" s="3382"/>
      <c r="K8" s="513" t="s">
        <v>528</v>
      </c>
      <c r="L8" s="2133"/>
      <c r="M8" s="2134"/>
      <c r="N8" s="2134"/>
      <c r="O8" s="2134"/>
      <c r="P8" s="3373"/>
      <c r="Q8" s="3374"/>
      <c r="R8" s="3377"/>
      <c r="S8" s="3378"/>
      <c r="T8" s="3379"/>
      <c r="U8" s="3380"/>
      <c r="V8" s="3362"/>
      <c r="W8" s="3362"/>
      <c r="X8" s="1566"/>
      <c r="Y8" s="3379"/>
      <c r="Z8" s="3380"/>
      <c r="AA8" s="3366"/>
      <c r="AB8" s="3366"/>
      <c r="AC8" s="3366"/>
    </row>
    <row r="9" spans="1:29" s="1219" customFormat="1" ht="15.75" thickBot="1">
      <c r="A9" s="2912"/>
      <c r="B9" s="2919" t="s">
        <v>529</v>
      </c>
      <c r="C9" s="518">
        <f>'数据-取费表'!B2</f>
        <v>43336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2" t="s">
        <v>530</v>
      </c>
      <c r="Q9" s="3394"/>
      <c r="R9" s="1567" t="s">
        <v>8</v>
      </c>
      <c r="S9" s="1568">
        <f t="shared" ref="S9:S17" si="0">F9</f>
        <v>0</v>
      </c>
      <c r="T9" s="1567" t="s">
        <v>8</v>
      </c>
      <c r="U9" s="1568">
        <f t="shared" ref="U9:U17" si="1">H9</f>
        <v>0</v>
      </c>
      <c r="V9" s="1567" t="s">
        <v>8</v>
      </c>
      <c r="W9" s="1568">
        <f t="shared" ref="W9:W17" si="2">J9</f>
        <v>0</v>
      </c>
      <c r="X9" s="1569"/>
      <c r="Y9" s="3392" t="s">
        <v>530</v>
      </c>
      <c r="Z9" s="3393"/>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2" t="s">
        <v>533</v>
      </c>
      <c r="Q10" s="3393"/>
      <c r="R10" s="1567" t="s">
        <v>8</v>
      </c>
      <c r="S10" s="1568">
        <f t="shared" si="0"/>
        <v>0</v>
      </c>
      <c r="T10" s="1567" t="s">
        <v>8</v>
      </c>
      <c r="U10" s="1568">
        <f t="shared" si="1"/>
        <v>0</v>
      </c>
      <c r="V10" s="1567" t="s">
        <v>8</v>
      </c>
      <c r="W10" s="1568">
        <f t="shared" si="2"/>
        <v>0</v>
      </c>
      <c r="X10" s="1569"/>
      <c r="Y10" s="3392" t="s">
        <v>533</v>
      </c>
      <c r="Z10" s="3393"/>
      <c r="AA10" s="1570" t="e">
        <f t="shared" ref="AA10:AA42" si="3">D10/F10</f>
        <v>#DIV/0!</v>
      </c>
      <c r="AB10" s="1570" t="e">
        <f t="shared" ref="AB10:AB42" si="4">D10/H10</f>
        <v>#DIV/0!</v>
      </c>
      <c r="AC10" s="1570" t="e">
        <f t="shared" ref="AC10:AC42" si="5">D10/J10</f>
        <v>#DIV/0!</v>
      </c>
    </row>
    <row r="11" spans="1:29" s="1219" customFormat="1" ht="15">
      <c r="A11" s="2914"/>
      <c r="B11" s="2921"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1" t="s">
        <v>535</v>
      </c>
      <c r="Q11" s="1150" t="str">
        <f t="shared" ref="Q11:Q17" si="6">B11</f>
        <v>用途</v>
      </c>
      <c r="R11" s="1567" t="s">
        <v>8</v>
      </c>
      <c r="S11" s="1568">
        <f t="shared" si="0"/>
        <v>100</v>
      </c>
      <c r="T11" s="1567" t="s">
        <v>8</v>
      </c>
      <c r="U11" s="1568">
        <f t="shared" si="1"/>
        <v>100</v>
      </c>
      <c r="V11" s="1567" t="s">
        <v>8</v>
      </c>
      <c r="W11" s="1568">
        <f t="shared" si="2"/>
        <v>100</v>
      </c>
      <c r="X11" s="1569"/>
      <c r="Y11" s="3307" t="s">
        <v>536</v>
      </c>
      <c r="Z11" s="1149" t="str">
        <f t="shared" ref="Z11:Z17" si="7">Q11</f>
        <v>用途</v>
      </c>
      <c r="AA11" s="1570">
        <f t="shared" si="3"/>
        <v>1</v>
      </c>
      <c r="AB11" s="1570">
        <f t="shared" si="4"/>
        <v>1</v>
      </c>
      <c r="AC11" s="1570">
        <f t="shared" si="5"/>
        <v>1</v>
      </c>
    </row>
    <row r="12" spans="1:29" s="1337" customFormat="1" ht="27">
      <c r="A12" s="2915"/>
      <c r="B12" s="2920"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1"/>
      <c r="Q12" s="1150" t="str">
        <f t="shared" si="6"/>
        <v>土地使用年限（年）</v>
      </c>
      <c r="R12" s="1567" t="s">
        <v>8</v>
      </c>
      <c r="S12" s="1568">
        <f t="shared" si="0"/>
        <v>100</v>
      </c>
      <c r="T12" s="1567" t="s">
        <v>8</v>
      </c>
      <c r="U12" s="1568">
        <f t="shared" si="1"/>
        <v>100</v>
      </c>
      <c r="V12" s="1567" t="s">
        <v>8</v>
      </c>
      <c r="W12" s="1568">
        <f t="shared" si="2"/>
        <v>100</v>
      </c>
      <c r="X12" s="1569"/>
      <c r="Y12" s="3307"/>
      <c r="Z12" s="1149" t="str">
        <f t="shared" si="7"/>
        <v>土地使用年限（年）</v>
      </c>
      <c r="AA12" s="1570">
        <f t="shared" si="3"/>
        <v>1</v>
      </c>
      <c r="AB12" s="1570">
        <f t="shared" si="4"/>
        <v>1</v>
      </c>
      <c r="AC12" s="1570">
        <f t="shared" si="5"/>
        <v>1</v>
      </c>
    </row>
    <row r="13" spans="1:29" ht="15">
      <c r="A13" s="2916"/>
      <c r="B13" s="2920"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1"/>
      <c r="Q13" s="1150" t="str">
        <f t="shared" si="6"/>
        <v>容积率</v>
      </c>
      <c r="R13" s="1567" t="s">
        <v>8</v>
      </c>
      <c r="S13" s="1568" t="e">
        <f t="shared" si="0"/>
        <v>#N/A</v>
      </c>
      <c r="T13" s="1567" t="s">
        <v>8</v>
      </c>
      <c r="U13" s="1568" t="e">
        <f t="shared" si="1"/>
        <v>#N/A</v>
      </c>
      <c r="V13" s="1567" t="s">
        <v>8</v>
      </c>
      <c r="W13" s="1568" t="e">
        <f t="shared" si="2"/>
        <v>#N/A</v>
      </c>
      <c r="X13" s="1569"/>
      <c r="Y13" s="3307"/>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1"/>
      <c r="Q15" s="1150">
        <f t="shared" si="6"/>
        <v>111</v>
      </c>
      <c r="R15" s="1567" t="s">
        <v>8</v>
      </c>
      <c r="S15" s="1568">
        <f t="shared" si="0"/>
        <v>100</v>
      </c>
      <c r="T15" s="1567" t="s">
        <v>8</v>
      </c>
      <c r="U15" s="1568">
        <f t="shared" si="1"/>
        <v>100</v>
      </c>
      <c r="V15" s="1567" t="s">
        <v>8</v>
      </c>
      <c r="W15" s="1568">
        <f t="shared" si="2"/>
        <v>100</v>
      </c>
      <c r="X15" s="1569"/>
      <c r="Y15" s="3307"/>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1"/>
      <c r="Q16" s="1150">
        <f t="shared" si="6"/>
        <v>111</v>
      </c>
      <c r="R16" s="1567" t="s">
        <v>8</v>
      </c>
      <c r="S16" s="1568">
        <f t="shared" si="0"/>
        <v>100</v>
      </c>
      <c r="T16" s="1567" t="s">
        <v>8</v>
      </c>
      <c r="U16" s="1568">
        <f t="shared" si="1"/>
        <v>100</v>
      </c>
      <c r="V16" s="1567" t="s">
        <v>8</v>
      </c>
      <c r="W16" s="1568">
        <f t="shared" si="2"/>
        <v>100</v>
      </c>
      <c r="X16" s="1569"/>
      <c r="Y16" s="3307"/>
      <c r="Z16" s="1149">
        <f t="shared" si="7"/>
        <v>111</v>
      </c>
      <c r="AA16" s="1570">
        <f t="shared" si="3"/>
        <v>1</v>
      </c>
      <c r="AB16" s="1570">
        <f t="shared" si="4"/>
        <v>1</v>
      </c>
      <c r="AC16" s="1570">
        <f t="shared" si="5"/>
        <v>1</v>
      </c>
    </row>
    <row r="17" spans="1:29" ht="15">
      <c r="A17" s="2910" t="s">
        <v>2755</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5" t="s">
        <v>540</v>
      </c>
      <c r="Q17" s="1571" t="str">
        <f t="shared" si="6"/>
        <v>产业集聚程度</v>
      </c>
      <c r="R17" s="1572" t="s">
        <v>8</v>
      </c>
      <c r="S17" s="1573">
        <f t="shared" si="0"/>
        <v>100</v>
      </c>
      <c r="T17" s="1572" t="s">
        <v>8</v>
      </c>
      <c r="U17" s="1573">
        <f t="shared" si="1"/>
        <v>100</v>
      </c>
      <c r="V17" s="1572" t="s">
        <v>8</v>
      </c>
      <c r="W17" s="1573">
        <f t="shared" si="2"/>
        <v>100</v>
      </c>
      <c r="X17" s="1566"/>
      <c r="Y17" s="339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96"/>
      <c r="Q19" s="1571" t="str">
        <f>B19</f>
        <v>交通便捷度</v>
      </c>
      <c r="R19" s="1572" t="s">
        <v>8</v>
      </c>
      <c r="S19" s="1573">
        <f>F19</f>
        <v>100</v>
      </c>
      <c r="T19" s="1572" t="s">
        <v>8</v>
      </c>
      <c r="U19" s="1573">
        <f>H19</f>
        <v>100</v>
      </c>
      <c r="V19" s="1572" t="s">
        <v>8</v>
      </c>
      <c r="W19" s="1573">
        <f>J19</f>
        <v>100</v>
      </c>
      <c r="X19" s="1566"/>
      <c r="Y19" s="339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396"/>
      <c r="Q20" s="1571"/>
      <c r="R20" s="1572"/>
      <c r="S20" s="1573"/>
      <c r="T20" s="1572"/>
      <c r="U20" s="1573"/>
      <c r="V20" s="1572"/>
      <c r="W20" s="1573"/>
      <c r="X20" s="1566"/>
      <c r="Y20" s="339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396"/>
      <c r="Q21" s="1571" t="str">
        <f t="shared" ref="Q21:Q35" si="8">B21</f>
        <v>区域土地利用方向</v>
      </c>
      <c r="R21" s="1572" t="s">
        <v>8</v>
      </c>
      <c r="S21" s="1573">
        <f>F21</f>
        <v>100</v>
      </c>
      <c r="T21" s="1572" t="s">
        <v>8</v>
      </c>
      <c r="U21" s="1573">
        <f>H21</f>
        <v>100</v>
      </c>
      <c r="V21" s="1572" t="s">
        <v>8</v>
      </c>
      <c r="W21" s="1573">
        <f>J21</f>
        <v>100</v>
      </c>
      <c r="X21" s="1566"/>
      <c r="Y21" s="339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396"/>
      <c r="Q22" s="1571"/>
      <c r="R22" s="1572"/>
      <c r="S22" s="1573"/>
      <c r="T22" s="1572"/>
      <c r="U22" s="1573"/>
      <c r="V22" s="1572"/>
      <c r="W22" s="1573"/>
      <c r="X22" s="1566"/>
      <c r="Y22" s="3396"/>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96"/>
      <c r="Q23" s="1571" t="str">
        <f t="shared" si="8"/>
        <v>环境状况</v>
      </c>
      <c r="R23" s="1572" t="s">
        <v>8</v>
      </c>
      <c r="S23" s="1573">
        <f>F23</f>
        <v>100</v>
      </c>
      <c r="T23" s="1572" t="s">
        <v>8</v>
      </c>
      <c r="U23" s="1573">
        <f>H23</f>
        <v>100</v>
      </c>
      <c r="V23" s="1572" t="s">
        <v>8</v>
      </c>
      <c r="W23" s="1573">
        <f>J23</f>
        <v>100</v>
      </c>
      <c r="X23" s="1566"/>
      <c r="Y23" s="339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96"/>
      <c r="Q24" s="1571"/>
      <c r="R24" s="1572"/>
      <c r="S24" s="1573"/>
      <c r="T24" s="1572"/>
      <c r="U24" s="1573"/>
      <c r="V24" s="1572"/>
      <c r="W24" s="1573"/>
      <c r="X24" s="1566"/>
      <c r="Y24" s="3396"/>
      <c r="Z24" s="1574"/>
      <c r="AA24" s="1575">
        <v>1</v>
      </c>
      <c r="AB24" s="1575">
        <v>1</v>
      </c>
      <c r="AC24" s="1575">
        <v>1</v>
      </c>
    </row>
    <row r="25" spans="1:29" s="1219"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96"/>
      <c r="Q25" s="1150" t="str">
        <f t="shared" si="8"/>
        <v>公共配套设施</v>
      </c>
      <c r="R25" s="1567" t="s">
        <v>8</v>
      </c>
      <c r="S25" s="1568">
        <f>F25</f>
        <v>100</v>
      </c>
      <c r="T25" s="1567" t="s">
        <v>8</v>
      </c>
      <c r="U25" s="1568">
        <f>H25</f>
        <v>100</v>
      </c>
      <c r="V25" s="1567" t="s">
        <v>8</v>
      </c>
      <c r="W25" s="1568">
        <f>J25</f>
        <v>100</v>
      </c>
      <c r="X25" s="1569"/>
      <c r="Y25" s="3396"/>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396"/>
      <c r="Q26" s="1150"/>
      <c r="R26" s="1567"/>
      <c r="S26" s="1568"/>
      <c r="T26" s="1567"/>
      <c r="U26" s="1568"/>
      <c r="V26" s="1567"/>
      <c r="W26" s="1568"/>
      <c r="X26" s="1569"/>
      <c r="Y26" s="3396"/>
      <c r="Z26" s="1149"/>
      <c r="AA26" s="1570">
        <v>1</v>
      </c>
      <c r="AB26" s="1570">
        <v>1</v>
      </c>
      <c r="AC26" s="1570">
        <v>1</v>
      </c>
    </row>
    <row r="27" spans="1:29" s="1219"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96"/>
      <c r="Q27" s="2578" t="str">
        <f t="shared" ref="Q27" si="9">B27</f>
        <v>基础设施水平</v>
      </c>
      <c r="R27" s="1567" t="s">
        <v>8</v>
      </c>
      <c r="S27" s="1568">
        <f>F27</f>
        <v>100</v>
      </c>
      <c r="T27" s="1567" t="s">
        <v>8</v>
      </c>
      <c r="U27" s="1568">
        <f>H27</f>
        <v>100</v>
      </c>
      <c r="V27" s="1567" t="s">
        <v>8</v>
      </c>
      <c r="W27" s="1568">
        <f>J27</f>
        <v>100</v>
      </c>
      <c r="X27" s="1569"/>
      <c r="Y27" s="3396"/>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396"/>
      <c r="Q28" s="2578"/>
      <c r="R28" s="1567"/>
      <c r="S28" s="1568"/>
      <c r="T28" s="1567"/>
      <c r="U28" s="1568"/>
      <c r="V28" s="1567"/>
      <c r="W28" s="1568"/>
      <c r="X28" s="1569"/>
      <c r="Y28" s="3396"/>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9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6"/>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96"/>
      <c r="Q30" s="1571" t="str">
        <f t="shared" si="8"/>
        <v>毗邻道路的类型与等级</v>
      </c>
      <c r="R30" s="1572" t="s">
        <v>8</v>
      </c>
      <c r="S30" s="1573">
        <f t="shared" si="10"/>
        <v>100</v>
      </c>
      <c r="T30" s="1572" t="s">
        <v>8</v>
      </c>
      <c r="U30" s="1573">
        <f t="shared" si="11"/>
        <v>100</v>
      </c>
      <c r="V30" s="1572" t="s">
        <v>8</v>
      </c>
      <c r="W30" s="1573">
        <f t="shared" si="12"/>
        <v>100</v>
      </c>
      <c r="X30" s="1566"/>
      <c r="Y30" s="339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96"/>
      <c r="Q31" s="1571"/>
      <c r="R31" s="1572"/>
      <c r="S31" s="1573"/>
      <c r="T31" s="1572"/>
      <c r="U31" s="1573"/>
      <c r="V31" s="1572"/>
      <c r="W31" s="1573"/>
      <c r="X31" s="1566"/>
      <c r="Y31" s="3396"/>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96"/>
      <c r="Q32" s="1571" t="str">
        <f t="shared" si="8"/>
        <v>土地级别</v>
      </c>
      <c r="R32" s="1572" t="s">
        <v>8</v>
      </c>
      <c r="S32" s="1573">
        <f t="shared" si="10"/>
        <v>100</v>
      </c>
      <c r="T32" s="1572" t="s">
        <v>8</v>
      </c>
      <c r="U32" s="1573">
        <f t="shared" si="11"/>
        <v>100</v>
      </c>
      <c r="V32" s="1572" t="s">
        <v>8</v>
      </c>
      <c r="W32" s="1573">
        <f t="shared" si="12"/>
        <v>100</v>
      </c>
      <c r="X32" s="1566"/>
      <c r="Y32" s="339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96"/>
      <c r="Q33" s="1571">
        <f t="shared" si="8"/>
        <v>111</v>
      </c>
      <c r="R33" s="1572" t="s">
        <v>8</v>
      </c>
      <c r="S33" s="1573">
        <f t="shared" si="10"/>
        <v>100</v>
      </c>
      <c r="T33" s="1572" t="s">
        <v>8</v>
      </c>
      <c r="U33" s="1573">
        <f t="shared" si="11"/>
        <v>100</v>
      </c>
      <c r="V33" s="1572" t="s">
        <v>8</v>
      </c>
      <c r="W33" s="1573">
        <f t="shared" si="12"/>
        <v>100</v>
      </c>
      <c r="X33" s="1566"/>
      <c r="Y33" s="339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97" t="s">
        <v>550</v>
      </c>
      <c r="Q34" s="1571">
        <f t="shared" si="8"/>
        <v>111</v>
      </c>
      <c r="R34" s="1572" t="s">
        <v>8</v>
      </c>
      <c r="S34" s="1573">
        <f t="shared" si="10"/>
        <v>100</v>
      </c>
      <c r="T34" s="1572" t="s">
        <v>8</v>
      </c>
      <c r="U34" s="1573">
        <f t="shared" si="11"/>
        <v>100</v>
      </c>
      <c r="V34" s="1572" t="s">
        <v>8</v>
      </c>
      <c r="W34" s="1573">
        <f t="shared" si="12"/>
        <v>100</v>
      </c>
      <c r="X34" s="1566"/>
      <c r="Y34" s="3398"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98"/>
      <c r="Q35" s="1571">
        <f t="shared" si="8"/>
        <v>111</v>
      </c>
      <c r="R35" s="1576" t="s">
        <v>8</v>
      </c>
      <c r="S35" s="1577">
        <f t="shared" si="10"/>
        <v>100</v>
      </c>
      <c r="T35" s="1576" t="s">
        <v>8</v>
      </c>
      <c r="U35" s="1577">
        <f t="shared" si="11"/>
        <v>100</v>
      </c>
      <c r="V35" s="1576" t="s">
        <v>8</v>
      </c>
      <c r="W35" s="1577">
        <f t="shared" si="12"/>
        <v>100</v>
      </c>
      <c r="X35" s="1578"/>
      <c r="Y35" s="3398"/>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98"/>
      <c r="Q36" s="1571" t="str">
        <f>B36</f>
        <v>宗地面积</v>
      </c>
      <c r="R36" s="1572" t="s">
        <v>8</v>
      </c>
      <c r="S36" s="1573" t="e">
        <f t="shared" si="10"/>
        <v>#N/A</v>
      </c>
      <c r="T36" s="1572" t="s">
        <v>8</v>
      </c>
      <c r="U36" s="1573" t="e">
        <f t="shared" si="11"/>
        <v>#N/A</v>
      </c>
      <c r="V36" s="1572" t="s">
        <v>8</v>
      </c>
      <c r="W36" s="1573" t="e">
        <f t="shared" si="12"/>
        <v>#N/A</v>
      </c>
      <c r="X36" s="1566"/>
      <c r="Y36" s="339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98"/>
      <c r="Q37" s="1571" t="str">
        <f t="shared" ref="Q37:Q42" si="14">B37</f>
        <v>宗地形状</v>
      </c>
      <c r="R37" s="1572" t="s">
        <v>8</v>
      </c>
      <c r="S37" s="1573">
        <f t="shared" si="10"/>
        <v>100</v>
      </c>
      <c r="T37" s="1572" t="s">
        <v>8</v>
      </c>
      <c r="U37" s="1573">
        <f t="shared" si="11"/>
        <v>100</v>
      </c>
      <c r="V37" s="1572" t="s">
        <v>8</v>
      </c>
      <c r="W37" s="1573">
        <f t="shared" si="12"/>
        <v>100</v>
      </c>
      <c r="X37" s="1566"/>
      <c r="Y37" s="3398"/>
      <c r="Z37" s="1574" t="str">
        <f t="shared" si="13"/>
        <v>宗地形状</v>
      </c>
      <c r="AA37" s="1575">
        <f t="shared" si="3"/>
        <v>1</v>
      </c>
      <c r="AB37" s="1575">
        <f t="shared" si="4"/>
        <v>1</v>
      </c>
      <c r="AC37" s="1575">
        <f t="shared" si="5"/>
        <v>1</v>
      </c>
    </row>
    <row r="38" spans="1:29" s="1219"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98"/>
      <c r="Q38" s="1571" t="str">
        <f t="shared" si="14"/>
        <v>宗地开发程度</v>
      </c>
      <c r="R38" s="1567" t="s">
        <v>8</v>
      </c>
      <c r="S38" s="1568">
        <f t="shared" si="10"/>
        <v>100</v>
      </c>
      <c r="T38" s="1567" t="s">
        <v>8</v>
      </c>
      <c r="U38" s="1568">
        <f t="shared" si="11"/>
        <v>100</v>
      </c>
      <c r="V38" s="1567" t="s">
        <v>8</v>
      </c>
      <c r="W38" s="1568">
        <f t="shared" si="12"/>
        <v>100</v>
      </c>
      <c r="X38" s="1569"/>
      <c r="Y38" s="3398"/>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8" t="s">
        <v>601</v>
      </c>
      <c r="Q39" s="1571" t="str">
        <f t="shared" si="14"/>
        <v>工程地质条件</v>
      </c>
      <c r="R39" s="1572" t="s">
        <v>8</v>
      </c>
      <c r="S39" s="1573">
        <f t="shared" si="10"/>
        <v>100</v>
      </c>
      <c r="T39" s="1572" t="s">
        <v>8</v>
      </c>
      <c r="U39" s="1573">
        <f t="shared" si="11"/>
        <v>100</v>
      </c>
      <c r="V39" s="1572" t="s">
        <v>8</v>
      </c>
      <c r="W39" s="1573">
        <f t="shared" si="12"/>
        <v>100</v>
      </c>
      <c r="X39" s="1566"/>
      <c r="Y39" s="339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98"/>
      <c r="Q40" s="1571">
        <f t="shared" si="14"/>
        <v>111</v>
      </c>
      <c r="R40" s="1572" t="s">
        <v>8</v>
      </c>
      <c r="S40" s="1573">
        <f t="shared" si="10"/>
        <v>100</v>
      </c>
      <c r="T40" s="1572" t="s">
        <v>8</v>
      </c>
      <c r="U40" s="1573">
        <f t="shared" si="11"/>
        <v>100</v>
      </c>
      <c r="V40" s="1572" t="s">
        <v>8</v>
      </c>
      <c r="W40" s="1573">
        <f t="shared" si="12"/>
        <v>100</v>
      </c>
      <c r="X40" s="1566"/>
      <c r="Y40" s="339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98"/>
      <c r="Q41" s="1571">
        <f t="shared" si="14"/>
        <v>111</v>
      </c>
      <c r="R41" s="1572" t="s">
        <v>8</v>
      </c>
      <c r="S41" s="1573">
        <f t="shared" si="10"/>
        <v>100</v>
      </c>
      <c r="T41" s="1572" t="s">
        <v>8</v>
      </c>
      <c r="U41" s="1573">
        <f t="shared" si="11"/>
        <v>100</v>
      </c>
      <c r="V41" s="1572" t="s">
        <v>8</v>
      </c>
      <c r="W41" s="1573">
        <f t="shared" si="12"/>
        <v>100</v>
      </c>
      <c r="X41" s="1566"/>
      <c r="Y41" s="339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98"/>
      <c r="Q42" s="1571">
        <f t="shared" si="14"/>
        <v>111</v>
      </c>
      <c r="R42" s="1576" t="s">
        <v>8</v>
      </c>
      <c r="S42" s="1577">
        <f t="shared" si="10"/>
        <v>100</v>
      </c>
      <c r="T42" s="1576" t="s">
        <v>8</v>
      </c>
      <c r="U42" s="1577">
        <f t="shared" si="11"/>
        <v>100</v>
      </c>
      <c r="V42" s="1576" t="s">
        <v>8</v>
      </c>
      <c r="W42" s="1577">
        <f t="shared" si="12"/>
        <v>100</v>
      </c>
      <c r="X42" s="1578"/>
      <c r="Y42" s="3398"/>
      <c r="Z42" s="1579">
        <f t="shared" si="13"/>
        <v>111</v>
      </c>
      <c r="AA42" s="1575">
        <f t="shared" si="3"/>
        <v>1</v>
      </c>
      <c r="AB42" s="1575">
        <f t="shared" si="4"/>
        <v>1</v>
      </c>
      <c r="AC42" s="1575">
        <f t="shared" si="5"/>
        <v>1</v>
      </c>
    </row>
    <row r="43" spans="1:29" ht="15">
      <c r="A43" s="606" t="s">
        <v>556</v>
      </c>
      <c r="B43" s="607" t="s">
        <v>2925</v>
      </c>
      <c r="C43" s="608" t="s">
        <v>1</v>
      </c>
      <c r="D43" s="609"/>
      <c r="E43" s="610"/>
      <c r="F43" s="611"/>
      <c r="G43" s="612"/>
      <c r="H43" s="613"/>
      <c r="I43" s="610"/>
      <c r="J43" s="613"/>
      <c r="K43" s="1339"/>
      <c r="L43" s="2144"/>
      <c r="M43" s="2134"/>
      <c r="N43" s="2134"/>
      <c r="O43" s="2145"/>
      <c r="P43" s="3361" t="str">
        <f>A43</f>
        <v>成交单价</v>
      </c>
      <c r="Q43" s="3361"/>
      <c r="R43" s="3362">
        <f>E43</f>
        <v>0</v>
      </c>
      <c r="S43" s="3362"/>
      <c r="T43" s="3362">
        <f>G43</f>
        <v>0</v>
      </c>
      <c r="U43" s="3362"/>
      <c r="V43" s="3362">
        <f>I43</f>
        <v>0</v>
      </c>
      <c r="W43" s="3362"/>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1"/>
      <c r="L45" s="2144"/>
      <c r="M45" s="2134"/>
      <c r="N45" s="2134"/>
      <c r="O45" s="2145"/>
      <c r="P45" s="3358" t="str">
        <f>A45</f>
        <v>估价对象XX用房的比较价格（楼面单价，元/平方米）</v>
      </c>
      <c r="Q45" s="3359"/>
      <c r="R45" s="3360" t="e">
        <f>ROUND(AVERAGE(R44:V44),0)</f>
        <v>#DIV/0!</v>
      </c>
      <c r="S45" s="3360"/>
      <c r="T45" s="3360"/>
      <c r="U45" s="3360"/>
      <c r="V45" s="3360"/>
      <c r="W45" s="336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2295</v>
      </c>
      <c r="E52" s="630" t="s">
        <v>562</v>
      </c>
      <c r="F52" s="1951" t="s">
        <v>563</v>
      </c>
      <c r="G52" s="3405" t="s">
        <v>2286</v>
      </c>
      <c r="H52" s="3406"/>
      <c r="I52" s="1952" t="s">
        <v>1948</v>
      </c>
      <c r="J52" s="1554" t="str">
        <f>项目基本情况!F41</f>
        <v>山东省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71791.53</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09"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21263.27</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23013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2650</v>
      </c>
      <c r="B68" s="478"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2763</v>
      </c>
      <c r="S1" s="2936" t="s">
        <v>2764</v>
      </c>
      <c r="T1" s="2936" t="s">
        <v>2785</v>
      </c>
      <c r="U1" s="2936" t="s">
        <v>2786</v>
      </c>
      <c r="V1" s="2936" t="s">
        <v>2787</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2927</v>
      </c>
      <c r="G3" s="1038">
        <f>IF(F3="宗地容积率",'数据-汇总表'!I4,IF(F3="估价对象容积率",'数据-汇总表'!I6,'数据-汇总表'!I7))</f>
        <v>3.17</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18">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19"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3.17</v>
      </c>
      <c r="AA7" s="2192"/>
      <c r="AB7" s="2192"/>
      <c r="AC7" s="2193"/>
      <c r="AD7" s="2929"/>
      <c r="AE7" s="2929"/>
      <c r="AF7" s="2929"/>
      <c r="AG7" s="2929"/>
      <c r="AH7" s="2929"/>
      <c r="AI7" s="2929"/>
      <c r="AJ7" s="2930"/>
    </row>
    <row r="8" spans="1:39" ht="15">
      <c r="A8" s="3420"/>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11" t="s">
        <v>2784</v>
      </c>
      <c r="X8" s="341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0"/>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10" t="s">
        <v>2780</v>
      </c>
      <c r="X9" s="2931" t="s">
        <v>2781</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0"/>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1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0"/>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10" t="s">
        <v>2782</v>
      </c>
      <c r="X11" s="1047" t="s">
        <v>2767</v>
      </c>
      <c r="Y11" s="1652">
        <f>$G$3</f>
        <v>3.17</v>
      </c>
      <c r="Z11" s="1652">
        <f t="shared" ref="Z11:AJ11" si="3">$G$3</f>
        <v>3.17</v>
      </c>
      <c r="AA11" s="1652">
        <f t="shared" si="3"/>
        <v>3.17</v>
      </c>
      <c r="AB11" s="1652">
        <f t="shared" si="3"/>
        <v>3.17</v>
      </c>
      <c r="AC11" s="1652">
        <f t="shared" si="3"/>
        <v>3.17</v>
      </c>
      <c r="AD11" s="1652">
        <f t="shared" si="3"/>
        <v>3.17</v>
      </c>
      <c r="AE11" s="1652">
        <f t="shared" si="3"/>
        <v>3.17</v>
      </c>
      <c r="AF11" s="1652">
        <f t="shared" si="3"/>
        <v>3.17</v>
      </c>
      <c r="AG11" s="1652">
        <f t="shared" si="3"/>
        <v>3.17</v>
      </c>
      <c r="AH11" s="1652">
        <f t="shared" si="3"/>
        <v>3.17</v>
      </c>
      <c r="AI11" s="1652">
        <f t="shared" si="3"/>
        <v>3.17</v>
      </c>
      <c r="AJ11" s="1652">
        <f t="shared" si="3"/>
        <v>3.17</v>
      </c>
    </row>
    <row r="12" spans="1:39" ht="25.5" thickBot="1">
      <c r="A12" s="3419" t="s">
        <v>1872</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10"/>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1"/>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10"/>
      <c r="X13" s="2934"/>
      <c r="Y13" s="2933">
        <f>(-0.163*(Y12^2)-0.59*Y12+7617)*(10^(-4))/Y11</f>
        <v>0.24028391167192431</v>
      </c>
      <c r="Z13" s="2933">
        <f t="shared" ref="Z13:AJ13" si="5">(-0.163*(Z12^2)-0.59*Z12+7617)*(10^(-4))/Z11</f>
        <v>0.24028391167192431</v>
      </c>
      <c r="AA13" s="2933">
        <f t="shared" si="5"/>
        <v>0.24028391167192431</v>
      </c>
      <c r="AB13" s="2933">
        <f t="shared" si="5"/>
        <v>0.24028391167192431</v>
      </c>
      <c r="AC13" s="2933">
        <f t="shared" si="5"/>
        <v>0.24028391167192431</v>
      </c>
      <c r="AD13" s="2933">
        <f t="shared" si="5"/>
        <v>0.24028391167192431</v>
      </c>
      <c r="AE13" s="2933">
        <f t="shared" si="5"/>
        <v>0.24028391167192431</v>
      </c>
      <c r="AF13" s="2933">
        <f t="shared" si="5"/>
        <v>0.24028391167192431</v>
      </c>
      <c r="AG13" s="2933">
        <f t="shared" si="5"/>
        <v>0.24028391167192431</v>
      </c>
      <c r="AH13" s="2933">
        <f t="shared" si="5"/>
        <v>0.24028391167192431</v>
      </c>
      <c r="AI13" s="2933">
        <f t="shared" si="5"/>
        <v>0.24028391167192431</v>
      </c>
      <c r="AJ13" s="2933">
        <f t="shared" si="5"/>
        <v>0.24028391167192431</v>
      </c>
    </row>
    <row r="14" spans="1:39" ht="12.75" customHeight="1" thickBot="1">
      <c r="A14" s="3421"/>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1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43336</v>
      </c>
      <c r="H19" s="1474" t="s">
        <v>2928</v>
      </c>
      <c r="I19" s="2784" t="str">
        <f>IF(H19="季度增幅（自定义）",SUMIF(N21:N24,E2,O21:O24),"")</f>
        <v/>
      </c>
      <c r="J19" s="1470"/>
      <c r="K19" s="1480"/>
      <c r="L19" s="3039" t="s">
        <v>2842</v>
      </c>
      <c r="M19" s="3040">
        <f>ROUND(SUMIF(地价!B2:F2,E2,地价!B23:F23),0)</f>
        <v>0</v>
      </c>
      <c r="N19" s="2786" t="s">
        <v>1677</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1837</v>
      </c>
      <c r="B20" s="2779" t="s">
        <v>972</v>
      </c>
      <c r="C20" s="2780" t="e">
        <f>ROUND(POWER(1+G20,J20-I20)*(POWER(1+G20,I20)-1)/(POWER(1+G20,J20)-1),4)</f>
        <v>#DIV/0!</v>
      </c>
      <c r="D20" s="2781" t="s">
        <v>973</v>
      </c>
      <c r="E20" s="3093">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3.1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5" t="s">
        <v>2954</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2419</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11" t="str">
        <f>估价对象房地状况!C16</f>
        <v>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08" t="str">
        <f>估价对象房地状况!C18</f>
        <v>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较好</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5" t="s">
        <v>2930</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4" t="s">
        <v>2929</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1029</v>
      </c>
      <c r="B55" s="2412" t="str">
        <f>估价对象房地状况!C20</f>
        <v>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2419</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11" t="str">
        <f>估价对象房地状况!C17</f>
        <v>较差</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08" t="str">
        <f>估价对象房地状况!C18</f>
        <v>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较好</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5" t="s">
        <v>2931</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4" t="s">
        <v>2929</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1029</v>
      </c>
      <c r="B66" s="2413" t="str">
        <f>估价对象房地状况!C20</f>
        <v>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2419</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t="str">
        <f>估价对象房地状况!C15</f>
        <v>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08" t="str">
        <f>估价对象房地状况!C18</f>
        <v>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较好</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4" t="s">
        <v>2929</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11" t="str">
        <f>估价对象房地状况!C20</f>
        <v>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2419</v>
      </c>
      <c r="I79" s="2431" t="s">
        <v>1013</v>
      </c>
      <c r="J79" s="2434" t="s">
        <v>1016</v>
      </c>
      <c r="K79" s="2434" t="s">
        <v>1017</v>
      </c>
      <c r="L79" s="2434" t="s">
        <v>1018</v>
      </c>
      <c r="M79" s="2434" t="s">
        <v>1019</v>
      </c>
      <c r="N79" s="2434" t="s">
        <v>1020</v>
      </c>
      <c r="AC79" s="1404"/>
      <c r="AD79" s="1403"/>
      <c r="AJ79" s="1402"/>
      <c r="AN79" s="1403"/>
    </row>
    <row r="80" spans="1:40" ht="24">
      <c r="A80" s="1066" t="s">
        <v>1038</v>
      </c>
      <c r="B80" s="2408">
        <f>估价对象房地状况!G15</f>
        <v>0</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6" t="s">
        <v>1034</v>
      </c>
      <c r="B81" s="2408">
        <f>估价对象房地状况!G16</f>
        <v>0</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f>估价对象房地状况!G19</f>
        <v>0</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f>估价对象房地状况!G20</f>
        <v>0</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4" t="s">
        <v>2929</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1039</v>
      </c>
      <c r="B87" s="2410">
        <f>估价对象房地状况!G18</f>
        <v>0</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3" t="s">
        <v>1634</v>
      </c>
      <c r="B90" s="3423"/>
      <c r="C90" s="3423"/>
      <c r="D90" s="3423"/>
      <c r="E90" s="3423"/>
      <c r="F90" s="3423"/>
      <c r="G90" s="3423"/>
      <c r="H90" s="3423"/>
      <c r="I90" s="3423"/>
      <c r="J90" s="3423"/>
      <c r="K90" s="2450"/>
      <c r="L90" s="2450"/>
      <c r="M90" s="2450"/>
      <c r="N90" s="2450"/>
    </row>
    <row r="91" spans="1:40">
      <c r="A91" s="3424" t="s">
        <v>1444</v>
      </c>
      <c r="B91" s="3424" t="s">
        <v>1635</v>
      </c>
      <c r="C91" s="1139" t="s">
        <v>1636</v>
      </c>
      <c r="D91" s="1140"/>
      <c r="E91" s="1140"/>
      <c r="F91" s="1140"/>
      <c r="G91" s="1140"/>
      <c r="H91" s="1140"/>
      <c r="I91" s="1140"/>
      <c r="J91" s="1141"/>
      <c r="K91" s="1133"/>
      <c r="L91" s="1133"/>
      <c r="M91" s="1133"/>
      <c r="N91" s="1133"/>
    </row>
    <row r="92" spans="1:40">
      <c r="A92" s="3424"/>
      <c r="B92" s="3424"/>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3" t="s">
        <v>1638</v>
      </c>
      <c r="B101" s="1146" t="s">
        <v>906</v>
      </c>
      <c r="C101" s="1147">
        <f>$G$3</f>
        <v>3.17</v>
      </c>
      <c r="D101" s="1147">
        <f t="shared" ref="D101:N101" si="31">$G$3</f>
        <v>3.17</v>
      </c>
      <c r="E101" s="1147">
        <f t="shared" si="31"/>
        <v>3.17</v>
      </c>
      <c r="F101" s="1147">
        <f t="shared" si="31"/>
        <v>3.17</v>
      </c>
      <c r="G101" s="1147">
        <f t="shared" si="31"/>
        <v>3.17</v>
      </c>
      <c r="H101" s="1147">
        <f t="shared" si="31"/>
        <v>3.17</v>
      </c>
      <c r="I101" s="1147">
        <f t="shared" si="31"/>
        <v>3.17</v>
      </c>
      <c r="J101" s="1147">
        <f t="shared" si="31"/>
        <v>3.17</v>
      </c>
      <c r="K101" s="1147">
        <f t="shared" si="31"/>
        <v>3.17</v>
      </c>
      <c r="L101" s="1147">
        <f t="shared" si="31"/>
        <v>3.17</v>
      </c>
      <c r="M101" s="1147">
        <f t="shared" si="31"/>
        <v>3.17</v>
      </c>
      <c r="N101" s="1147">
        <f t="shared" si="31"/>
        <v>3.17</v>
      </c>
    </row>
    <row r="102" spans="1:14">
      <c r="A102" s="3414"/>
      <c r="B102" s="1142">
        <v>1</v>
      </c>
      <c r="C102" s="1143">
        <f>1.9362/C101</f>
        <v>0.61078864353312301</v>
      </c>
      <c r="D102" s="1143">
        <f>1.9362/D101</f>
        <v>0.61078864353312301</v>
      </c>
      <c r="E102" s="1143">
        <f>1.8629/E101</f>
        <v>0.58766561514195581</v>
      </c>
      <c r="F102" s="1143">
        <f>1.8629/F101</f>
        <v>0.58766561514195581</v>
      </c>
      <c r="G102" s="1143">
        <f>1.8629/G101</f>
        <v>0.58766561514195581</v>
      </c>
      <c r="H102" s="1143">
        <f>1.8629/H101</f>
        <v>0.58766561514195581</v>
      </c>
      <c r="I102" s="1143">
        <f>1.8629/I101</f>
        <v>0.58766561514195581</v>
      </c>
      <c r="J102" s="1143">
        <f>1.942/J101</f>
        <v>0.61261829652996846</v>
      </c>
      <c r="K102" s="1143">
        <f>1.942/K101</f>
        <v>0.61261829652996846</v>
      </c>
      <c r="L102" s="1143">
        <f>1.942/L101</f>
        <v>0.61261829652996846</v>
      </c>
      <c r="M102" s="1143">
        <f>1.942/M101</f>
        <v>0.61261829652996846</v>
      </c>
      <c r="N102" s="1143">
        <f>1.942/N101</f>
        <v>0.61261829652996846</v>
      </c>
    </row>
    <row r="103" spans="1:14">
      <c r="A103" s="3414"/>
      <c r="B103" s="1142">
        <v>2</v>
      </c>
      <c r="C103" s="1143">
        <f>1.4198/C101</f>
        <v>0.44788643533123029</v>
      </c>
      <c r="D103" s="1143">
        <f>1.4198/D101</f>
        <v>0.44788643533123029</v>
      </c>
      <c r="E103" s="1143">
        <f>1.3372/E101</f>
        <v>0.42182965299684544</v>
      </c>
      <c r="F103" s="1143">
        <f>1.3372/F101</f>
        <v>0.42182965299684544</v>
      </c>
      <c r="G103" s="1143">
        <f>1.3372/G101</f>
        <v>0.42182965299684544</v>
      </c>
      <c r="H103" s="1143">
        <f>1.3372/H101</f>
        <v>0.42182965299684544</v>
      </c>
      <c r="I103" s="1143">
        <f>1.3372/I101</f>
        <v>0.42182965299684544</v>
      </c>
      <c r="J103" s="1143">
        <f>1.2799/J101</f>
        <v>0.40375394321766561</v>
      </c>
      <c r="K103" s="1143">
        <f>1.2799/K101</f>
        <v>0.40375394321766561</v>
      </c>
      <c r="L103" s="1143">
        <f>1.2799/L101</f>
        <v>0.40375394321766561</v>
      </c>
      <c r="M103" s="1143">
        <f>1.2799/M101</f>
        <v>0.40375394321766561</v>
      </c>
      <c r="N103" s="1143">
        <f>1.2799/N101</f>
        <v>0.40375394321766561</v>
      </c>
    </row>
    <row r="104" spans="1:14">
      <c r="A104" s="3414"/>
      <c r="B104" s="1142">
        <v>3</v>
      </c>
      <c r="C104" s="1143">
        <f>1.1594/C101</f>
        <v>0.36574132492113565</v>
      </c>
      <c r="D104" s="1143">
        <f>1.1594/D101</f>
        <v>0.36574132492113565</v>
      </c>
      <c r="E104" s="1143">
        <f>1.0788/E101</f>
        <v>0.3403154574132492</v>
      </c>
      <c r="F104" s="1143">
        <f>1.0788/F101</f>
        <v>0.3403154574132492</v>
      </c>
      <c r="G104" s="1143">
        <f>1.0788/G101</f>
        <v>0.3403154574132492</v>
      </c>
      <c r="H104" s="1143">
        <f>1.0788/H101</f>
        <v>0.3403154574132492</v>
      </c>
      <c r="I104" s="1143">
        <f>1.0788/I101</f>
        <v>0.3403154574132492</v>
      </c>
      <c r="J104" s="1143">
        <f>1.0072/J101</f>
        <v>0.31772870662460573</v>
      </c>
      <c r="K104" s="1143">
        <f>1.0072/K101</f>
        <v>0.31772870662460573</v>
      </c>
      <c r="L104" s="1143">
        <f>1.0072/L101</f>
        <v>0.31772870662460573</v>
      </c>
      <c r="M104" s="1143">
        <f>1.0072/M101</f>
        <v>0.31772870662460573</v>
      </c>
      <c r="N104" s="1143">
        <f>1.0072/N101</f>
        <v>0.31772870662460573</v>
      </c>
    </row>
    <row r="105" spans="1:14">
      <c r="A105" s="3414"/>
      <c r="B105" s="1142">
        <v>4</v>
      </c>
      <c r="C105" s="1143">
        <f>0.9622/C101</f>
        <v>0.30353312302839119</v>
      </c>
      <c r="D105" s="1143">
        <f>0.9622/D101</f>
        <v>0.30353312302839119</v>
      </c>
      <c r="E105" s="1143">
        <f>0.8656/E101</f>
        <v>0.27305993690851738</v>
      </c>
      <c r="F105" s="1143">
        <f>0.8656/F101</f>
        <v>0.27305993690851738</v>
      </c>
      <c r="G105" s="1143">
        <f>0.8656/G101</f>
        <v>0.27305993690851738</v>
      </c>
      <c r="H105" s="1143">
        <f>0.8656/H101</f>
        <v>0.27305993690851738</v>
      </c>
      <c r="I105" s="1143">
        <f>0.8656/I101</f>
        <v>0.27305993690851738</v>
      </c>
      <c r="J105" s="1143">
        <f>0.7525/J101</f>
        <v>0.23738170347003154</v>
      </c>
      <c r="K105" s="1143">
        <f>0.7525/K101</f>
        <v>0.23738170347003154</v>
      </c>
      <c r="L105" s="1143">
        <f>0.7525/L101</f>
        <v>0.23738170347003154</v>
      </c>
      <c r="M105" s="1143">
        <f>0.7525/M101</f>
        <v>0.23738170347003154</v>
      </c>
      <c r="N105" s="1143">
        <f>0.7525/N101</f>
        <v>0.23738170347003154</v>
      </c>
    </row>
    <row r="106" spans="1:14">
      <c r="A106" s="3414"/>
      <c r="B106" s="1142">
        <v>5</v>
      </c>
      <c r="C106" s="1143">
        <f>0.8417/C101</f>
        <v>0.26552050473186123</v>
      </c>
      <c r="D106" s="1143">
        <f>0.8417/D101</f>
        <v>0.26552050473186123</v>
      </c>
      <c r="E106" s="1143">
        <f>0.7371/E101</f>
        <v>0.2325236593059937</v>
      </c>
      <c r="F106" s="1143">
        <f>0.7371/F101</f>
        <v>0.2325236593059937</v>
      </c>
      <c r="G106" s="1143">
        <f>0.7371/G101</f>
        <v>0.2325236593059937</v>
      </c>
      <c r="H106" s="1143">
        <f>0.7371/H101</f>
        <v>0.2325236593059937</v>
      </c>
      <c r="I106" s="1143">
        <f>0.7371/I101</f>
        <v>0.2325236593059937</v>
      </c>
      <c r="J106" s="1143">
        <f>0.5659/J101</f>
        <v>0.17851735015772871</v>
      </c>
      <c r="K106" s="1143">
        <f>0.5659/K101</f>
        <v>0.17851735015772871</v>
      </c>
      <c r="L106" s="1143">
        <f>0.5659/L101</f>
        <v>0.17851735015772871</v>
      </c>
      <c r="M106" s="1143">
        <f>0.5659/M101</f>
        <v>0.17851735015772871</v>
      </c>
      <c r="N106" s="1143">
        <f>0.5659/N101</f>
        <v>0.17851735015772871</v>
      </c>
    </row>
    <row r="107" spans="1:14">
      <c r="A107" s="3414"/>
      <c r="B107" s="1142">
        <v>6</v>
      </c>
      <c r="C107" s="1143">
        <f>0.7608/C101</f>
        <v>0.24000000000000002</v>
      </c>
      <c r="D107" s="1143">
        <f>0.7608/D101</f>
        <v>0.24000000000000002</v>
      </c>
      <c r="E107" s="1143">
        <f>0.6482/E101</f>
        <v>0.2044794952681388</v>
      </c>
      <c r="F107" s="1143">
        <f>0.6482/F101</f>
        <v>0.2044794952681388</v>
      </c>
      <c r="G107" s="1143">
        <f>0.6482/G101</f>
        <v>0.2044794952681388</v>
      </c>
      <c r="H107" s="1143">
        <f>0.6482/H101</f>
        <v>0.2044794952681388</v>
      </c>
      <c r="I107" s="1143">
        <f>0.6482/I101</f>
        <v>0.2044794952681388</v>
      </c>
      <c r="J107" s="1143">
        <f>0.4525/J101</f>
        <v>0.14274447949526814</v>
      </c>
      <c r="K107" s="1143">
        <f>0.4525/K101</f>
        <v>0.14274447949526814</v>
      </c>
      <c r="L107" s="1143">
        <f>0.4525/L101</f>
        <v>0.14274447949526814</v>
      </c>
      <c r="M107" s="1143">
        <f>0.4525/M101</f>
        <v>0.14274447949526814</v>
      </c>
      <c r="N107" s="1143">
        <f>0.4525/N101</f>
        <v>0.14274447949526814</v>
      </c>
    </row>
    <row r="108" spans="1:14">
      <c r="A108" s="3414"/>
      <c r="B108" s="341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5"/>
      <c r="B109" s="3417"/>
      <c r="C109" s="1145">
        <f>(-0.163*(C108^2)-0.59*C108+7617)*(10^(-4))/C101</f>
        <v>0.23980593059936908</v>
      </c>
      <c r="D109" s="1145">
        <f>(-0.163*(D108^2)-0.59*D108+7617)*(10^(-4))/D101</f>
        <v>0.23980593059936908</v>
      </c>
      <c r="E109" s="1145">
        <f>(-0.161*(E108^2)-7.509*E108+6533)*(10^(-4))/E101</f>
        <v>0.20386826498422714</v>
      </c>
      <c r="F109" s="1145">
        <f>(-0.161*(F108^2)-7.509*F108+6533)*(10^(-4))/F101</f>
        <v>0.20386826498422714</v>
      </c>
      <c r="G109" s="1145">
        <f>(-0.161*(G108^2)-7.509*G108+6533)*(10^(-4))/G101</f>
        <v>0.20386826498422714</v>
      </c>
      <c r="H109" s="1145">
        <f>(-0.161*(H108^2)-7.509*H108+6533)*(10^(-4))/H101</f>
        <v>0.20386826498422714</v>
      </c>
      <c r="I109" s="1145">
        <f>(-0.161*(I108^2)-7.509*I108+6533)*(10^(-4))/I101</f>
        <v>0.20386826498422714</v>
      </c>
      <c r="J109" s="1145">
        <f>(-0.214*(J108^2)-21.991*J108+4665)*(10^(-4))/J101</f>
        <v>0.14117905362776026</v>
      </c>
      <c r="K109" s="1145">
        <f>(-0.214*(K108^2)-21.991*K108+4665)*(10^(-4))/K101</f>
        <v>0.14117905362776026</v>
      </c>
      <c r="L109" s="1145">
        <f>(-0.214*(L108^2)-21.991*L108+4665)*(10^(-4))/L101</f>
        <v>0.14117905362776026</v>
      </c>
      <c r="M109" s="1145">
        <f>(-0.214*(M108^2)-21.991*M108+4665)*(10^(-4))/M101</f>
        <v>0.14117905362776026</v>
      </c>
      <c r="N109" s="1145">
        <f>(-0.214*(N108^2)-21.991*N108+4665)*(10^(-4))/N101</f>
        <v>0.14117905362776026</v>
      </c>
    </row>
    <row r="110" spans="1:14">
      <c r="A110" s="3418" t="s">
        <v>1640</v>
      </c>
      <c r="B110" s="3418"/>
      <c r="C110" s="3418"/>
      <c r="D110" s="3418"/>
      <c r="E110" s="3418"/>
      <c r="F110" s="3418"/>
      <c r="G110" s="3418"/>
      <c r="H110" s="3418"/>
      <c r="I110" s="3418"/>
      <c r="J110" s="3418"/>
      <c r="K110" s="2448"/>
      <c r="L110" s="2448"/>
      <c r="M110" s="2448"/>
      <c r="N110" s="2448"/>
    </row>
    <row r="112" spans="1:14" ht="12.75" thickBot="1"/>
    <row r="113" spans="1:13" ht="25.5" thickBot="1">
      <c r="A113" s="1015" t="s">
        <v>896</v>
      </c>
      <c r="B113" s="2451">
        <f>G3</f>
        <v>3.17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0.90369999999999995</v>
      </c>
      <c r="C115" s="1029">
        <f>B115</f>
        <v>0.90369999999999995</v>
      </c>
      <c r="D115" s="1029">
        <f>ROUND(0.8331-0.0109*B113,4)</f>
        <v>0.79849999999999999</v>
      </c>
      <c r="E115" s="1029">
        <f>D115</f>
        <v>0.79849999999999999</v>
      </c>
      <c r="F115" s="1029">
        <f>E115</f>
        <v>0.79849999999999999</v>
      </c>
      <c r="G115" s="1029">
        <f>F115</f>
        <v>0.79849999999999999</v>
      </c>
      <c r="H115" s="1029">
        <f>G115</f>
        <v>0.79849999999999999</v>
      </c>
      <c r="I115" s="1029">
        <f>ROUND(0.689-0.0155*B113,4)</f>
        <v>0.63990000000000002</v>
      </c>
      <c r="J115" s="1029">
        <f t="shared" ref="J115:M118" si="33">I115</f>
        <v>0.63990000000000002</v>
      </c>
      <c r="K115" s="1029">
        <f t="shared" si="33"/>
        <v>0.63990000000000002</v>
      </c>
      <c r="L115" s="1029">
        <f t="shared" si="33"/>
        <v>0.63990000000000002</v>
      </c>
      <c r="M115" s="1030">
        <f t="shared" si="33"/>
        <v>0.63990000000000002</v>
      </c>
    </row>
    <row r="116" spans="1:13" ht="12.75">
      <c r="A116" s="1028" t="s">
        <v>901</v>
      </c>
      <c r="B116" s="1029">
        <f>ROUND(0.949-0.012*B113,4)</f>
        <v>0.91100000000000003</v>
      </c>
      <c r="C116" s="1029">
        <f>B116</f>
        <v>0.91100000000000003</v>
      </c>
      <c r="D116" s="1029">
        <f>ROUND(0.8567-0.013*B113,4)</f>
        <v>0.8155</v>
      </c>
      <c r="E116" s="1029">
        <f t="shared" ref="E116:H117" si="34">D116</f>
        <v>0.8155</v>
      </c>
      <c r="F116" s="1029">
        <f t="shared" si="34"/>
        <v>0.8155</v>
      </c>
      <c r="G116" s="1029">
        <f t="shared" si="34"/>
        <v>0.8155</v>
      </c>
      <c r="H116" s="1029">
        <f t="shared" si="34"/>
        <v>0.8155</v>
      </c>
      <c r="I116" s="1029">
        <f>ROUND(0.7694-0.014*B113,4)</f>
        <v>0.72499999999999998</v>
      </c>
      <c r="J116" s="1029">
        <f t="shared" si="33"/>
        <v>0.72499999999999998</v>
      </c>
      <c r="K116" s="1029">
        <f t="shared" si="33"/>
        <v>0.72499999999999998</v>
      </c>
      <c r="L116" s="1029">
        <f t="shared" si="33"/>
        <v>0.72499999999999998</v>
      </c>
      <c r="M116" s="1030">
        <f t="shared" si="33"/>
        <v>0.72499999999999998</v>
      </c>
    </row>
    <row r="117" spans="1:13" ht="12.75">
      <c r="A117" s="1031" t="s">
        <v>902</v>
      </c>
      <c r="B117" s="1029">
        <f>ROUND(0.8808-0.006*B113,4)</f>
        <v>0.86180000000000001</v>
      </c>
      <c r="C117" s="1029">
        <f>B117</f>
        <v>0.86180000000000001</v>
      </c>
      <c r="D117" s="1029">
        <f>ROUND(0.8748-0.008*B113,4)</f>
        <v>0.84940000000000004</v>
      </c>
      <c r="E117" s="1029">
        <f t="shared" si="34"/>
        <v>0.84940000000000004</v>
      </c>
      <c r="F117" s="1029">
        <f t="shared" si="34"/>
        <v>0.84940000000000004</v>
      </c>
      <c r="G117" s="1029">
        <f t="shared" si="34"/>
        <v>0.84940000000000004</v>
      </c>
      <c r="H117" s="1029">
        <f t="shared" si="34"/>
        <v>0.84940000000000004</v>
      </c>
      <c r="I117" s="1029">
        <f>ROUND(0.7412-0.0095*B113,4)</f>
        <v>0.71109999999999995</v>
      </c>
      <c r="J117" s="1029">
        <f t="shared" si="33"/>
        <v>0.71109999999999995</v>
      </c>
      <c r="K117" s="1029">
        <f t="shared" si="33"/>
        <v>0.71109999999999995</v>
      </c>
      <c r="L117" s="1029">
        <f t="shared" si="33"/>
        <v>0.71109999999999995</v>
      </c>
      <c r="M117" s="1030">
        <f t="shared" si="33"/>
        <v>0.71109999999999995</v>
      </c>
    </row>
    <row r="118" spans="1:13" ht="13.5" thickBot="1">
      <c r="A118" s="1032" t="s">
        <v>903</v>
      </c>
      <c r="B118" s="1033">
        <f>ROUND(0.7275-0.01*B113,4)</f>
        <v>0.69579999999999997</v>
      </c>
      <c r="C118" s="1033">
        <f>B118</f>
        <v>0.69579999999999997</v>
      </c>
      <c r="D118" s="1033">
        <f>ROUND(0.7043-0.012*B113,4)</f>
        <v>0.6663</v>
      </c>
      <c r="E118" s="1033">
        <f>D118</f>
        <v>0.6663</v>
      </c>
      <c r="F118" s="1033">
        <f>E118</f>
        <v>0.6663</v>
      </c>
      <c r="G118" s="1033">
        <f>ROUND(0.6299-0.0122*B113,4)</f>
        <v>0.59119999999999995</v>
      </c>
      <c r="H118" s="1033">
        <f>G118</f>
        <v>0.59119999999999995</v>
      </c>
      <c r="I118" s="1033">
        <f>ROUND(0.5667-0.0136*B113,4)</f>
        <v>0.52359999999999995</v>
      </c>
      <c r="J118" s="1033">
        <f t="shared" si="33"/>
        <v>0.52359999999999995</v>
      </c>
      <c r="K118" s="1033">
        <f t="shared" si="33"/>
        <v>0.52359999999999995</v>
      </c>
      <c r="L118" s="1033">
        <f t="shared" si="33"/>
        <v>0.52359999999999995</v>
      </c>
      <c r="M118" s="1034">
        <f t="shared" si="33"/>
        <v>0.52359999999999995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24" t="s">
        <v>1008</v>
      </c>
      <c r="B18" s="1153" t="s">
        <v>1447</v>
      </c>
      <c r="C18" s="1130" t="s">
        <v>1448</v>
      </c>
      <c r="D18" s="1131"/>
      <c r="E18" s="1153">
        <v>1</v>
      </c>
      <c r="F18" s="1132" t="s">
        <v>1449</v>
      </c>
      <c r="G18" s="1133"/>
      <c r="H18" s="1104"/>
      <c r="I18" s="1104"/>
    </row>
    <row r="19" spans="1:9" s="1598" customFormat="1" ht="19.5" customHeight="1">
      <c r="A19" s="3424"/>
      <c r="B19" s="3424" t="s">
        <v>1450</v>
      </c>
      <c r="C19" s="1130" t="s">
        <v>1451</v>
      </c>
      <c r="D19" s="1131"/>
      <c r="E19" s="1153">
        <v>0.9</v>
      </c>
      <c r="F19" s="1132" t="s">
        <v>1452</v>
      </c>
      <c r="G19" s="1133"/>
      <c r="H19" s="1104"/>
      <c r="I19" s="1104"/>
    </row>
    <row r="20" spans="1:9" s="1598" customFormat="1" ht="19.5" customHeight="1">
      <c r="A20" s="3424"/>
      <c r="B20" s="3424"/>
      <c r="C20" s="1130" t="s">
        <v>1453</v>
      </c>
      <c r="D20" s="1131"/>
      <c r="E20" s="1153">
        <v>1.1000000000000001</v>
      </c>
      <c r="F20" s="1132" t="s">
        <v>1454</v>
      </c>
      <c r="G20" s="1133"/>
      <c r="H20" s="1104"/>
      <c r="I20" s="1104"/>
    </row>
    <row r="21" spans="1:9" s="1598" customFormat="1" ht="19.5" customHeight="1">
      <c r="A21" s="3424"/>
      <c r="B21" s="3424"/>
      <c r="C21" s="1130" t="s">
        <v>1455</v>
      </c>
      <c r="D21" s="1131"/>
      <c r="E21" s="1153">
        <v>0.8</v>
      </c>
      <c r="F21" s="1132" t="s">
        <v>1456</v>
      </c>
      <c r="G21" s="1133"/>
      <c r="H21" s="1104"/>
      <c r="I21" s="1104"/>
    </row>
    <row r="22" spans="1:9" s="1598" customFormat="1" ht="19.5" customHeight="1">
      <c r="A22" s="3424"/>
      <c r="B22" s="3424"/>
      <c r="C22" s="1130" t="s">
        <v>1457</v>
      </c>
      <c r="D22" s="1131"/>
      <c r="E22" s="1153">
        <v>0.5</v>
      </c>
      <c r="F22" s="1132"/>
      <c r="G22" s="1133"/>
      <c r="H22" s="1104"/>
      <c r="I22" s="1104"/>
    </row>
    <row r="23" spans="1:9" s="1598" customFormat="1" ht="19.5" customHeight="1">
      <c r="A23" s="3424" t="s">
        <v>1030</v>
      </c>
      <c r="B23" s="1153" t="s">
        <v>1447</v>
      </c>
      <c r="C23" s="1130" t="s">
        <v>1458</v>
      </c>
      <c r="D23" s="1131"/>
      <c r="E23" s="1153">
        <v>1</v>
      </c>
      <c r="F23" s="1132" t="s">
        <v>1459</v>
      </c>
      <c r="G23" s="1133"/>
      <c r="H23" s="1104"/>
      <c r="I23" s="1104"/>
    </row>
    <row r="24" spans="1:9" s="1598" customFormat="1" ht="19.5" customHeight="1">
      <c r="A24" s="3424"/>
      <c r="B24" s="3424" t="s">
        <v>1450</v>
      </c>
      <c r="C24" s="1130" t="s">
        <v>1460</v>
      </c>
      <c r="D24" s="1131"/>
      <c r="E24" s="1153">
        <v>0.5</v>
      </c>
      <c r="F24" s="1132"/>
      <c r="G24" s="1133"/>
      <c r="H24" s="1104"/>
      <c r="I24" s="1104"/>
    </row>
    <row r="25" spans="1:9" s="1598" customFormat="1" ht="19.5" customHeight="1">
      <c r="A25" s="3424"/>
      <c r="B25" s="3424"/>
      <c r="C25" s="1130" t="s">
        <v>1461</v>
      </c>
      <c r="D25" s="1131"/>
      <c r="E25" s="1153">
        <v>1.1000000000000001</v>
      </c>
      <c r="F25" s="1132"/>
      <c r="G25" s="1133"/>
      <c r="H25" s="1104"/>
      <c r="I25" s="1104"/>
    </row>
    <row r="26" spans="1:9" s="1598" customFormat="1" ht="19.5" customHeight="1">
      <c r="A26" s="3424"/>
      <c r="B26" s="3424"/>
      <c r="C26" s="1130" t="s">
        <v>1462</v>
      </c>
      <c r="D26" s="1131"/>
      <c r="E26" s="1153">
        <v>1.1000000000000001</v>
      </c>
      <c r="F26" s="1132"/>
      <c r="G26" s="1133"/>
      <c r="H26" s="1104"/>
      <c r="I26" s="1104"/>
    </row>
    <row r="27" spans="1:9" s="1598" customFormat="1" ht="19.5" customHeight="1">
      <c r="A27" s="3424"/>
      <c r="B27" s="3424"/>
      <c r="C27" s="1130" t="s">
        <v>1463</v>
      </c>
      <c r="D27" s="1131"/>
      <c r="E27" s="1153">
        <v>0.9</v>
      </c>
      <c r="F27" s="1132" t="s">
        <v>1464</v>
      </c>
      <c r="G27" s="1133"/>
      <c r="H27" s="1104"/>
      <c r="I27" s="1104"/>
    </row>
    <row r="28" spans="1:9" s="1598" customFormat="1" ht="19.5" customHeight="1">
      <c r="A28" s="3424"/>
      <c r="B28" s="3424"/>
      <c r="C28" s="1130" t="s">
        <v>1465</v>
      </c>
      <c r="D28" s="1131"/>
      <c r="E28" s="1153">
        <v>0.9</v>
      </c>
      <c r="F28" s="1132" t="s">
        <v>1466</v>
      </c>
      <c r="G28" s="1133"/>
      <c r="H28" s="1104"/>
      <c r="I28" s="1104"/>
    </row>
    <row r="29" spans="1:9" s="1598" customFormat="1" ht="19.5" customHeight="1">
      <c r="A29" s="3424"/>
      <c r="B29" s="3424"/>
      <c r="C29" s="1130" t="s">
        <v>1467</v>
      </c>
      <c r="D29" s="1131"/>
      <c r="E29" s="1153">
        <v>0.9</v>
      </c>
      <c r="F29" s="1132" t="s">
        <v>1468</v>
      </c>
      <c r="G29" s="1133"/>
      <c r="H29" s="1104"/>
      <c r="I29" s="1104"/>
    </row>
    <row r="30" spans="1:9" s="1598" customFormat="1" ht="19.5" customHeight="1">
      <c r="A30" s="3424"/>
      <c r="B30" s="3424"/>
      <c r="C30" s="1130" t="s">
        <v>1469</v>
      </c>
      <c r="D30" s="1131"/>
      <c r="E30" s="1153">
        <v>0.9</v>
      </c>
      <c r="F30" s="1132" t="s">
        <v>1470</v>
      </c>
      <c r="G30" s="1133"/>
      <c r="H30" s="1104"/>
      <c r="I30" s="1104"/>
    </row>
    <row r="31" spans="1:9" s="1598" customFormat="1" ht="19.5" customHeight="1">
      <c r="A31" s="3424"/>
      <c r="B31" s="3424"/>
      <c r="C31" s="1130" t="s">
        <v>1471</v>
      </c>
      <c r="D31" s="1131"/>
      <c r="E31" s="1153">
        <v>0.8</v>
      </c>
      <c r="F31" s="1132" t="s">
        <v>1472</v>
      </c>
      <c r="G31" s="1133"/>
      <c r="H31" s="1104"/>
      <c r="I31" s="1104"/>
    </row>
    <row r="32" spans="1:9" s="1598" customFormat="1" ht="19.5" customHeight="1">
      <c r="A32" s="3424"/>
      <c r="B32" s="3424"/>
      <c r="C32" s="1130" t="s">
        <v>1473</v>
      </c>
      <c r="D32" s="1131"/>
      <c r="E32" s="1153">
        <v>0.8</v>
      </c>
      <c r="F32" s="1132" t="s">
        <v>1474</v>
      </c>
      <c r="G32" s="1133"/>
      <c r="H32" s="1104"/>
      <c r="I32" s="1104"/>
    </row>
    <row r="33" spans="1:9" s="1598" customFormat="1" ht="19.5" customHeight="1">
      <c r="A33" s="3424" t="s">
        <v>1475</v>
      </c>
      <c r="B33" s="1153" t="s">
        <v>1447</v>
      </c>
      <c r="C33" s="1130" t="s">
        <v>1476</v>
      </c>
      <c r="D33" s="1131"/>
      <c r="E33" s="1153">
        <v>1</v>
      </c>
      <c r="F33" s="1132" t="s">
        <v>1477</v>
      </c>
      <c r="G33" s="1133"/>
      <c r="H33" s="1104"/>
      <c r="I33" s="1104"/>
    </row>
    <row r="34" spans="1:9" s="1598" customFormat="1" ht="19.5" customHeight="1">
      <c r="A34" s="3424"/>
      <c r="B34" s="1153" t="s">
        <v>1450</v>
      </c>
      <c r="C34" s="1130" t="s">
        <v>1478</v>
      </c>
      <c r="D34" s="1131"/>
      <c r="E34" s="1153">
        <v>1.5</v>
      </c>
      <c r="F34" s="1132" t="s">
        <v>1479</v>
      </c>
      <c r="G34" s="1133"/>
      <c r="H34" s="1104"/>
      <c r="I34" s="1104"/>
    </row>
    <row r="35" spans="1:9" s="1598" customFormat="1" ht="19.5" customHeight="1">
      <c r="A35" s="3424" t="s">
        <v>1433</v>
      </c>
      <c r="B35" s="1153" t="s">
        <v>1447</v>
      </c>
      <c r="C35" s="1130" t="s">
        <v>1480</v>
      </c>
      <c r="D35" s="1131"/>
      <c r="E35" s="1153">
        <v>1</v>
      </c>
      <c r="F35" s="1132" t="s">
        <v>1481</v>
      </c>
      <c r="G35" s="1133"/>
      <c r="H35" s="1104"/>
      <c r="I35" s="1104"/>
    </row>
    <row r="36" spans="1:9" s="1598" customFormat="1" ht="19.5" customHeight="1">
      <c r="A36" s="3424"/>
      <c r="B36" s="3424" t="s">
        <v>1450</v>
      </c>
      <c r="C36" s="1130" t="s">
        <v>1482</v>
      </c>
      <c r="D36" s="1131"/>
      <c r="E36" s="1153">
        <v>1</v>
      </c>
      <c r="F36" s="1132" t="s">
        <v>1483</v>
      </c>
      <c r="G36" s="1133"/>
      <c r="H36" s="1104"/>
      <c r="I36" s="1104"/>
    </row>
    <row r="37" spans="1:9" s="1598" customFormat="1" ht="19.5" customHeight="1">
      <c r="A37" s="3424"/>
      <c r="B37" s="3424"/>
      <c r="C37" s="1130" t="s">
        <v>1484</v>
      </c>
      <c r="D37" s="1131"/>
      <c r="E37" s="1153">
        <v>1.5</v>
      </c>
      <c r="F37" s="1132" t="s">
        <v>1485</v>
      </c>
      <c r="G37" s="1133"/>
      <c r="H37" s="1104"/>
      <c r="I37" s="1104"/>
    </row>
    <row r="38" spans="1:9" s="1598" customFormat="1" ht="19.5" customHeight="1">
      <c r="A38" s="3424"/>
      <c r="B38" s="3424"/>
      <c r="C38" s="1130" t="s">
        <v>1486</v>
      </c>
      <c r="D38" s="1131"/>
      <c r="E38" s="1153">
        <v>1</v>
      </c>
      <c r="F38" s="1132" t="s">
        <v>1487</v>
      </c>
      <c r="G38" s="1133"/>
      <c r="H38" s="1104"/>
      <c r="I38" s="1104"/>
    </row>
    <row r="39" spans="1:9" s="1598" customFormat="1" ht="19.5" customHeight="1">
      <c r="A39" s="3424"/>
      <c r="B39" s="342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4" t="s">
        <v>1502</v>
      </c>
      <c r="C61" s="1067" t="s">
        <v>1503</v>
      </c>
      <c r="D61" s="1067" t="s">
        <v>1504</v>
      </c>
      <c r="E61" s="1138">
        <v>0.5</v>
      </c>
      <c r="F61" s="1153">
        <v>80</v>
      </c>
      <c r="H61" s="1104">
        <f>SUMIF(C59:C119,基准地价!C8,E59:E119)</f>
        <v>0</v>
      </c>
    </row>
    <row r="62" spans="1:8" s="1104" customFormat="1" ht="24">
      <c r="A62" s="1153">
        <v>2</v>
      </c>
      <c r="B62" s="3424"/>
      <c r="C62" s="1067" t="s">
        <v>1505</v>
      </c>
      <c r="D62" s="1067" t="s">
        <v>1506</v>
      </c>
      <c r="E62" s="1138">
        <v>0.5</v>
      </c>
      <c r="F62" s="1153">
        <v>80</v>
      </c>
    </row>
    <row r="63" spans="1:8" s="1104" customFormat="1" ht="36">
      <c r="A63" s="1153">
        <v>3</v>
      </c>
      <c r="B63" s="3424"/>
      <c r="C63" s="1067" t="s">
        <v>1507</v>
      </c>
      <c r="D63" s="1067" t="s">
        <v>1508</v>
      </c>
      <c r="E63" s="1138">
        <v>0.5</v>
      </c>
      <c r="F63" s="1153">
        <v>80</v>
      </c>
    </row>
    <row r="64" spans="1:8" s="1104" customFormat="1" ht="36">
      <c r="A64" s="1153">
        <v>4</v>
      </c>
      <c r="B64" s="3424"/>
      <c r="C64" s="1067" t="s">
        <v>1509</v>
      </c>
      <c r="D64" s="1067" t="s">
        <v>1510</v>
      </c>
      <c r="E64" s="1138">
        <v>0.4</v>
      </c>
      <c r="F64" s="1153">
        <v>60</v>
      </c>
    </row>
    <row r="65" spans="1:6" s="1104" customFormat="1" ht="36">
      <c r="A65" s="1153">
        <v>5</v>
      </c>
      <c r="B65" s="3424"/>
      <c r="C65" s="1067" t="s">
        <v>1511</v>
      </c>
      <c r="D65" s="1067" t="s">
        <v>1512</v>
      </c>
      <c r="E65" s="1138">
        <v>0.2</v>
      </c>
      <c r="F65" s="1153">
        <v>30</v>
      </c>
    </row>
    <row r="66" spans="1:6" s="1104" customFormat="1" ht="36">
      <c r="A66" s="1153">
        <v>6</v>
      </c>
      <c r="B66" s="3424"/>
      <c r="C66" s="1067" t="s">
        <v>1513</v>
      </c>
      <c r="D66" s="1067" t="s">
        <v>1514</v>
      </c>
      <c r="E66" s="1138">
        <v>0.3</v>
      </c>
      <c r="F66" s="1153">
        <v>50</v>
      </c>
    </row>
    <row r="67" spans="1:6" s="1104" customFormat="1" ht="36">
      <c r="A67" s="1153">
        <v>7</v>
      </c>
      <c r="B67" s="3424"/>
      <c r="C67" s="1067" t="s">
        <v>1515</v>
      </c>
      <c r="D67" s="1067" t="s">
        <v>1516</v>
      </c>
      <c r="E67" s="1138">
        <v>0.2</v>
      </c>
      <c r="F67" s="1153">
        <v>30</v>
      </c>
    </row>
    <row r="68" spans="1:6" s="1104" customFormat="1" ht="36">
      <c r="A68" s="1153">
        <v>8</v>
      </c>
      <c r="B68" s="3424"/>
      <c r="C68" s="1067" t="s">
        <v>1517</v>
      </c>
      <c r="D68" s="1067" t="s">
        <v>1518</v>
      </c>
      <c r="E68" s="1138">
        <v>0.2</v>
      </c>
      <c r="F68" s="1153">
        <v>30</v>
      </c>
    </row>
    <row r="69" spans="1:6" s="1104" customFormat="1" ht="36">
      <c r="A69" s="1153">
        <v>9</v>
      </c>
      <c r="B69" s="3424"/>
      <c r="C69" s="1067" t="s">
        <v>1519</v>
      </c>
      <c r="D69" s="1067" t="s">
        <v>1520</v>
      </c>
      <c r="E69" s="1138">
        <v>0.2</v>
      </c>
      <c r="F69" s="1153">
        <v>30</v>
      </c>
    </row>
    <row r="70" spans="1:6" s="1104" customFormat="1" ht="48">
      <c r="A70" s="1153">
        <v>10</v>
      </c>
      <c r="B70" s="3424"/>
      <c r="C70" s="1067" t="s">
        <v>1521</v>
      </c>
      <c r="D70" s="1067" t="s">
        <v>1522</v>
      </c>
      <c r="E70" s="1138">
        <v>0.2</v>
      </c>
      <c r="F70" s="1153">
        <v>30</v>
      </c>
    </row>
    <row r="71" spans="1:6" s="1104" customFormat="1" ht="48">
      <c r="A71" s="1153">
        <v>11</v>
      </c>
      <c r="B71" s="3424"/>
      <c r="C71" s="1067" t="s">
        <v>1523</v>
      </c>
      <c r="D71" s="1067" t="s">
        <v>1524</v>
      </c>
      <c r="E71" s="1138">
        <v>0.2</v>
      </c>
      <c r="F71" s="1153">
        <v>30</v>
      </c>
    </row>
    <row r="72" spans="1:6" s="1104" customFormat="1" ht="36">
      <c r="A72" s="1153">
        <v>12</v>
      </c>
      <c r="B72" s="3424"/>
      <c r="C72" s="1067" t="s">
        <v>1525</v>
      </c>
      <c r="D72" s="1067" t="s">
        <v>1526</v>
      </c>
      <c r="E72" s="1138">
        <v>0.5</v>
      </c>
      <c r="F72" s="1153">
        <v>80</v>
      </c>
    </row>
    <row r="73" spans="1:6" s="1104" customFormat="1" ht="24">
      <c r="A73" s="1153">
        <v>13</v>
      </c>
      <c r="B73" s="3424"/>
      <c r="C73" s="1067" t="s">
        <v>1527</v>
      </c>
      <c r="D73" s="1067" t="s">
        <v>1528</v>
      </c>
      <c r="E73" s="1138">
        <v>0.4</v>
      </c>
      <c r="F73" s="1153">
        <v>60</v>
      </c>
    </row>
    <row r="74" spans="1:6" s="1104" customFormat="1" ht="24">
      <c r="A74" s="1153">
        <v>14</v>
      </c>
      <c r="B74" s="3424"/>
      <c r="C74" s="1067" t="s">
        <v>1529</v>
      </c>
      <c r="D74" s="1067" t="s">
        <v>1530</v>
      </c>
      <c r="E74" s="1138">
        <v>0.2</v>
      </c>
      <c r="F74" s="1153">
        <v>30</v>
      </c>
    </row>
    <row r="75" spans="1:6" s="1104" customFormat="1" ht="24">
      <c r="A75" s="1153">
        <v>15</v>
      </c>
      <c r="B75" s="3424"/>
      <c r="C75" s="1067" t="s">
        <v>1531</v>
      </c>
      <c r="D75" s="1067" t="s">
        <v>1532</v>
      </c>
      <c r="E75" s="1138">
        <v>0.2</v>
      </c>
      <c r="F75" s="1153">
        <v>30</v>
      </c>
    </row>
    <row r="76" spans="1:6" s="1104" customFormat="1" ht="24">
      <c r="A76" s="1153">
        <v>16</v>
      </c>
      <c r="B76" s="3424" t="s">
        <v>1533</v>
      </c>
      <c r="C76" s="1067" t="s">
        <v>1534</v>
      </c>
      <c r="D76" s="1067" t="s">
        <v>1535</v>
      </c>
      <c r="E76" s="1138">
        <v>0.5</v>
      </c>
      <c r="F76" s="1153">
        <v>80</v>
      </c>
    </row>
    <row r="77" spans="1:6" s="1104" customFormat="1" ht="24">
      <c r="A77" s="1153">
        <v>17</v>
      </c>
      <c r="B77" s="3424"/>
      <c r="C77" s="1067" t="s">
        <v>1536</v>
      </c>
      <c r="D77" s="1067" t="s">
        <v>1537</v>
      </c>
      <c r="E77" s="1138">
        <v>0.5</v>
      </c>
      <c r="F77" s="1153">
        <v>80</v>
      </c>
    </row>
    <row r="78" spans="1:6" s="1104" customFormat="1" ht="24">
      <c r="A78" s="1153">
        <v>18</v>
      </c>
      <c r="B78" s="3424"/>
      <c r="C78" s="1067" t="s">
        <v>1538</v>
      </c>
      <c r="D78" s="1067" t="s">
        <v>1539</v>
      </c>
      <c r="E78" s="1138">
        <v>0.2</v>
      </c>
      <c r="F78" s="1153">
        <v>30</v>
      </c>
    </row>
    <row r="79" spans="1:6" s="1104" customFormat="1" ht="24">
      <c r="A79" s="1153">
        <v>19</v>
      </c>
      <c r="B79" s="3424"/>
      <c r="C79" s="1067" t="s">
        <v>1540</v>
      </c>
      <c r="D79" s="1067" t="s">
        <v>1541</v>
      </c>
      <c r="E79" s="1138">
        <v>0.5</v>
      </c>
      <c r="F79" s="1153">
        <v>80</v>
      </c>
    </row>
    <row r="80" spans="1:6" s="1104" customFormat="1" ht="36">
      <c r="A80" s="1153">
        <v>20</v>
      </c>
      <c r="B80" s="3424"/>
      <c r="C80" s="1067" t="s">
        <v>1542</v>
      </c>
      <c r="D80" s="1067" t="s">
        <v>1543</v>
      </c>
      <c r="E80" s="1138">
        <v>0.2</v>
      </c>
      <c r="F80" s="1153">
        <v>30</v>
      </c>
    </row>
    <row r="81" spans="1:6" s="1104" customFormat="1" ht="36">
      <c r="A81" s="1153">
        <v>21</v>
      </c>
      <c r="B81" s="3424"/>
      <c r="C81" s="1067" t="s">
        <v>1544</v>
      </c>
      <c r="D81" s="1067" t="s">
        <v>1545</v>
      </c>
      <c r="E81" s="1138">
        <v>0.2</v>
      </c>
      <c r="F81" s="1153">
        <v>30</v>
      </c>
    </row>
    <row r="82" spans="1:6" s="1104" customFormat="1" ht="48">
      <c r="A82" s="1153">
        <v>22</v>
      </c>
      <c r="B82" s="3424"/>
      <c r="C82" s="1067" t="s">
        <v>1546</v>
      </c>
      <c r="D82" s="1067" t="s">
        <v>1547</v>
      </c>
      <c r="E82" s="1138">
        <v>0.2</v>
      </c>
      <c r="F82" s="1153">
        <v>30</v>
      </c>
    </row>
    <row r="83" spans="1:6" s="1104" customFormat="1" ht="48">
      <c r="A83" s="1153">
        <v>23</v>
      </c>
      <c r="B83" s="3424"/>
      <c r="C83" s="1067" t="s">
        <v>1548</v>
      </c>
      <c r="D83" s="1067" t="s">
        <v>1549</v>
      </c>
      <c r="E83" s="1138">
        <v>0.2</v>
      </c>
      <c r="F83" s="1153">
        <v>30</v>
      </c>
    </row>
    <row r="84" spans="1:6" s="1104" customFormat="1" ht="36">
      <c r="A84" s="1153">
        <v>24</v>
      </c>
      <c r="B84" s="3424"/>
      <c r="C84" s="1067" t="s">
        <v>1550</v>
      </c>
      <c r="D84" s="1067" t="s">
        <v>1551</v>
      </c>
      <c r="E84" s="1138">
        <v>0.2</v>
      </c>
      <c r="F84" s="1153">
        <v>30</v>
      </c>
    </row>
    <row r="85" spans="1:6" s="1104" customFormat="1" ht="36">
      <c r="A85" s="1153">
        <v>25</v>
      </c>
      <c r="B85" s="3424"/>
      <c r="C85" s="1067" t="s">
        <v>1552</v>
      </c>
      <c r="D85" s="1067" t="s">
        <v>1553</v>
      </c>
      <c r="E85" s="1138">
        <v>0.5</v>
      </c>
      <c r="F85" s="1153">
        <v>80</v>
      </c>
    </row>
    <row r="86" spans="1:6" s="1104" customFormat="1" ht="36">
      <c r="A86" s="1153">
        <v>26</v>
      </c>
      <c r="B86" s="3424"/>
      <c r="C86" s="1067" t="s">
        <v>1554</v>
      </c>
      <c r="D86" s="1067" t="s">
        <v>1555</v>
      </c>
      <c r="E86" s="1138">
        <v>0.2</v>
      </c>
      <c r="F86" s="1153">
        <v>30</v>
      </c>
    </row>
    <row r="87" spans="1:6" s="1104" customFormat="1" ht="36">
      <c r="A87" s="1153">
        <v>27</v>
      </c>
      <c r="B87" s="3424"/>
      <c r="C87" s="1067" t="s">
        <v>1556</v>
      </c>
      <c r="D87" s="1067" t="s">
        <v>1557</v>
      </c>
      <c r="E87" s="1138">
        <v>0.2</v>
      </c>
      <c r="F87" s="1153">
        <v>30</v>
      </c>
    </row>
    <row r="88" spans="1:6" s="1104" customFormat="1" ht="36">
      <c r="A88" s="1153">
        <v>28</v>
      </c>
      <c r="B88" s="3424"/>
      <c r="C88" s="1067" t="s">
        <v>1558</v>
      </c>
      <c r="D88" s="1067" t="s">
        <v>1559</v>
      </c>
      <c r="E88" s="1138">
        <v>0.2</v>
      </c>
      <c r="F88" s="1153">
        <v>30</v>
      </c>
    </row>
    <row r="89" spans="1:6" s="1104" customFormat="1" ht="24">
      <c r="A89" s="1153">
        <v>29</v>
      </c>
      <c r="B89" s="3424"/>
      <c r="C89" s="1067" t="s">
        <v>1560</v>
      </c>
      <c r="D89" s="1067" t="s">
        <v>1561</v>
      </c>
      <c r="E89" s="1138">
        <v>0.2</v>
      </c>
      <c r="F89" s="1153">
        <v>30</v>
      </c>
    </row>
    <row r="90" spans="1:6" s="1104" customFormat="1" ht="24">
      <c r="A90" s="1153">
        <v>30</v>
      </c>
      <c r="B90" s="3424"/>
      <c r="C90" s="1067" t="s">
        <v>1562</v>
      </c>
      <c r="D90" s="1067" t="s">
        <v>1563</v>
      </c>
      <c r="E90" s="1138">
        <v>0.2</v>
      </c>
      <c r="F90" s="1153">
        <v>30</v>
      </c>
    </row>
    <row r="91" spans="1:6" s="1104" customFormat="1" ht="36">
      <c r="A91" s="1153">
        <v>31</v>
      </c>
      <c r="B91" s="3424"/>
      <c r="C91" s="1067" t="s">
        <v>1564</v>
      </c>
      <c r="D91" s="1067" t="s">
        <v>1565</v>
      </c>
      <c r="E91" s="1138">
        <v>0.2</v>
      </c>
      <c r="F91" s="1153">
        <v>30</v>
      </c>
    </row>
    <row r="92" spans="1:6" s="1104" customFormat="1" ht="24">
      <c r="A92" s="1153">
        <v>32</v>
      </c>
      <c r="B92" s="3424" t="s">
        <v>1566</v>
      </c>
      <c r="C92" s="1153" t="s">
        <v>1567</v>
      </c>
      <c r="D92" s="1067" t="s">
        <v>1568</v>
      </c>
      <c r="E92" s="1138">
        <v>0.2</v>
      </c>
      <c r="F92" s="1153">
        <v>30</v>
      </c>
    </row>
    <row r="93" spans="1:6" s="1104" customFormat="1" ht="36">
      <c r="A93" s="1153">
        <v>33</v>
      </c>
      <c r="B93" s="3424"/>
      <c r="C93" s="1153" t="s">
        <v>1569</v>
      </c>
      <c r="D93" s="1067" t="s">
        <v>1570</v>
      </c>
      <c r="E93" s="1138">
        <v>0.2</v>
      </c>
      <c r="F93" s="1153">
        <v>30</v>
      </c>
    </row>
    <row r="94" spans="1:6" s="1104" customFormat="1" ht="48">
      <c r="A94" s="1153">
        <v>34</v>
      </c>
      <c r="B94" s="3424"/>
      <c r="C94" s="1153" t="s">
        <v>1571</v>
      </c>
      <c r="D94" s="1067" t="s">
        <v>1572</v>
      </c>
      <c r="E94" s="1138">
        <v>0.2</v>
      </c>
      <c r="F94" s="1153">
        <v>30</v>
      </c>
    </row>
    <row r="95" spans="1:6" s="1104" customFormat="1" ht="36">
      <c r="A95" s="1153">
        <v>35</v>
      </c>
      <c r="B95" s="3424"/>
      <c r="C95" s="1153" t="s">
        <v>1573</v>
      </c>
      <c r="D95" s="1067" t="s">
        <v>1574</v>
      </c>
      <c r="E95" s="1138">
        <v>0.2</v>
      </c>
      <c r="F95" s="1153">
        <v>30</v>
      </c>
    </row>
    <row r="96" spans="1:6" s="1104" customFormat="1" ht="48">
      <c r="A96" s="1153">
        <v>36</v>
      </c>
      <c r="B96" s="3424"/>
      <c r="C96" s="1067" t="s">
        <v>1575</v>
      </c>
      <c r="D96" s="1067" t="s">
        <v>1576</v>
      </c>
      <c r="E96" s="1138">
        <v>0.2</v>
      </c>
      <c r="F96" s="1153">
        <v>30</v>
      </c>
    </row>
    <row r="97" spans="1:6" s="1104" customFormat="1" ht="36">
      <c r="A97" s="1153">
        <v>37</v>
      </c>
      <c r="B97" s="3424"/>
      <c r="C97" s="1153" t="s">
        <v>1577</v>
      </c>
      <c r="D97" s="1067" t="s">
        <v>1578</v>
      </c>
      <c r="E97" s="1138">
        <v>0.2</v>
      </c>
      <c r="F97" s="1153">
        <v>30</v>
      </c>
    </row>
    <row r="98" spans="1:6" s="1104" customFormat="1" ht="36">
      <c r="A98" s="1153">
        <v>38</v>
      </c>
      <c r="B98" s="3424"/>
      <c r="C98" s="1153" t="s">
        <v>1579</v>
      </c>
      <c r="D98" s="1067" t="s">
        <v>1580</v>
      </c>
      <c r="E98" s="1138">
        <v>0.2</v>
      </c>
      <c r="F98" s="1153">
        <v>30</v>
      </c>
    </row>
    <row r="99" spans="1:6" s="1104" customFormat="1" ht="36">
      <c r="A99" s="1153">
        <v>39</v>
      </c>
      <c r="B99" s="3424" t="s">
        <v>1581</v>
      </c>
      <c r="C99" s="1153" t="s">
        <v>1582</v>
      </c>
      <c r="D99" s="1067" t="s">
        <v>1583</v>
      </c>
      <c r="E99" s="1138">
        <v>0.3</v>
      </c>
      <c r="F99" s="1153">
        <v>50</v>
      </c>
    </row>
    <row r="100" spans="1:6" s="1104" customFormat="1" ht="24">
      <c r="A100" s="1153">
        <v>40</v>
      </c>
      <c r="B100" s="3424"/>
      <c r="C100" s="1153" t="s">
        <v>1584</v>
      </c>
      <c r="D100" s="1067" t="s">
        <v>1585</v>
      </c>
      <c r="E100" s="1138">
        <v>0.2</v>
      </c>
      <c r="F100" s="1153">
        <v>30</v>
      </c>
    </row>
    <row r="101" spans="1:6" s="1104" customFormat="1" ht="36">
      <c r="A101" s="1153">
        <v>41</v>
      </c>
      <c r="B101" s="342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4" t="s">
        <v>1596</v>
      </c>
      <c r="C105" s="1153" t="s">
        <v>1597</v>
      </c>
      <c r="D105" s="1067" t="s">
        <v>1598</v>
      </c>
      <c r="E105" s="1138">
        <v>0.2</v>
      </c>
      <c r="F105" s="1153">
        <v>30</v>
      </c>
    </row>
    <row r="106" spans="1:6" s="1104" customFormat="1" ht="36">
      <c r="A106" s="1153">
        <v>46</v>
      </c>
      <c r="B106" s="3424"/>
      <c r="C106" s="1153" t="s">
        <v>1599</v>
      </c>
      <c r="D106" s="1067" t="s">
        <v>1600</v>
      </c>
      <c r="E106" s="1138">
        <v>0.2</v>
      </c>
      <c r="F106" s="1153">
        <v>30</v>
      </c>
    </row>
    <row r="107" spans="1:6" s="1104" customFormat="1" ht="36">
      <c r="A107" s="1153">
        <v>47</v>
      </c>
      <c r="B107" s="3424" t="s">
        <v>1601</v>
      </c>
      <c r="C107" s="1153" t="s">
        <v>1602</v>
      </c>
      <c r="D107" s="1067" t="s">
        <v>1603</v>
      </c>
      <c r="E107" s="1138">
        <v>0.3</v>
      </c>
      <c r="F107" s="1153">
        <v>50</v>
      </c>
    </row>
    <row r="108" spans="1:6" s="1104" customFormat="1" ht="36">
      <c r="A108" s="1153">
        <v>48</v>
      </c>
      <c r="B108" s="342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4" t="s">
        <v>1612</v>
      </c>
      <c r="C111" s="1153" t="s">
        <v>1613</v>
      </c>
      <c r="D111" s="1067" t="s">
        <v>1614</v>
      </c>
      <c r="E111" s="1138">
        <v>0.2</v>
      </c>
      <c r="F111" s="1153">
        <v>30</v>
      </c>
    </row>
    <row r="112" spans="1:6" s="1104" customFormat="1" ht="24">
      <c r="A112" s="1153">
        <v>52</v>
      </c>
      <c r="B112" s="3424"/>
      <c r="C112" s="1153" t="s">
        <v>1615</v>
      </c>
      <c r="D112" s="1067" t="s">
        <v>1616</v>
      </c>
      <c r="E112" s="1138">
        <v>0.2</v>
      </c>
      <c r="F112" s="1153">
        <v>30</v>
      </c>
    </row>
    <row r="113" spans="1:14" s="1104" customFormat="1" ht="24">
      <c r="A113" s="1153">
        <v>53</v>
      </c>
      <c r="B113" s="342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4" t="s">
        <v>1625</v>
      </c>
      <c r="C116" s="1153" t="s">
        <v>1626</v>
      </c>
      <c r="D116" s="1067" t="s">
        <v>1627</v>
      </c>
      <c r="E116" s="1138">
        <v>0.2</v>
      </c>
      <c r="F116" s="1153">
        <v>30</v>
      </c>
    </row>
    <row r="117" spans="1:14" ht="36">
      <c r="A117" s="1153">
        <v>57</v>
      </c>
      <c r="B117" s="342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3" t="s">
        <v>1634</v>
      </c>
      <c r="B121" s="3423"/>
      <c r="C121" s="3423"/>
      <c r="D121" s="3423"/>
      <c r="E121" s="3423"/>
      <c r="F121" s="3423"/>
      <c r="G121" s="3423"/>
      <c r="H121" s="3423"/>
      <c r="I121" s="3423"/>
      <c r="J121" s="34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8" t="s">
        <v>1040</v>
      </c>
      <c r="B1" s="3428"/>
      <c r="C1" s="3428"/>
      <c r="D1" s="3428"/>
      <c r="E1" s="3428"/>
      <c r="F1" s="342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9" t="s">
        <v>1053</v>
      </c>
      <c r="B2" s="3429"/>
      <c r="C2" s="3429"/>
      <c r="D2" s="3429"/>
      <c r="E2" s="3429"/>
      <c r="F2" s="342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2" t="s">
        <v>2081</v>
      </c>
      <c r="B1" s="343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2942</v>
      </c>
      <c r="B1" s="3103"/>
      <c r="C1" s="3103"/>
      <c r="D1" s="3103"/>
      <c r="E1" s="3103"/>
      <c r="F1" s="3103"/>
    </row>
    <row r="2" spans="1:6" ht="14.25">
      <c r="A2" s="3104" t="s">
        <v>2937</v>
      </c>
      <c r="B2" s="3105" t="e">
        <f ca="1">SUMIF(B7:B14,"&lt;&gt;#ref!",B7:B14)</f>
        <v>#DIV/0!</v>
      </c>
      <c r="C2" s="3104" t="s">
        <v>2938</v>
      </c>
      <c r="D2" s="3103"/>
      <c r="E2" s="3103"/>
      <c r="F2" s="3103"/>
    </row>
    <row r="3" spans="1:6" ht="14.25">
      <c r="A3" s="3104" t="s">
        <v>2971</v>
      </c>
      <c r="B3" s="3105" t="e">
        <f ca="1">ROUND(B2*10000/E3,0)</f>
        <v>#DIV/0!</v>
      </c>
      <c r="C3" s="3104" t="s">
        <v>2080</v>
      </c>
      <c r="D3" s="3104" t="s">
        <v>2939</v>
      </c>
      <c r="E3" s="3105">
        <f ca="1">SUMIF(E7:E14,"&lt;&gt;#ref!",E7:E14)</f>
        <v>0</v>
      </c>
      <c r="F3" s="3103"/>
    </row>
    <row r="4" spans="1:6" ht="14.25">
      <c r="A4" s="3104" t="s">
        <v>2946</v>
      </c>
      <c r="B4" s="3105" t="e">
        <f ca="1">ROUND(B2*10000/E4,0)</f>
        <v>#DIV/0!</v>
      </c>
      <c r="C4" s="3104" t="s">
        <v>2080</v>
      </c>
      <c r="D4" s="3104" t="s">
        <v>2947</v>
      </c>
      <c r="E4" s="3105">
        <f ca="1">SUMIF(F7:F14,"&lt;&gt;#ref!",F7:F14)</f>
        <v>0</v>
      </c>
      <c r="F4" s="3103"/>
    </row>
    <row r="5" spans="1:6" ht="14.25">
      <c r="A5" s="3106"/>
      <c r="B5" s="1881"/>
      <c r="C5" s="1881"/>
      <c r="D5" s="1881"/>
      <c r="E5" s="1881"/>
      <c r="F5" s="3103"/>
    </row>
    <row r="6" spans="1:6" ht="28.5">
      <c r="A6" s="3107" t="s">
        <v>2943</v>
      </c>
      <c r="B6" s="3104" t="s">
        <v>2940</v>
      </c>
      <c r="C6" s="3105"/>
      <c r="D6" s="1881"/>
      <c r="E6" s="3104" t="s">
        <v>2941</v>
      </c>
      <c r="F6" s="3104" t="s">
        <v>2945</v>
      </c>
    </row>
    <row r="7" spans="1:6" ht="14.25">
      <c r="A7" s="259" t="s">
        <v>2944</v>
      </c>
      <c r="B7" s="3108" t="e">
        <f ca="1">SUMIF(INDIRECT("'"&amp;A7&amp;"'"&amp;"!A:A"),"总价",INDIRECT("'"&amp;A7&amp;"'"&amp;"!B:B"))</f>
        <v>#DIV/0!</v>
      </c>
      <c r="C7" s="3104" t="s">
        <v>2938</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2938</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2938</v>
      </c>
      <c r="D9" s="1881"/>
      <c r="E9" s="3109" t="e">
        <f t="shared" ca="1" si="1"/>
        <v>#REF!</v>
      </c>
      <c r="F9" s="3109" t="e">
        <f t="shared" ca="1" si="2"/>
        <v>#REF!</v>
      </c>
    </row>
    <row r="10" spans="1:6" ht="14.25">
      <c r="A10" s="259"/>
      <c r="B10" s="3108" t="e">
        <f t="shared" ca="1" si="0"/>
        <v>#REF!</v>
      </c>
      <c r="C10" s="3104" t="s">
        <v>2938</v>
      </c>
      <c r="D10" s="1881"/>
      <c r="E10" s="3109" t="e">
        <f t="shared" ca="1" si="1"/>
        <v>#REF!</v>
      </c>
      <c r="F10" s="3109" t="e">
        <f t="shared" ca="1" si="2"/>
        <v>#REF!</v>
      </c>
    </row>
    <row r="11" spans="1:6" ht="14.25">
      <c r="A11" s="259"/>
      <c r="B11" s="3108" t="e">
        <f t="shared" ca="1" si="0"/>
        <v>#REF!</v>
      </c>
      <c r="C11" s="3104" t="s">
        <v>2938</v>
      </c>
      <c r="D11" s="1881"/>
      <c r="E11" s="3109" t="e">
        <f t="shared" ca="1" si="1"/>
        <v>#REF!</v>
      </c>
      <c r="F11" s="3109" t="e">
        <f t="shared" ca="1" si="2"/>
        <v>#REF!</v>
      </c>
    </row>
    <row r="12" spans="1:6" ht="14.25">
      <c r="A12" s="259"/>
      <c r="B12" s="3108" t="e">
        <f t="shared" ca="1" si="0"/>
        <v>#REF!</v>
      </c>
      <c r="C12" s="3104" t="s">
        <v>2938</v>
      </c>
      <c r="D12" s="1881"/>
      <c r="E12" s="3109" t="e">
        <f t="shared" ca="1" si="1"/>
        <v>#REF!</v>
      </c>
      <c r="F12" s="3109" t="e">
        <f t="shared" ca="1" si="2"/>
        <v>#REF!</v>
      </c>
    </row>
    <row r="13" spans="1:6" ht="14.25">
      <c r="A13" s="259"/>
      <c r="B13" s="3108" t="e">
        <f t="shared" ca="1" si="0"/>
        <v>#REF!</v>
      </c>
      <c r="C13" s="3104" t="s">
        <v>2938</v>
      </c>
      <c r="D13" s="1881"/>
      <c r="E13" s="3109" t="e">
        <f t="shared" ca="1" si="1"/>
        <v>#REF!</v>
      </c>
      <c r="F13" s="3109" t="e">
        <f t="shared" ca="1" si="2"/>
        <v>#REF!</v>
      </c>
    </row>
    <row r="14" spans="1:6" ht="14.25">
      <c r="A14" s="3102"/>
      <c r="B14" s="3108" t="e">
        <f t="shared" ca="1" si="0"/>
        <v>#REF!</v>
      </c>
      <c r="C14" s="3104" t="s">
        <v>2938</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-3</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1825</v>
      </c>
      <c r="B8" s="3434" t="s">
        <v>2464</v>
      </c>
      <c r="C8" s="1825">
        <f ca="1">ROUND(F8*F10*F9*(1-F11)/10000,0)</f>
        <v>0</v>
      </c>
      <c r="D8" s="1822" t="s">
        <v>2535</v>
      </c>
      <c r="E8" s="61" t="s">
        <v>637</v>
      </c>
      <c r="F8" s="784">
        <f ca="1">INDIRECT("'数据-取费表'!u"&amp;$G$1)</f>
        <v>0</v>
      </c>
      <c r="G8" s="1591"/>
      <c r="H8" s="2504" t="s">
        <v>1825</v>
      </c>
      <c r="I8" s="3434" t="s">
        <v>2464</v>
      </c>
      <c r="J8" s="782">
        <f ca="1">ROUND(M8*M10*M9*(1-M11)/10000,0)</f>
        <v>0</v>
      </c>
      <c r="K8" s="340" t="s">
        <v>2535</v>
      </c>
      <c r="L8" s="783" t="s">
        <v>1739</v>
      </c>
      <c r="M8" s="784">
        <f ca="1">INDIRECT("'数据-取费表'!z"&amp;$G$1)</f>
        <v>0</v>
      </c>
    </row>
    <row r="9" spans="1:25" ht="18" customHeight="1">
      <c r="A9" s="2500"/>
      <c r="B9" s="3435"/>
      <c r="C9" s="1826"/>
      <c r="D9" s="1823"/>
      <c r="E9" s="61" t="s">
        <v>638</v>
      </c>
      <c r="F9" s="784">
        <f ca="1">IF(INDIRECT("'数据-取费表'!ah"&amp;$G$1)="",INDIRECT("'数据-取费表'!k"&amp;$G$1),INDIRECT("'数据-取费表'!ah"&amp;$G$1))</f>
        <v>0</v>
      </c>
      <c r="G9" s="1591"/>
      <c r="H9" s="2489"/>
      <c r="I9" s="3435"/>
      <c r="J9" s="787"/>
      <c r="K9" s="788"/>
      <c r="L9" s="783" t="s">
        <v>1740</v>
      </c>
      <c r="M9" s="784">
        <f ca="1">F9</f>
        <v>0</v>
      </c>
    </row>
    <row r="10" spans="1:25" ht="18" customHeight="1">
      <c r="A10" s="2493"/>
      <c r="B10" s="3436"/>
      <c r="C10" s="1826"/>
      <c r="D10" s="1823"/>
      <c r="E10" s="61" t="s">
        <v>639</v>
      </c>
      <c r="F10" s="784">
        <f ca="1">INDIRECT("'数据-取费表'!ai"&amp;$G$1)</f>
        <v>0</v>
      </c>
      <c r="G10" s="1591"/>
      <c r="H10" s="2489"/>
      <c r="I10" s="3436"/>
      <c r="J10" s="787"/>
      <c r="K10" s="788"/>
      <c r="L10" s="783" t="s">
        <v>1741</v>
      </c>
      <c r="M10" s="784">
        <f ca="1">INDIRECT("'数据-取费表'!ai"&amp;$G$1)</f>
        <v>0</v>
      </c>
    </row>
    <row r="11" spans="1:25" ht="18" customHeight="1">
      <c r="A11" s="785"/>
      <c r="B11" s="3437"/>
      <c r="C11" s="1826"/>
      <c r="D11" s="1823"/>
      <c r="E11" s="61" t="s">
        <v>640</v>
      </c>
      <c r="F11" s="793">
        <f ca="1">INDIRECT("'数据-取费表'!w"&amp;$G$1)</f>
        <v>0</v>
      </c>
      <c r="G11" s="1591"/>
      <c r="H11" s="2505"/>
      <c r="I11" s="3436"/>
      <c r="J11" s="787"/>
      <c r="K11" s="788"/>
      <c r="L11" s="794" t="s">
        <v>1742</v>
      </c>
      <c r="M11" s="795">
        <f ca="1">INDIRECT("'数据-取费表'!ab"&amp;$G$1)</f>
        <v>0</v>
      </c>
    </row>
    <row r="12" spans="1:25" ht="18" customHeight="1">
      <c r="A12" s="1830" t="s">
        <v>1826</v>
      </c>
      <c r="B12" s="2494" t="s">
        <v>2460</v>
      </c>
      <c r="C12" s="798">
        <f ca="1">ROUND(IF(F12="押一",C8/12*F13,IF(F12="押二",C8/12*2*F13,IF(F12="押三",C8/12*3*F13,C13*F13))),0)</f>
        <v>0</v>
      </c>
      <c r="D12" s="2501" t="s">
        <v>2967</v>
      </c>
      <c r="E12" s="2498" t="s">
        <v>2465</v>
      </c>
      <c r="F12" s="2621"/>
      <c r="G12" s="1591"/>
      <c r="H12" s="2561" t="s">
        <v>1826</v>
      </c>
      <c r="I12" s="2566" t="s">
        <v>2460</v>
      </c>
      <c r="J12" s="782">
        <f ca="1">ROUND(IF(M12="押一",J8/12*M13,IF(M12="押二",J8/12*2*M13,IF(M12="押三",J8/12*3*M13,J13*M13))),0)</f>
        <v>0</v>
      </c>
      <c r="K12" s="2501" t="s">
        <v>2967</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2071</v>
      </c>
      <c r="I16" s="2231" t="s">
        <v>2826</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10</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1876</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3</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1.4E-3</v>
      </c>
      <c r="D26" s="2571"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11" t="s">
        <v>2823</v>
      </c>
      <c r="J27" s="798">
        <f ca="1">J7-J18</f>
        <v>0</v>
      </c>
      <c r="K27" s="1979" t="s">
        <v>700</v>
      </c>
      <c r="L27" s="1981"/>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2824</v>
      </c>
      <c r="C31" s="2544">
        <f ca="1">ROUND((C21+C22+C25+C28)/(1-F23-C26-C29-C30),0)</f>
        <v>0</v>
      </c>
      <c r="D31" s="2545"/>
      <c r="E31" s="2546"/>
      <c r="F31" s="2547"/>
      <c r="G31" s="1592"/>
      <c r="H31" s="822" t="s">
        <v>1873</v>
      </c>
      <c r="I31" s="3012" t="s">
        <v>2825</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10</v>
      </c>
      <c r="G36" s="2062"/>
      <c r="H36" s="2065"/>
      <c r="I36" s="3433"/>
      <c r="J36" s="2079"/>
      <c r="K36" s="2080"/>
      <c r="L36" s="2079"/>
      <c r="M36" s="2079"/>
    </row>
    <row r="37" spans="1:18" ht="18" customHeight="1">
      <c r="A37" s="814"/>
      <c r="B37" s="792"/>
      <c r="C37" s="69"/>
      <c r="D37" s="815"/>
      <c r="E37" s="783" t="s">
        <v>674</v>
      </c>
      <c r="F37" s="784">
        <f ca="1">INDIRECT("'数据-取费表'!r"&amp;$G$1)</f>
        <v>0</v>
      </c>
      <c r="G37" s="2062"/>
      <c r="H37" s="2065"/>
      <c r="I37" s="3433"/>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5" t="s">
        <v>712</v>
      </c>
      <c r="E43" s="3120" t="s">
        <v>2955</v>
      </c>
      <c r="F43" s="3121">
        <f ca="1">INDIRECT("'数据-取费表'!j"&amp;$G$1)</f>
        <v>0</v>
      </c>
      <c r="G43" s="2062"/>
      <c r="H43" s="2062"/>
      <c r="I43" s="2062"/>
      <c r="J43" s="2062"/>
      <c r="K43" s="2083"/>
      <c r="L43" s="2062"/>
      <c r="M43" s="2062"/>
    </row>
    <row r="44" spans="1:18" ht="18" customHeight="1">
      <c r="A44" s="802" t="s">
        <v>1879</v>
      </c>
      <c r="B44" s="834" t="s">
        <v>713</v>
      </c>
      <c r="C44" s="1356">
        <f ca="1">C42-C43</f>
        <v>0</v>
      </c>
      <c r="D44" s="462" t="s">
        <v>714</v>
      </c>
      <c r="E44" s="463"/>
      <c r="F44" s="464"/>
      <c r="G44" s="2062"/>
      <c r="H44" s="2062"/>
      <c r="I44" s="2062"/>
      <c r="J44" s="2062"/>
      <c r="K44" s="2083"/>
      <c r="L44" s="2062"/>
      <c r="M44" s="2062"/>
    </row>
    <row r="45" spans="1:18" ht="18" customHeight="1">
      <c r="A45" s="802" t="s">
        <v>1880</v>
      </c>
      <c r="B45" s="1355" t="s">
        <v>715</v>
      </c>
      <c r="C45" s="3037">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22" t="s">
        <v>2958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2972</v>
      </c>
      <c r="J54" s="3154">
        <f ca="1">IF(M48="住宅",MAX(J52,L49-'数据-取费表'!B20),MIN(J52,L49-'数据-取费表'!B20))</f>
        <v>-3</v>
      </c>
      <c r="K54" s="3438"/>
      <c r="L54" s="3439"/>
      <c r="O54" s="2401" t="s">
        <v>2389</v>
      </c>
      <c r="P54" s="2399" t="s">
        <v>2390</v>
      </c>
      <c r="Q54" s="2400">
        <f ca="1">J54</f>
        <v>-3</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1679</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2935</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2577</v>
      </c>
      <c r="C1" s="3446"/>
      <c r="D1" s="3446"/>
      <c r="E1" s="3446"/>
      <c r="F1" s="3446"/>
      <c r="G1" s="3445" t="s">
        <v>2578</v>
      </c>
      <c r="H1" s="3445"/>
      <c r="I1" s="3445"/>
      <c r="J1" s="3445"/>
      <c r="K1" s="3445"/>
      <c r="L1" s="3445"/>
      <c r="N1" s="3445" t="s">
        <v>2579</v>
      </c>
      <c r="O1" s="3445"/>
      <c r="P1" s="3445"/>
      <c r="Q1" s="3445"/>
      <c r="R1" s="2654"/>
      <c r="S1" s="3445" t="s">
        <v>2580</v>
      </c>
      <c r="T1" s="3445"/>
      <c r="U1" s="3445"/>
      <c r="V1" s="3445"/>
      <c r="X1" s="3444" t="s">
        <v>2640</v>
      </c>
      <c r="Y1" s="3445"/>
      <c r="Z1" s="3445"/>
      <c r="AA1" s="3445"/>
      <c r="AB1" s="3445"/>
      <c r="AD1" s="3444" t="s">
        <v>2644</v>
      </c>
      <c r="AE1" s="3445"/>
      <c r="AF1" s="3445"/>
      <c r="AG1" s="3445"/>
      <c r="AH1" s="3445"/>
    </row>
    <row r="2" spans="1:34" s="2756" customFormat="1" ht="14.25" thickBot="1">
      <c r="B2" s="2764" t="s">
        <v>2581</v>
      </c>
      <c r="C2" s="2764" t="s">
        <v>2642</v>
      </c>
      <c r="D2" s="2757" t="s">
        <v>1645</v>
      </c>
      <c r="E2" s="2757" t="s">
        <v>1952</v>
      </c>
      <c r="F2" s="2764" t="s">
        <v>2643</v>
      </c>
      <c r="G2" s="2760"/>
      <c r="H2" s="2759"/>
      <c r="I2" s="2764" t="s">
        <v>2949</v>
      </c>
      <c r="J2" s="2757" t="s">
        <v>2951</v>
      </c>
      <c r="K2" s="2757" t="s">
        <v>2952</v>
      </c>
      <c r="L2" s="2764" t="s">
        <v>2953</v>
      </c>
      <c r="N2" s="2764" t="s">
        <v>2581</v>
      </c>
      <c r="O2" s="2757" t="s">
        <v>2950</v>
      </c>
      <c r="P2" s="2757" t="s">
        <v>1952</v>
      </c>
      <c r="Q2" s="2764" t="s">
        <v>2643</v>
      </c>
      <c r="R2" s="2758"/>
      <c r="S2" s="2764" t="s">
        <v>2581</v>
      </c>
      <c r="T2" s="2757" t="s">
        <v>2950</v>
      </c>
      <c r="U2" s="2757" t="s">
        <v>1952</v>
      </c>
      <c r="V2" s="2764" t="s">
        <v>2643</v>
      </c>
      <c r="X2" s="2764" t="s">
        <v>2581</v>
      </c>
      <c r="Y2" s="2764" t="s">
        <v>2642</v>
      </c>
      <c r="Z2" s="2757" t="s">
        <v>1645</v>
      </c>
      <c r="AA2" s="2757" t="s">
        <v>1952</v>
      </c>
      <c r="AB2" s="2764" t="s">
        <v>2643</v>
      </c>
      <c r="AD2" s="2764" t="s">
        <v>2581</v>
      </c>
      <c r="AE2" s="2764" t="s">
        <v>2642</v>
      </c>
      <c r="AF2" s="2757" t="s">
        <v>1645</v>
      </c>
      <c r="AG2" s="2757" t="s">
        <v>1952</v>
      </c>
      <c r="AH2" s="2764" t="s">
        <v>2643</v>
      </c>
    </row>
    <row r="3" spans="1:34" s="3132" customFormat="1" ht="14.25">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2973</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2974</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2969</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2960</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2964</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1"/>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1"/>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2"/>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0">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1"/>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1"/>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2"/>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0">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1"/>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1"/>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2"/>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2584</v>
      </c>
      <c r="B24" s="2661">
        <v>299</v>
      </c>
      <c r="C24" s="2661">
        <v>252</v>
      </c>
      <c r="D24" s="2661">
        <f t="shared" si="45"/>
        <v>252</v>
      </c>
      <c r="E24" s="2661">
        <v>409</v>
      </c>
      <c r="F24" s="2662">
        <v>227</v>
      </c>
      <c r="G24" s="3447">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48"/>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48"/>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49"/>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40">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41"/>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41"/>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42"/>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40">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1">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41">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42">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40">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1">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41">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42">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40">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1">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41">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42">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40">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1">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41">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42">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40">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1">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41">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42">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40">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1">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41">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42">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40">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1">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41">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42">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40">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1">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41">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42">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40">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41">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41">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42">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40">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41">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41">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42">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7" spans="1:4" ht="56.25">
      <c r="A7" s="1795" t="s">
        <v>2748</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2934</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根据《国有土地使用证》[]，估价对象（分摊）出让国有建设用地使用权面积为23013平方米。根据《建设工程规划许可证》[]、《出让合同》[]，估价对象规划建筑面积为96730.64平方米。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鲁（2018）济南市不动产权第0102470号]证载土地终止日期为住宅2088年5月15日、商业2058年5月15日、办公2068年5月15日、车库2068年5月15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c r="D1" s="3123" t="s">
        <v>952</v>
      </c>
      <c r="E1" s="2387" t="s">
        <v>2375</v>
      </c>
      <c r="F1" s="2388">
        <f ca="1">J53</f>
        <v>0</v>
      </c>
      <c r="G1" s="773">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1727</v>
      </c>
      <c r="B2" s="774" t="e">
        <f ca="1">C40+J29+L46</f>
        <v>#DIV/0!</v>
      </c>
      <c r="C2" s="2057"/>
      <c r="D2" s="2055"/>
      <c r="E2" s="2056"/>
      <c r="F2" s="2056"/>
      <c r="G2" s="1589"/>
      <c r="H2" s="2057"/>
      <c r="I2" s="2057"/>
      <c r="J2" s="2057"/>
      <c r="K2" s="2058"/>
      <c r="L2" s="2057"/>
      <c r="M2" s="2057"/>
    </row>
    <row r="3" spans="1:33" ht="18" customHeight="1" thickBot="1">
      <c r="A3" s="832" t="s">
        <v>1728</v>
      </c>
      <c r="B3" s="833">
        <f ca="1">IF(ISERROR(B2*10000/F43),0,ROUND(B2*10000/F43,0))</f>
        <v>0</v>
      </c>
      <c r="C3" s="2057"/>
      <c r="D3" s="2055"/>
      <c r="E3" s="2056"/>
      <c r="F3" s="2056"/>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0</v>
      </c>
      <c r="D5" s="2496" t="s">
        <v>2462</v>
      </c>
      <c r="E5" s="2490"/>
      <c r="F5" s="2491"/>
      <c r="G5" s="1591"/>
      <c r="H5" s="780">
        <v>1</v>
      </c>
      <c r="I5" s="781" t="s">
        <v>2459</v>
      </c>
      <c r="J5" s="55">
        <f ca="1">J6+J10+J12</f>
        <v>0</v>
      </c>
      <c r="K5" s="2496" t="s">
        <v>2462</v>
      </c>
      <c r="L5" s="2490"/>
      <c r="M5" s="2491"/>
    </row>
    <row r="6" spans="1:33" ht="18" customHeight="1">
      <c r="A6" s="1830" t="s">
        <v>1825</v>
      </c>
      <c r="B6" s="3434" t="s">
        <v>2464</v>
      </c>
      <c r="C6" s="782">
        <f ca="1">ROUND(F6*F8*F7*(1-F9)/10000,0)</f>
        <v>0</v>
      </c>
      <c r="D6" s="2497" t="s">
        <v>2463</v>
      </c>
      <c r="E6" s="783" t="s">
        <v>1739</v>
      </c>
      <c r="F6" s="784">
        <f ca="1">INDIRECT("'数据-取费表'!u"&amp;$G$1)</f>
        <v>0</v>
      </c>
      <c r="G6" s="1591"/>
      <c r="H6" s="2504" t="s">
        <v>2469</v>
      </c>
      <c r="I6" s="3434" t="s">
        <v>2464</v>
      </c>
      <c r="J6" s="782">
        <f ca="1">ROUND(M6*M8*M7*(1-M9)/10000,0)</f>
        <v>0</v>
      </c>
      <c r="K6" s="340" t="s">
        <v>1738</v>
      </c>
      <c r="L6" s="783" t="s">
        <v>1739</v>
      </c>
      <c r="M6" s="784">
        <f ca="1">INDIRECT("'数据-取费表'!z"&amp;$G$1)</f>
        <v>0</v>
      </c>
    </row>
    <row r="7" spans="1:33" ht="18" customHeight="1">
      <c r="A7" s="2500"/>
      <c r="B7" s="3435"/>
      <c r="C7" s="787"/>
      <c r="D7" s="788"/>
      <c r="E7" s="783" t="s">
        <v>1740</v>
      </c>
      <c r="F7" s="784">
        <f ca="1">IF(INDIRECT("'数据-取费表'!ah"&amp;$G$1)="",INDIRECT("'数据-取费表'!k"&amp;$G$1),INDIRECT("'数据-取费表'!ah"&amp;$G$1))</f>
        <v>0</v>
      </c>
      <c r="G7" s="1591"/>
      <c r="H7" s="2489"/>
      <c r="I7" s="3435"/>
      <c r="J7" s="787"/>
      <c r="K7" s="788"/>
      <c r="L7" s="783" t="s">
        <v>1740</v>
      </c>
      <c r="M7" s="784">
        <f ca="1">F7</f>
        <v>0</v>
      </c>
    </row>
    <row r="8" spans="1:33" ht="18" customHeight="1">
      <c r="A8" s="2493"/>
      <c r="B8" s="3436"/>
      <c r="C8" s="787"/>
      <c r="D8" s="788"/>
      <c r="E8" s="783" t="s">
        <v>1741</v>
      </c>
      <c r="F8" s="784">
        <f ca="1">INDIRECT("'数据-取费表'!ai"&amp;$G$1)</f>
        <v>0</v>
      </c>
      <c r="G8" s="1591"/>
      <c r="H8" s="2489"/>
      <c r="I8" s="3436"/>
      <c r="J8" s="787"/>
      <c r="K8" s="788"/>
      <c r="L8" s="783" t="s">
        <v>1741</v>
      </c>
      <c r="M8" s="784">
        <f ca="1">INDIRECT("'数据-取费表'!ai"&amp;$G$1)</f>
        <v>0</v>
      </c>
    </row>
    <row r="9" spans="1:33" ht="18" customHeight="1">
      <c r="A9" s="785"/>
      <c r="B9" s="3437"/>
      <c r="C9" s="787"/>
      <c r="D9" s="788"/>
      <c r="E9" s="783" t="s">
        <v>1742</v>
      </c>
      <c r="F9" s="793">
        <f ca="1">INDIRECT("'数据-取费表'!w"&amp;$G$1)</f>
        <v>0</v>
      </c>
      <c r="G9" s="1591"/>
      <c r="H9" s="2505"/>
      <c r="I9" s="3436"/>
      <c r="J9" s="787"/>
      <c r="K9" s="788"/>
      <c r="L9" s="794" t="s">
        <v>1742</v>
      </c>
      <c r="M9" s="795">
        <f ca="1">INDIRECT("'数据-取费表'!ab"&amp;$G$1)</f>
        <v>0</v>
      </c>
    </row>
    <row r="10" spans="1:33" ht="18" customHeight="1">
      <c r="A10" s="1830" t="s">
        <v>2467</v>
      </c>
      <c r="B10" s="2494" t="s">
        <v>2460</v>
      </c>
      <c r="C10" s="798">
        <f ca="1">ROUND(IF(F10="押一",C6/12*F11,IF(F10="押二",C6/12*2*F11,IF(F10="押三",C6/12*3*F11,C11*F11))),0)</f>
        <v>0</v>
      </c>
      <c r="D10" s="2501" t="s">
        <v>2967</v>
      </c>
      <c r="E10" s="2498" t="s">
        <v>2465</v>
      </c>
      <c r="F10" s="2621"/>
      <c r="G10" s="1591"/>
      <c r="H10" s="2561" t="s">
        <v>2470</v>
      </c>
      <c r="I10" s="2566" t="s">
        <v>2460</v>
      </c>
      <c r="J10" s="782">
        <f ca="1">ROUND(IF(M10="押一",J6/12*M11,IF(M10="押二",J6/12*2*M11,IF(M10="押三",J6/12*3*M11,J11*M11))),0)</f>
        <v>0</v>
      </c>
      <c r="K10" s="2501" t="s">
        <v>2967</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1743</v>
      </c>
      <c r="C13" s="791">
        <f ca="1">ROUND(C29*F13,0)</f>
        <v>0</v>
      </c>
      <c r="D13" s="1834" t="s">
        <v>2299</v>
      </c>
      <c r="E13" s="1834" t="s">
        <v>1745</v>
      </c>
      <c r="F13" s="2536">
        <f ca="1">INDIRECT("'数据-取费表'!y"&amp;$G$1)</f>
        <v>0</v>
      </c>
      <c r="G13" s="1591"/>
      <c r="H13" s="1829">
        <v>2</v>
      </c>
      <c r="I13" s="1827" t="s">
        <v>1743</v>
      </c>
      <c r="J13" s="1819">
        <f ca="1">ROUND(J14*J15,0)</f>
        <v>0</v>
      </c>
      <c r="K13" s="1821" t="s">
        <v>1744</v>
      </c>
      <c r="L13" s="2552"/>
      <c r="M13" s="2553"/>
    </row>
    <row r="14" spans="1:33" ht="18" customHeight="1">
      <c r="A14" s="1647" t="s">
        <v>1885</v>
      </c>
      <c r="B14" s="783" t="s">
        <v>645</v>
      </c>
      <c r="C14" s="803">
        <f ca="1">INDIRECT("'数据-取费表'!m"&amp;$G$1)+INDIRECT("'数据-取费表'!t"&amp;$G$1)</f>
        <v>0</v>
      </c>
      <c r="D14" s="1979" t="s">
        <v>1746</v>
      </c>
      <c r="E14" s="1980"/>
      <c r="F14" s="804"/>
      <c r="G14" s="1591"/>
      <c r="H14" s="1648" t="s">
        <v>1831</v>
      </c>
      <c r="I14" s="2231" t="s">
        <v>2827</v>
      </c>
      <c r="J14" s="53">
        <f ca="1">C29</f>
        <v>0</v>
      </c>
      <c r="K14" s="26"/>
      <c r="L14" s="800"/>
      <c r="M14" s="801"/>
    </row>
    <row r="15" spans="1:33" s="2064" customFormat="1" ht="18" customHeight="1" thickBot="1">
      <c r="A15" s="1647" t="s">
        <v>1886</v>
      </c>
      <c r="B15" s="783" t="s">
        <v>647</v>
      </c>
      <c r="C15" s="53">
        <f ca="1">ROUND(C14*F15,0)</f>
        <v>0</v>
      </c>
      <c r="D15" s="805" t="s">
        <v>1747</v>
      </c>
      <c r="E15" s="805" t="s">
        <v>1748</v>
      </c>
      <c r="F15" s="806">
        <f>'数据-取费表'!B33</f>
        <v>0.03</v>
      </c>
      <c r="G15" s="1592"/>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0</v>
      </c>
      <c r="K16" s="1821" t="s">
        <v>1751</v>
      </c>
      <c r="L16" s="2486"/>
      <c r="M16" s="2491"/>
    </row>
    <row r="17" spans="1:33" s="2064" customFormat="1" ht="18" customHeight="1">
      <c r="A17" s="1647" t="s">
        <v>1888</v>
      </c>
      <c r="B17" s="783" t="s">
        <v>653</v>
      </c>
      <c r="C17" s="53">
        <f ca="1">ROUND(F17*(F43+INDIRECT("'数据-取费表'!S"&amp;$G$1))/10000,0)</f>
        <v>0</v>
      </c>
      <c r="D17" s="783" t="s">
        <v>1752</v>
      </c>
      <c r="E17" s="783" t="s">
        <v>1753</v>
      </c>
      <c r="F17" s="56">
        <f>'数据-取费表'!B35</f>
        <v>200</v>
      </c>
      <c r="G17" s="1592"/>
      <c r="H17" s="1648" t="s">
        <v>1831</v>
      </c>
      <c r="I17" s="783" t="s">
        <v>656</v>
      </c>
      <c r="J17" s="53">
        <f ca="1">ROUND(IF(项目基本情况!B11="自然人",J5*M17,J18+J19+J20),0)</f>
        <v>0</v>
      </c>
      <c r="K17" s="2485" t="s">
        <v>1754</v>
      </c>
      <c r="L17" s="2484" t="s">
        <v>1755</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0</v>
      </c>
      <c r="D18" s="783" t="s">
        <v>1747</v>
      </c>
      <c r="E18" s="783" t="s">
        <v>1748</v>
      </c>
      <c r="F18" s="808">
        <f>'数据-取费表'!B36</f>
        <v>1.4999999999999999E-2</v>
      </c>
      <c r="G18" s="1592"/>
      <c r="H18" s="1647" t="s">
        <v>1885</v>
      </c>
      <c r="I18" s="783" t="s">
        <v>1756</v>
      </c>
      <c r="J18" s="53">
        <f ca="1">ROUND(J5*M18/1.05,1)</f>
        <v>0</v>
      </c>
      <c r="K18" s="2484" t="s">
        <v>1757</v>
      </c>
      <c r="L18" s="783" t="s">
        <v>1748</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0</v>
      </c>
      <c r="D19" s="260" t="s">
        <v>1758</v>
      </c>
      <c r="E19" s="1982"/>
      <c r="F19" s="56"/>
      <c r="G19" s="1591"/>
      <c r="H19" s="1647" t="s">
        <v>1886</v>
      </c>
      <c r="I19" s="783" t="s">
        <v>1759</v>
      </c>
      <c r="J19" s="53">
        <f ca="1">IF(K19="按租金收入计税",ROUND(J5*M19,1),ROUND(C29*F33*0.7,1))</f>
        <v>0</v>
      </c>
      <c r="K19" s="810" t="s">
        <v>665</v>
      </c>
      <c r="L19" s="783" t="s">
        <v>1748</v>
      </c>
      <c r="M19" s="808">
        <f>IF(K19="按租金收入计税",'数据-取费表'!B51,'数据-取费表'!B50)</f>
        <v>1.2E-2</v>
      </c>
    </row>
    <row r="20" spans="1:33" s="2064" customFormat="1" ht="18" customHeight="1">
      <c r="A20" s="1648" t="s">
        <v>1890</v>
      </c>
      <c r="B20" s="783" t="s">
        <v>666</v>
      </c>
      <c r="C20" s="53">
        <f ca="1">ROUND(C19*F20,0)</f>
        <v>0</v>
      </c>
      <c r="D20" s="811" t="s">
        <v>1760</v>
      </c>
      <c r="E20" s="783" t="s">
        <v>1748</v>
      </c>
      <c r="F20" s="808">
        <f>'数据-取费表'!B37</f>
        <v>0.02</v>
      </c>
      <c r="G20" s="1592"/>
      <c r="H20" s="1650" t="s">
        <v>1881</v>
      </c>
      <c r="I20" s="340" t="s">
        <v>1761</v>
      </c>
      <c r="J20" s="54">
        <f ca="1">ROUND(M20*M21/10000,0)</f>
        <v>0</v>
      </c>
      <c r="K20" s="813" t="s">
        <v>1762</v>
      </c>
      <c r="L20" s="783" t="s">
        <v>1763</v>
      </c>
      <c r="M20" s="639">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2300</v>
      </c>
      <c r="E21" s="783" t="s">
        <v>1766</v>
      </c>
      <c r="F21" s="808">
        <f>'数据-取费表'!B38</f>
        <v>0.02</v>
      </c>
      <c r="G21" s="1592"/>
      <c r="H21" s="2506"/>
      <c r="I21" s="792"/>
      <c r="J21" s="69"/>
      <c r="K21" s="815"/>
      <c r="L21" s="783" t="s">
        <v>1767</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72"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0</v>
      </c>
      <c r="K22" s="2484" t="s">
        <v>1770</v>
      </c>
      <c r="L22" s="783" t="s">
        <v>1748</v>
      </c>
      <c r="M22" s="816">
        <f ca="1">INDIRECT("'数据-取费表'!Ak"&amp;$G$1)</f>
        <v>0</v>
      </c>
    </row>
    <row r="23" spans="1:33" s="2064" customFormat="1" ht="18" customHeight="1">
      <c r="A23" s="1647" t="s">
        <v>1832</v>
      </c>
      <c r="B23" s="783" t="s">
        <v>2536</v>
      </c>
      <c r="C23" s="53">
        <f ca="1">ROUND(IF('数据-取费表'!B22&lt;=1,(C19+C20)*F24*F23/2,(C19+C20)*(POWER((1+F24),F23/2)-1)),0)</f>
        <v>0</v>
      </c>
      <c r="D23" s="2571" t="str">
        <f>IF(F23&lt;=1,"(建造成本+管理费用)×利率×(建设周期÷2)","(建造成本+管理费用)×((1+利率)^(建设周期÷2)-1)")</f>
        <v>(建造成本+管理费用)×((1+利率)^(建设周期÷2)-1)</v>
      </c>
      <c r="E23" s="783" t="s">
        <v>1771</v>
      </c>
      <c r="F23" s="639">
        <f>'数据-取费表'!B20</f>
        <v>3</v>
      </c>
      <c r="G23" s="1592"/>
      <c r="H23" s="1648" t="s">
        <v>1891</v>
      </c>
      <c r="I23" s="783" t="s">
        <v>679</v>
      </c>
      <c r="J23" s="53">
        <f ca="1">ROUND(J13*M23,0)</f>
        <v>0</v>
      </c>
      <c r="K23" s="2484" t="s">
        <v>1772</v>
      </c>
      <c r="L23" s="783" t="s">
        <v>1748</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1.4E-3</v>
      </c>
      <c r="D24" s="2571" t="str">
        <f>IF(F23&lt;=1,"销售费用×利率×(建设周期÷2)","销售费用×((1+利率)^(建设周期÷2)-1)")</f>
        <v>销售费用×((1+利率)^(建设周期÷2)-1)</v>
      </c>
      <c r="E24" s="783" t="s">
        <v>1774</v>
      </c>
      <c r="F24" s="818">
        <f ca="1">'数据-取费表'!B40</f>
        <v>4.7500000000000001E-2</v>
      </c>
      <c r="G24" s="1592"/>
      <c r="H24" s="2551" t="s">
        <v>1892</v>
      </c>
      <c r="I24" s="2546" t="s">
        <v>666</v>
      </c>
      <c r="J24" s="2544">
        <f ca="1">ROUND(J5*M24,0)</f>
        <v>0</v>
      </c>
      <c r="K24" s="2545" t="s">
        <v>1775</v>
      </c>
      <c r="L24" s="2546" t="s">
        <v>1748</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10" t="s">
        <v>2823</v>
      </c>
      <c r="J25" s="791">
        <f ca="1">J5-J16</f>
        <v>0</v>
      </c>
      <c r="K25" s="2548" t="s">
        <v>1778</v>
      </c>
      <c r="L25" s="2549"/>
      <c r="M25" s="2550"/>
    </row>
    <row r="26" spans="1:33" ht="18" customHeight="1">
      <c r="A26" s="1647" t="s">
        <v>1832</v>
      </c>
      <c r="B26" s="783" t="s">
        <v>2439</v>
      </c>
      <c r="C26" s="53">
        <f ca="1">ROUND((C19+C20)*F26,0)</f>
        <v>0</v>
      </c>
      <c r="D26" s="811" t="s">
        <v>1779</v>
      </c>
      <c r="E26" s="794" t="s">
        <v>1780</v>
      </c>
      <c r="F26" s="793">
        <f ca="1">INDIRECT("'数据-取费表'!q"&amp;$G$1)</f>
        <v>0</v>
      </c>
      <c r="G26" s="1591"/>
      <c r="H26" s="2502" t="s">
        <v>1781</v>
      </c>
      <c r="I26" s="2232" t="s">
        <v>2828</v>
      </c>
      <c r="J26" s="782">
        <f ca="1">IF(J5&lt;&gt;0,ROUND(J25*(1-((1+M28)/(1+M26))^M27)/(M26-M28),0),0)</f>
        <v>0</v>
      </c>
      <c r="K26" s="813" t="s">
        <v>1782</v>
      </c>
      <c r="L26" s="783" t="s">
        <v>2420</v>
      </c>
      <c r="M26" s="793">
        <f ca="1">INDIRECT("'数据-取费表'!I"&amp;$G$1)</f>
        <v>0</v>
      </c>
    </row>
    <row r="27" spans="1:33" ht="18" customHeight="1">
      <c r="A27" s="1647" t="s">
        <v>1833</v>
      </c>
      <c r="B27" s="783" t="s">
        <v>686</v>
      </c>
      <c r="C27" s="53">
        <f ca="1">ROUND(F21*F26,4)</f>
        <v>0</v>
      </c>
      <c r="D27" s="811" t="s">
        <v>1783</v>
      </c>
      <c r="E27" s="805"/>
      <c r="F27" s="806"/>
      <c r="G27" s="1591"/>
      <c r="H27" s="2503"/>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5.33E-2</v>
      </c>
      <c r="D28" s="811" t="s">
        <v>2301</v>
      </c>
      <c r="E28" s="783" t="s">
        <v>1786</v>
      </c>
      <c r="F28" s="808">
        <f>'数据-取费表'!B41</f>
        <v>5.6000000000000001E-2</v>
      </c>
      <c r="G28" s="1592"/>
      <c r="H28" s="1829"/>
      <c r="I28" s="790"/>
      <c r="J28" s="791"/>
      <c r="K28" s="815"/>
      <c r="L28" s="783" t="s">
        <v>1787</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2302</v>
      </c>
      <c r="C29" s="2544">
        <f ca="1">ROUND((C19+C20+C23+C26)/(1-F21-C24-C27-C28),0)</f>
        <v>0</v>
      </c>
      <c r="D29" s="2545"/>
      <c r="E29" s="2546"/>
      <c r="F29" s="2547"/>
      <c r="G29" s="1592"/>
      <c r="H29" s="822" t="s">
        <v>1788</v>
      </c>
      <c r="I29" s="823" t="s">
        <v>1789</v>
      </c>
      <c r="J29" s="824">
        <f ca="1">ROUND(J26/(1+F40)^F41,0)</f>
        <v>0</v>
      </c>
      <c r="K29" s="825" t="s">
        <v>1790</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0</v>
      </c>
      <c r="D30" s="1821" t="s">
        <v>1792</v>
      </c>
      <c r="E30" s="2486"/>
      <c r="F30" s="2491"/>
      <c r="G30" s="2062"/>
      <c r="H30" s="2065"/>
      <c r="I30" s="2066"/>
      <c r="J30" s="2067"/>
      <c r="K30" s="2068"/>
      <c r="L30" s="2069"/>
      <c r="M30" s="2070"/>
    </row>
    <row r="31" spans="1:33" ht="18" customHeight="1">
      <c r="A31" s="1648" t="s">
        <v>1831</v>
      </c>
      <c r="B31" s="783" t="s">
        <v>656</v>
      </c>
      <c r="C31" s="53">
        <f ca="1">ROUND(IF(项目基本情况!B11="自然人",C5*F31,C32+C33+C34),1)</f>
        <v>0</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0</v>
      </c>
      <c r="D32" s="1977" t="s">
        <v>1796</v>
      </c>
      <c r="E32" s="783" t="s">
        <v>1797</v>
      </c>
      <c r="F32" s="808">
        <f>'数据-取费表'!B41</f>
        <v>5.6000000000000001E-2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0</v>
      </c>
      <c r="D33" s="810" t="s">
        <v>1681</v>
      </c>
      <c r="E33" s="783" t="s">
        <v>1797</v>
      </c>
      <c r="F33" s="808">
        <f>IF(D33="按租金收入计税",'数据-取费表'!B51,'数据-取费表'!B50)</f>
        <v>1.2E-2</v>
      </c>
      <c r="G33" s="2062"/>
      <c r="H33" s="2077"/>
      <c r="I33" s="2077"/>
      <c r="J33" s="2077"/>
      <c r="K33" s="2078"/>
      <c r="L33" s="2077"/>
      <c r="M33" s="2077"/>
    </row>
    <row r="34" spans="1:18" ht="18" customHeight="1">
      <c r="A34" s="1650" t="s">
        <v>1834</v>
      </c>
      <c r="B34" s="340" t="s">
        <v>1799</v>
      </c>
      <c r="C34" s="54">
        <f ca="1">ROUND(F34*F35/10000,1)</f>
        <v>0</v>
      </c>
      <c r="D34" s="813" t="s">
        <v>1800</v>
      </c>
      <c r="E34" s="783" t="s">
        <v>1801</v>
      </c>
      <c r="F34" s="639">
        <f>'数据-取费表'!B52</f>
        <v>10</v>
      </c>
      <c r="G34" s="2062"/>
      <c r="H34" s="2065"/>
      <c r="I34" s="834" t="s">
        <v>1814</v>
      </c>
      <c r="J34" s="835"/>
      <c r="K34" s="2080"/>
      <c r="L34" s="2079"/>
      <c r="M34" s="2079"/>
    </row>
    <row r="35" spans="1:18" ht="18" customHeight="1">
      <c r="A35" s="814"/>
      <c r="B35" s="792"/>
      <c r="C35" s="69"/>
      <c r="D35" s="815"/>
      <c r="E35" s="783" t="s">
        <v>1802</v>
      </c>
      <c r="F35" s="784">
        <f ca="1">INDIRECT("'数据-取费表'!r"&amp;$G$1)</f>
        <v>0</v>
      </c>
      <c r="G35" s="2062"/>
      <c r="H35" s="2065"/>
      <c r="I35" s="836" t="s">
        <v>1815</v>
      </c>
      <c r="J35" s="837">
        <f ca="1">ROUND(C13*J36,0)</f>
        <v>0</v>
      </c>
      <c r="K35" s="2078"/>
      <c r="L35" s="2077"/>
      <c r="M35" s="2077"/>
    </row>
    <row r="36" spans="1:18" ht="18" customHeight="1">
      <c r="A36" s="1648" t="s">
        <v>1890</v>
      </c>
      <c r="B36" s="783" t="s">
        <v>1803</v>
      </c>
      <c r="C36" s="53">
        <f ca="1">ROUND(C29*F36,1)</f>
        <v>0</v>
      </c>
      <c r="D36" s="1977" t="s">
        <v>1804</v>
      </c>
      <c r="E36" s="783" t="s">
        <v>1797</v>
      </c>
      <c r="F36" s="816">
        <f ca="1">INDIRECT("'数据-取费表'!Ak"&amp;$G$1)</f>
        <v>0</v>
      </c>
      <c r="G36" s="2062"/>
      <c r="H36" s="2077"/>
      <c r="I36" s="838" t="s">
        <v>1816</v>
      </c>
      <c r="J36" s="839">
        <f ca="1">INDIRECT("'数据-取费表'!j"&amp;$G$1)</f>
        <v>0</v>
      </c>
      <c r="K36" s="2082"/>
      <c r="L36" s="2077"/>
      <c r="M36" s="2077"/>
    </row>
    <row r="37" spans="1:18" ht="18" customHeight="1">
      <c r="A37" s="1648" t="s">
        <v>1891</v>
      </c>
      <c r="B37" s="783" t="s">
        <v>679</v>
      </c>
      <c r="C37" s="53">
        <f ca="1">ROUND(C13*F37,1)</f>
        <v>0</v>
      </c>
      <c r="D37" s="1977" t="s">
        <v>1805</v>
      </c>
      <c r="E37" s="783" t="s">
        <v>1797</v>
      </c>
      <c r="F37" s="817">
        <f ca="1">INDIRECT("'数据-取费表'!Al"&amp;$G$1)</f>
        <v>0</v>
      </c>
      <c r="G37" s="2062"/>
      <c r="H37" s="2077"/>
      <c r="I37" s="840" t="s">
        <v>1817</v>
      </c>
      <c r="J37" s="841"/>
      <c r="K37" s="2082"/>
      <c r="L37" s="2077"/>
      <c r="M37" s="2077"/>
    </row>
    <row r="38" spans="1:18" ht="18" customHeight="1" thickBot="1">
      <c r="A38" s="2551" t="s">
        <v>1892</v>
      </c>
      <c r="B38" s="2546" t="s">
        <v>666</v>
      </c>
      <c r="C38" s="2544">
        <f ca="1">ROUND(C5*F38,1)</f>
        <v>0</v>
      </c>
      <c r="D38" s="2545" t="s">
        <v>1806</v>
      </c>
      <c r="E38" s="2546" t="s">
        <v>1797</v>
      </c>
      <c r="F38" s="2542">
        <f ca="1">INDIRECT("'数据-取费表'!Am"&amp;$G$1)</f>
        <v>0</v>
      </c>
      <c r="G38" s="2062"/>
      <c r="H38" s="2077"/>
      <c r="I38" s="842" t="s">
        <v>1818</v>
      </c>
      <c r="J38" s="843"/>
      <c r="K38" s="2083"/>
      <c r="L38" s="2077"/>
      <c r="M38" s="2077"/>
    </row>
    <row r="39" spans="1:18" ht="24.6" customHeight="1" thickTop="1">
      <c r="A39" s="1829" t="s">
        <v>1895</v>
      </c>
      <c r="B39" s="3010" t="s">
        <v>2823</v>
      </c>
      <c r="C39" s="791">
        <f ca="1">C5-C30</f>
        <v>0</v>
      </c>
      <c r="D39" s="2548" t="s">
        <v>1807</v>
      </c>
      <c r="E39" s="2549"/>
      <c r="F39" s="2550"/>
      <c r="G39" s="2062"/>
      <c r="H39" s="2077"/>
      <c r="I39" s="836" t="s">
        <v>1819</v>
      </c>
      <c r="J39" s="844" t="e">
        <f ca="1">ROUND(J35/C39,3)</f>
        <v>#DIV/0!</v>
      </c>
      <c r="K39" s="2083"/>
      <c r="L39" s="2077"/>
      <c r="M39" s="2077"/>
    </row>
    <row r="40" spans="1:18" ht="18" customHeight="1">
      <c r="A40" s="780" t="s">
        <v>1896</v>
      </c>
      <c r="B40" s="2232" t="s">
        <v>2303</v>
      </c>
      <c r="C40" s="782" t="e">
        <f ca="1">ROUND(C39*(1-((1+F42)/(1+F40))^F41)/(F40-F42),0)</f>
        <v>#DIV/0!</v>
      </c>
      <c r="D40" s="813" t="s">
        <v>1808</v>
      </c>
      <c r="E40" s="783" t="s">
        <v>2420</v>
      </c>
      <c r="F40" s="793">
        <f ca="1">INDIRECT("'数据-取费表'!I"&amp;$G$1)</f>
        <v>0</v>
      </c>
      <c r="G40" s="2062"/>
      <c r="H40" s="2062"/>
      <c r="I40" s="836" t="s">
        <v>1820</v>
      </c>
      <c r="J40" s="844" t="e">
        <f ca="1">1-J39</f>
        <v>#DIV/0!</v>
      </c>
      <c r="K40" s="2083"/>
      <c r="L40" s="2062"/>
      <c r="M40" s="2062"/>
    </row>
    <row r="41" spans="1:18" ht="18" customHeight="1">
      <c r="A41" s="785"/>
      <c r="B41" s="786"/>
      <c r="C41" s="787"/>
      <c r="D41" s="820" t="s">
        <v>1809</v>
      </c>
      <c r="E41" s="783" t="s">
        <v>2957</v>
      </c>
      <c r="F41" s="821">
        <f ca="1">IF(INDIRECT("'数据-取费表'!af"&amp;$G$1)=0,INDIRECT("'数据-取费表'!ae"&amp;$G$1),INDIRECT("'数据-取费表'!af"&amp;$G$1))</f>
        <v>0</v>
      </c>
      <c r="G41" s="2062"/>
      <c r="H41" s="1988"/>
      <c r="I41" s="842" t="s">
        <v>1821</v>
      </c>
      <c r="J41" s="845"/>
      <c r="K41" s="2082"/>
      <c r="L41" s="1988"/>
      <c r="M41" s="1988"/>
    </row>
    <row r="42" spans="1:18" ht="18" customHeight="1">
      <c r="A42" s="789"/>
      <c r="B42" s="790"/>
      <c r="C42" s="791"/>
      <c r="D42" s="815"/>
      <c r="E42" s="783" t="s">
        <v>1810</v>
      </c>
      <c r="F42" s="793">
        <f ca="1">INDIRECT("'数据-取费表'!v"&amp;$G$1)</f>
        <v>0</v>
      </c>
      <c r="G42" s="2062"/>
      <c r="H42" s="1988"/>
      <c r="I42" s="846" t="s">
        <v>1822</v>
      </c>
      <c r="J42" s="844" t="e">
        <f ca="1">ROUND(C13/C40,3)</f>
        <v>#DIV/0!</v>
      </c>
      <c r="K42" s="2082"/>
      <c r="L42" s="1988"/>
      <c r="M42" s="1988"/>
    </row>
    <row r="43" spans="1:18" ht="18" customHeight="1" thickBot="1">
      <c r="A43" s="822" t="s">
        <v>1788</v>
      </c>
      <c r="B43" s="823" t="s">
        <v>1811</v>
      </c>
      <c r="C43" s="824" t="e">
        <f ca="1">ROUND(C40*10000/F43,0)</f>
        <v>#DIV/0!</v>
      </c>
      <c r="D43" s="825" t="s">
        <v>1812</v>
      </c>
      <c r="E43" s="826" t="s">
        <v>1813</v>
      </c>
      <c r="F43" s="827">
        <f ca="1">INDIRECT("'数据-取费表'!k"&amp;$G$1)</f>
        <v>0</v>
      </c>
      <c r="G43" s="2062"/>
      <c r="H43" s="1988"/>
      <c r="I43" s="846" t="s">
        <v>1823</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#DIV/0!</v>
      </c>
      <c r="D46" s="2085"/>
      <c r="E46" s="2085"/>
      <c r="F46" s="2085"/>
      <c r="I46" s="2378" t="s">
        <v>2344</v>
      </c>
      <c r="J46" s="2379"/>
      <c r="K46" s="2380"/>
      <c r="L46" s="3158" t="e">
        <f ca="1">IF(OR(M47="住宅",D1="土地（套用方法）"),0,IF(L48&gt;J51,L60,J60))</f>
        <v>#DIV/0!</v>
      </c>
      <c r="O46" s="2394" t="s">
        <v>2411</v>
      </c>
      <c r="P46" s="1591"/>
      <c r="Q46" s="1603"/>
      <c r="R46" s="1591"/>
    </row>
    <row r="47" spans="1:18" s="2059" customFormat="1" ht="18" customHeight="1" thickBot="1">
      <c r="A47" s="2372">
        <v>1</v>
      </c>
      <c r="B47" s="2373" t="s">
        <v>635</v>
      </c>
      <c r="C47" s="2574">
        <f ca="1">C48+C52+C54</f>
        <v>0</v>
      </c>
      <c r="D47" s="2085"/>
      <c r="E47" s="2085"/>
      <c r="F47" s="2085"/>
      <c r="I47" s="3148" t="s">
        <v>2345</v>
      </c>
      <c r="J47" s="2381"/>
      <c r="K47" s="3155" t="s">
        <v>2350</v>
      </c>
      <c r="L47" s="3159">
        <f ca="1">INDIRECT("'数据-取费表'!d"&amp;$G$1)</f>
        <v>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2298</v>
      </c>
      <c r="F48" s="2377"/>
      <c r="G48" s="2090"/>
      <c r="I48" s="3124" t="s">
        <v>2346</v>
      </c>
      <c r="J48" s="2382"/>
      <c r="K48" s="3156" t="s">
        <v>2352</v>
      </c>
      <c r="L48" s="1908">
        <f ca="1">INDIRECT("'数据-取费表'!f"&amp;$G$1)</f>
        <v>0</v>
      </c>
      <c r="O48" s="2398" t="s">
        <v>2380</v>
      </c>
      <c r="P48" s="2399" t="s">
        <v>2406</v>
      </c>
      <c r="Q48" s="2400" t="e">
        <f ca="1">C40+J29</f>
        <v>#DIV/0!</v>
      </c>
      <c r="R48" s="2399" t="s">
        <v>2381</v>
      </c>
    </row>
    <row r="49" spans="1:18" s="2059" customFormat="1" ht="18" customHeight="1" thickBot="1">
      <c r="A49" s="785"/>
      <c r="B49" s="786"/>
      <c r="C49" s="787"/>
      <c r="D49" s="788"/>
      <c r="E49" s="783" t="s">
        <v>1740</v>
      </c>
      <c r="F49" s="784">
        <f ca="1">F7</f>
        <v>0</v>
      </c>
      <c r="G49" s="2090"/>
      <c r="H49" s="2093"/>
      <c r="I49" s="3124" t="s">
        <v>2347</v>
      </c>
      <c r="J49" s="2383"/>
      <c r="K49" s="3157" t="s">
        <v>2353</v>
      </c>
      <c r="L49" s="2384"/>
      <c r="O49" s="2398" t="s">
        <v>2382</v>
      </c>
      <c r="P49" s="2399" t="s">
        <v>2407</v>
      </c>
      <c r="Q49" s="2400" t="e">
        <f ca="1">J60</f>
        <v>#DIV/0!</v>
      </c>
      <c r="R49" s="2399" t="s">
        <v>2383</v>
      </c>
    </row>
    <row r="50" spans="1:18" s="2059" customFormat="1" ht="18" customHeight="1" thickBot="1">
      <c r="A50" s="785"/>
      <c r="B50" s="786"/>
      <c r="C50" s="787"/>
      <c r="D50" s="788"/>
      <c r="E50" s="783" t="s">
        <v>1741</v>
      </c>
      <c r="F50" s="784">
        <f ca="1">F8</f>
        <v>0</v>
      </c>
      <c r="G50" s="2095"/>
      <c r="H50" s="2093"/>
      <c r="I50" s="3124" t="s">
        <v>2348</v>
      </c>
      <c r="J50" s="3152">
        <f>SUMPRODUCT((I63:I65=J47)*(J62:L62=J48)*(J63:L65))</f>
        <v>0</v>
      </c>
      <c r="K50" s="3157" t="s">
        <v>2354</v>
      </c>
      <c r="L50" s="2384"/>
      <c r="O50" s="2401" t="s">
        <v>2384</v>
      </c>
      <c r="P50" s="2399" t="s">
        <v>2408</v>
      </c>
      <c r="Q50" s="2400">
        <f ca="1">C29</f>
        <v>0</v>
      </c>
      <c r="R50" s="2399" t="s">
        <v>2381</v>
      </c>
    </row>
    <row r="51" spans="1:18" s="2059" customFormat="1" ht="18" customHeight="1" thickBot="1">
      <c r="A51" s="785"/>
      <c r="B51" s="786"/>
      <c r="C51" s="787"/>
      <c r="D51" s="788"/>
      <c r="E51" s="783" t="s">
        <v>640</v>
      </c>
      <c r="F51" s="2371"/>
      <c r="H51" s="2093"/>
      <c r="I51" s="3149" t="s">
        <v>2349</v>
      </c>
      <c r="J51" s="3153">
        <f>IF(J49="",J50,J49+J50-YEAR('数据-取费表'!B2))</f>
        <v>0</v>
      </c>
      <c r="K51" s="3124" t="s">
        <v>2355</v>
      </c>
      <c r="L51" s="3160">
        <f ca="1">ROUND(-PV(INDIRECT("'数据-取费表'!h"&amp;$G$1),L48,(C39-C13*J36),0),0)</f>
        <v>0</v>
      </c>
      <c r="O51" s="2401" t="s">
        <v>2385</v>
      </c>
      <c r="P51" s="2399" t="s">
        <v>2386</v>
      </c>
      <c r="Q51" s="2402" t="e">
        <f ca="1">J58</f>
        <v>#DIV/0!</v>
      </c>
      <c r="R51" s="2403"/>
    </row>
    <row r="52" spans="1:18" s="2059" customFormat="1" ht="18" customHeight="1" thickBot="1">
      <c r="A52" s="780" t="s">
        <v>2537</v>
      </c>
      <c r="B52" s="2494" t="s">
        <v>2460</v>
      </c>
      <c r="C52" s="798">
        <f ca="1">ROUND(IF(F52="押一",C48/12*F11,IF(F52="押二",C48/12*2*F11,IF(F52="押三",C48/12*3*F11,C53*F11))),0)</f>
        <v>0</v>
      </c>
      <c r="D52" s="2501" t="s">
        <v>2968</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2972</v>
      </c>
      <c r="J53" s="3154">
        <f ca="1">IF(M47="住宅",IF(D1="——",MAX(J51,L48),MAX(J51,L48-'数据-取费表'!B20)),IF(D1="——",MIN(J51,L48),MIN(J51,L48-'数据-取费表'!B20)))</f>
        <v>0</v>
      </c>
      <c r="K53" s="3450" t="s">
        <v>2959</v>
      </c>
      <c r="L53" s="3451"/>
      <c r="O53" s="2401" t="s">
        <v>2389</v>
      </c>
      <c r="P53" s="2399" t="s">
        <v>2390</v>
      </c>
      <c r="Q53" s="2400">
        <f ca="1">J53</f>
        <v>0</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2392</v>
      </c>
      <c r="P54" s="2399" t="s">
        <v>2409</v>
      </c>
      <c r="Q54" s="2400" t="e">
        <f ca="1">Q48+Q49</f>
        <v>#DIV/0!</v>
      </c>
      <c r="R54" s="2403" t="s">
        <v>2393</v>
      </c>
    </row>
    <row r="55" spans="1:18" s="2059" customFormat="1" ht="18" customHeight="1" thickTop="1" thickBot="1">
      <c r="A55" s="796">
        <v>2</v>
      </c>
      <c r="B55" s="797" t="s">
        <v>644</v>
      </c>
      <c r="C55" s="798">
        <f ca="1">C13</f>
        <v>0</v>
      </c>
      <c r="D55" s="794"/>
      <c r="E55" s="794"/>
      <c r="F55" s="799"/>
      <c r="I55" s="3163" t="s">
        <v>2356</v>
      </c>
      <c r="J55" s="3099" t="e">
        <f ca="1">ROUND(IF(J47="钢混",J57/J50,1-(1-2%)*(J50-J57)/J50),3)</f>
        <v>#DIV/0!</v>
      </c>
      <c r="K55" s="3164" t="s">
        <v>2357</v>
      </c>
      <c r="L55" s="2386"/>
      <c r="O55" s="2404" t="s">
        <v>2412</v>
      </c>
      <c r="P55" s="1591"/>
      <c r="Q55" s="1603"/>
      <c r="R55" s="1591"/>
    </row>
    <row r="56" spans="1:18" s="2059" customFormat="1" ht="42.75" customHeight="1" thickBot="1">
      <c r="A56" s="1649"/>
      <c r="B56" s="2231" t="s">
        <v>2304</v>
      </c>
      <c r="C56" s="53">
        <f ca="1">C29</f>
        <v>0</v>
      </c>
      <c r="D56" s="2639"/>
      <c r="E56" s="783"/>
      <c r="F56" s="808"/>
      <c r="I56" s="3165" t="s">
        <v>2358</v>
      </c>
      <c r="J56" s="3175"/>
      <c r="K56" s="3124" t="s">
        <v>2363</v>
      </c>
      <c r="L56" s="1908">
        <f ca="1">IF(L48&lt;J51,"——",L48-J51)</f>
        <v>0</v>
      </c>
      <c r="O56" s="2395" t="s">
        <v>2376</v>
      </c>
      <c r="P56" s="2396" t="s">
        <v>2377</v>
      </c>
      <c r="Q56" s="2397" t="s">
        <v>2378</v>
      </c>
      <c r="R56" s="2396" t="s">
        <v>2379</v>
      </c>
    </row>
    <row r="57" spans="1:18" s="2059" customFormat="1" ht="28.5" customHeight="1" thickBot="1">
      <c r="A57" s="796" t="s">
        <v>1749</v>
      </c>
      <c r="B57" s="797" t="s">
        <v>651</v>
      </c>
      <c r="C57" s="798">
        <f ca="1">ROUND(C58+C63+C64+C65,0)</f>
        <v>0</v>
      </c>
      <c r="D57" s="26" t="s">
        <v>1751</v>
      </c>
      <c r="E57" s="2640"/>
      <c r="F57" s="56"/>
      <c r="I57" s="3166" t="s">
        <v>2359</v>
      </c>
      <c r="J57" s="3167">
        <f ca="1">IF(OR(M47="住宅",J51&lt;L48,J56="是"),"——",J51-L48)</f>
        <v>0</v>
      </c>
      <c r="K57" s="3124" t="s">
        <v>2364</v>
      </c>
      <c r="L57" s="1908">
        <f ca="1">IF(L48&lt;J51,"——",IF(L55="比较法",L49,IF(L55="基准地价",L50,L51)))</f>
        <v>0</v>
      </c>
      <c r="O57" s="2398" t="s">
        <v>2380</v>
      </c>
      <c r="P57" s="2399" t="s">
        <v>2410</v>
      </c>
      <c r="Q57" s="2400" t="e">
        <f ca="1">C40+J29</f>
        <v>#DIV/0!</v>
      </c>
      <c r="R57" s="2399" t="s">
        <v>2381</v>
      </c>
    </row>
    <row r="58" spans="1:18" s="2059" customFormat="1" ht="28.5" customHeight="1" thickBot="1">
      <c r="A58" s="1648" t="s">
        <v>1825</v>
      </c>
      <c r="B58" s="783" t="s">
        <v>656</v>
      </c>
      <c r="C58" s="53">
        <f ca="1">ROUND(IF(项目基本情况!B11="自然人",C47*F58,C59+C60+C61),1)</f>
        <v>0</v>
      </c>
      <c r="D58" s="2638" t="s">
        <v>657</v>
      </c>
      <c r="E58" s="2639" t="s">
        <v>690</v>
      </c>
      <c r="F58" s="809" t="str">
        <f ca="1">IF(项目基本情况!B11="企业","",IF(INDIRECT("'数据-取费表'!c"&amp;$G$1)="住宅",5%,IF(F48*F49*F50/12/(1+'数据-取费表'!C42)&gt;20000,12%,7%)))</f>
        <v/>
      </c>
      <c r="I58" s="3166" t="s">
        <v>2360</v>
      </c>
      <c r="J58" s="3100" t="e">
        <f ca="1">IF(J55&lt;0.4,0.4,J55)</f>
        <v>#DIV/0!</v>
      </c>
      <c r="K58" s="3124" t="s">
        <v>2365</v>
      </c>
      <c r="L58" s="1908" t="e">
        <f ca="1">ROUND(POWER(1+L52,L47-L48)*(POWER(1+L52,L48)-1)/(POWER(1+L52,L47)-1),4)</f>
        <v>#DIV/0!</v>
      </c>
      <c r="O58" s="2398" t="s">
        <v>2382</v>
      </c>
      <c r="P58" s="2399" t="s">
        <v>2413</v>
      </c>
      <c r="Q58" s="2400" t="e">
        <f ca="1">L60</f>
        <v>#DIV/0!</v>
      </c>
      <c r="R58" s="2403" t="s">
        <v>2415</v>
      </c>
    </row>
    <row r="59" spans="1:18" s="2059" customFormat="1" ht="28.5" customHeight="1" thickBot="1">
      <c r="A59" s="1647" t="s">
        <v>1832</v>
      </c>
      <c r="B59" s="783" t="s">
        <v>660</v>
      </c>
      <c r="C59" s="53">
        <f ca="1">ROUND(C47*F59/1.05,1)</f>
        <v>0</v>
      </c>
      <c r="D59" s="2639" t="s">
        <v>1757</v>
      </c>
      <c r="E59" s="783" t="s">
        <v>1748</v>
      </c>
      <c r="F59" s="808">
        <f t="shared" ref="F59:F65" si="0">F32</f>
        <v>5.6000000000000001E-2</v>
      </c>
      <c r="I59" s="3166" t="s">
        <v>2361</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1833</v>
      </c>
      <c r="B60" s="783" t="s">
        <v>1759</v>
      </c>
      <c r="C60" s="53">
        <f ca="1">IF(D60="按租金收入计税",ROUND(C47*F60,1),IF(D60="按房产原值计税",ROUND(C56*F60*0.7,1),INDIRECT("'数据-取费表'!Aj"&amp;$G$1)))</f>
        <v>0</v>
      </c>
      <c r="D60" s="2639" t="str">
        <f>D33</f>
        <v>按房产原值计税</v>
      </c>
      <c r="E60" s="783" t="s">
        <v>1748</v>
      </c>
      <c r="F60" s="808">
        <f t="shared" si="0"/>
        <v>1.2E-2</v>
      </c>
      <c r="I60" s="3168" t="s">
        <v>2362</v>
      </c>
      <c r="J60" s="3169" t="e">
        <f ca="1">IF(OR(M47="住宅",J51&lt;L48,J56="是"),"0",ROUND(J59/(1+J52)^J53,0))</f>
        <v>#DIV/0!</v>
      </c>
      <c r="K60" s="3170" t="s">
        <v>2367</v>
      </c>
      <c r="L60" s="3169" t="e">
        <f ca="1">IF(OR(M47="住宅",L48&lt;J51),0,ROUND(L57*(L58/L59-1),0))</f>
        <v>#DIV/0!</v>
      </c>
      <c r="O60" s="2401" t="s">
        <v>2385</v>
      </c>
      <c r="P60" s="2399" t="s">
        <v>2394</v>
      </c>
      <c r="Q60" s="2402">
        <f>L52</f>
        <v>0</v>
      </c>
      <c r="R60" s="2403"/>
    </row>
    <row r="61" spans="1:18" s="2059" customFormat="1" ht="18" customHeight="1" thickBot="1">
      <c r="A61" s="1650" t="s">
        <v>1834</v>
      </c>
      <c r="B61" s="340" t="s">
        <v>668</v>
      </c>
      <c r="C61" s="54">
        <f ca="1">ROUND(F61*F62/10000,1)</f>
        <v>0</v>
      </c>
      <c r="D61" s="813" t="s">
        <v>669</v>
      </c>
      <c r="E61" s="783" t="s">
        <v>670</v>
      </c>
      <c r="F61" s="639">
        <f t="shared" si="0"/>
        <v>10</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0</v>
      </c>
      <c r="I62" s="3171" t="s">
        <v>2368</v>
      </c>
      <c r="J62" s="3172" t="s">
        <v>2369</v>
      </c>
      <c r="K62" s="3172" t="s">
        <v>2370</v>
      </c>
      <c r="L62" s="3172" t="s">
        <v>2351</v>
      </c>
      <c r="M62" s="3173" t="s">
        <v>2935</v>
      </c>
      <c r="O62" s="2401" t="s">
        <v>2389</v>
      </c>
      <c r="P62" s="2399" t="str">
        <f>K59</f>
        <v>建筑物剩余耐用年限下的土地年期修正系数Kn</v>
      </c>
      <c r="Q62" s="2400" t="e">
        <f ca="1">L59</f>
        <v>#DIV/0!</v>
      </c>
      <c r="R62" s="2403" t="s">
        <v>2398</v>
      </c>
    </row>
    <row r="63" spans="1:18" s="2059" customFormat="1" ht="15.75" thickBot="1">
      <c r="A63" s="1648" t="s">
        <v>1890</v>
      </c>
      <c r="B63" s="783" t="s">
        <v>676</v>
      </c>
      <c r="C63" s="53">
        <f ca="1">ROUND(C56*F63,1)</f>
        <v>0</v>
      </c>
      <c r="D63" s="2639" t="s">
        <v>1804</v>
      </c>
      <c r="E63" s="783" t="s">
        <v>1748</v>
      </c>
      <c r="F63" s="816">
        <f t="shared" ca="1" si="0"/>
        <v>0</v>
      </c>
      <c r="I63" s="3171" t="s">
        <v>2371</v>
      </c>
      <c r="J63" s="3172">
        <v>70</v>
      </c>
      <c r="K63" s="3172">
        <v>50</v>
      </c>
      <c r="L63" s="3172">
        <v>80</v>
      </c>
      <c r="M63" s="3174">
        <v>0.02</v>
      </c>
      <c r="O63" s="2398" t="s">
        <v>2392</v>
      </c>
      <c r="P63" s="2399" t="s">
        <v>2409</v>
      </c>
      <c r="Q63" s="2400" t="e">
        <f ca="1">Q57+Q58</f>
        <v>#DIV/0!</v>
      </c>
      <c r="R63" s="2403" t="s">
        <v>2393</v>
      </c>
    </row>
    <row r="64" spans="1:18" s="2059" customFormat="1" ht="16.5" thickBot="1">
      <c r="A64" s="1648" t="s">
        <v>1891</v>
      </c>
      <c r="B64" s="783" t="s">
        <v>679</v>
      </c>
      <c r="C64" s="53">
        <f ca="1">ROUND(C55*F64,1)</f>
        <v>0</v>
      </c>
      <c r="D64" s="2639" t="s">
        <v>680</v>
      </c>
      <c r="E64" s="783" t="s">
        <v>1748</v>
      </c>
      <c r="F64" s="817">
        <f t="shared" ca="1" si="0"/>
        <v>0</v>
      </c>
      <c r="I64" s="3171" t="s">
        <v>2372</v>
      </c>
      <c r="J64" s="3172">
        <v>50</v>
      </c>
      <c r="K64" s="3172">
        <v>35</v>
      </c>
      <c r="L64" s="3172">
        <v>60</v>
      </c>
      <c r="M64" s="845">
        <v>0</v>
      </c>
      <c r="O64" s="2404" t="s">
        <v>2416</v>
      </c>
      <c r="P64" s="1591"/>
      <c r="Q64" s="1603"/>
      <c r="R64" s="1591"/>
    </row>
    <row r="65" spans="1:18" s="2059" customFormat="1" ht="15.75" thickBot="1">
      <c r="A65" s="1648" t="s">
        <v>1892</v>
      </c>
      <c r="B65" s="783" t="s">
        <v>666</v>
      </c>
      <c r="C65" s="53">
        <f ca="1">ROUND(C47*F65,1)</f>
        <v>0</v>
      </c>
      <c r="D65" s="2639" t="s">
        <v>683</v>
      </c>
      <c r="E65" s="783" t="s">
        <v>1748</v>
      </c>
      <c r="F65" s="793">
        <f t="shared" ca="1" si="0"/>
        <v>0</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1777</v>
      </c>
      <c r="B66" s="3011" t="s">
        <v>2823</v>
      </c>
      <c r="C66" s="798">
        <f ca="1">C47-C57</f>
        <v>0</v>
      </c>
      <c r="D66" s="2638" t="s">
        <v>700</v>
      </c>
      <c r="E66" s="2637"/>
      <c r="F66" s="819"/>
      <c r="K66" s="2086"/>
      <c r="O66" s="2398" t="s">
        <v>2380</v>
      </c>
      <c r="P66" s="2399" t="s">
        <v>2410</v>
      </c>
      <c r="Q66" s="2400" t="e">
        <f ca="1">C40+J29</f>
        <v>#DIV/0!</v>
      </c>
      <c r="R66" s="2399" t="s">
        <v>2381</v>
      </c>
    </row>
    <row r="67" spans="1:18" s="2059" customFormat="1" ht="20.25" thickBot="1">
      <c r="A67" s="780" t="s">
        <v>1781</v>
      </c>
      <c r="B67" s="2232" t="s">
        <v>2303</v>
      </c>
      <c r="C67" s="782" t="e">
        <f ca="1">ROUND(C66*(1-((1+F69)/(1+F67))^F68)/(F67-F69),0)</f>
        <v>#DIV/0!</v>
      </c>
      <c r="D67" s="813" t="s">
        <v>704</v>
      </c>
      <c r="E67" s="783" t="s">
        <v>705</v>
      </c>
      <c r="F67" s="793">
        <f ca="1">F40</f>
        <v>0</v>
      </c>
      <c r="K67" s="2086"/>
      <c r="O67" s="2398" t="s">
        <v>2382</v>
      </c>
      <c r="P67" s="2399" t="s">
        <v>2413</v>
      </c>
      <c r="Q67" s="2400" t="e">
        <f ca="1">L60</f>
        <v>#DIV/0!</v>
      </c>
      <c r="R67" s="2403" t="s">
        <v>2415</v>
      </c>
    </row>
    <row r="68" spans="1:18" ht="21.75" thickBot="1">
      <c r="A68" s="785"/>
      <c r="B68" s="786"/>
      <c r="C68" s="787"/>
      <c r="D68" s="820" t="s">
        <v>1809</v>
      </c>
      <c r="E68" s="783" t="s">
        <v>1785</v>
      </c>
      <c r="F68" s="821">
        <f ca="1">F41</f>
        <v>0</v>
      </c>
      <c r="O68" s="2401" t="s">
        <v>2384</v>
      </c>
      <c r="P68" s="2399" t="s">
        <v>2414</v>
      </c>
      <c r="Q68" s="2405">
        <f ca="1">L51</f>
        <v>0</v>
      </c>
      <c r="R68" s="2406" t="s">
        <v>2417</v>
      </c>
    </row>
    <row r="69" spans="1:18" ht="20.25" thickBot="1">
      <c r="A69" s="789"/>
      <c r="B69" s="790"/>
      <c r="C69" s="791"/>
      <c r="D69" s="815"/>
      <c r="E69" s="783" t="s">
        <v>710</v>
      </c>
      <c r="F69" s="2371"/>
      <c r="O69" s="2401" t="s">
        <v>2385</v>
      </c>
      <c r="P69" s="2407" t="s">
        <v>2399</v>
      </c>
      <c r="Q69" s="2400">
        <f ca="1">ROUND(Q70-Q71*Q72,0)</f>
        <v>0</v>
      </c>
      <c r="R69" s="2403"/>
    </row>
    <row r="70" spans="1:18" ht="15.75" thickBot="1">
      <c r="A70" s="822" t="s">
        <v>1788</v>
      </c>
      <c r="B70" s="823" t="s">
        <v>1811</v>
      </c>
      <c r="C70" s="824" t="e">
        <f ca="1">ROUND(C67*10000/F70,0)</f>
        <v>#DIV/0!</v>
      </c>
      <c r="D70" s="825" t="s">
        <v>1812</v>
      </c>
      <c r="E70" s="826" t="s">
        <v>1813</v>
      </c>
      <c r="F70" s="827">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建筑物剩余耐用年限下的土地年期修正系数Kn</v>
      </c>
      <c r="Q75" s="2400" t="e">
        <f ca="1">L59</f>
        <v>#DIV/0!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2472</v>
      </c>
      <c r="B1" s="3453"/>
      <c r="C1" s="3454"/>
      <c r="D1" s="3455">
        <f>SUM(I10,I15,I20,I21,I23)</f>
        <v>0</v>
      </c>
      <c r="E1" s="3455"/>
      <c r="F1" s="3455"/>
      <c r="G1" s="3455"/>
      <c r="H1" s="3455"/>
      <c r="I1" s="3456"/>
    </row>
    <row r="2" spans="1:9">
      <c r="A2" s="3457" t="s">
        <v>2473</v>
      </c>
      <c r="B2" s="3458" t="s">
        <v>2474</v>
      </c>
      <c r="C2" s="3458"/>
      <c r="D2" s="2507" t="s">
        <v>2475</v>
      </c>
      <c r="E2" s="2507" t="s">
        <v>2476</v>
      </c>
      <c r="F2" s="2507" t="s">
        <v>2477</v>
      </c>
      <c r="G2" s="2507" t="s">
        <v>2478</v>
      </c>
      <c r="H2" s="2507" t="s">
        <v>2479</v>
      </c>
      <c r="I2" s="2508" t="s">
        <v>2480</v>
      </c>
    </row>
    <row r="3" spans="1:9">
      <c r="A3" s="3457"/>
      <c r="B3" s="3458" t="s">
        <v>2481</v>
      </c>
      <c r="C3" s="3458"/>
      <c r="D3" s="2509"/>
      <c r="E3" s="2507"/>
      <c r="F3" s="2510"/>
      <c r="G3" s="2510"/>
      <c r="H3" s="2511"/>
      <c r="I3" s="2512">
        <f>ROUND(D3*E3*F3*G3*H3/10000,0)</f>
        <v>0</v>
      </c>
    </row>
    <row r="4" spans="1:9">
      <c r="A4" s="3457"/>
      <c r="B4" s="3458" t="s">
        <v>2482</v>
      </c>
      <c r="C4" s="3458"/>
      <c r="D4" s="2509"/>
      <c r="E4" s="2507"/>
      <c r="F4" s="2510"/>
      <c r="G4" s="2510"/>
      <c r="H4" s="2511"/>
      <c r="I4" s="2512">
        <f t="shared" ref="I4:I9" si="0">ROUND(D4*E4*F4*G4*H4/10000,0)</f>
        <v>0</v>
      </c>
    </row>
    <row r="5" spans="1:9">
      <c r="A5" s="3457"/>
      <c r="B5" s="3458" t="s">
        <v>2483</v>
      </c>
      <c r="C5" s="3458"/>
      <c r="D5" s="2509"/>
      <c r="E5" s="2507"/>
      <c r="F5" s="2510"/>
      <c r="G5" s="2510"/>
      <c r="H5" s="2511"/>
      <c r="I5" s="2512">
        <f t="shared" si="0"/>
        <v>0</v>
      </c>
    </row>
    <row r="6" spans="1:9">
      <c r="A6" s="3457"/>
      <c r="B6" s="3458" t="s">
        <v>2484</v>
      </c>
      <c r="C6" s="3458"/>
      <c r="D6" s="2509"/>
      <c r="E6" s="2507"/>
      <c r="F6" s="2510"/>
      <c r="G6" s="2510"/>
      <c r="H6" s="2511"/>
      <c r="I6" s="2512">
        <f t="shared" si="0"/>
        <v>0</v>
      </c>
    </row>
    <row r="7" spans="1:9">
      <c r="A7" s="3457"/>
      <c r="B7" s="3458" t="s">
        <v>2485</v>
      </c>
      <c r="C7" s="3458"/>
      <c r="D7" s="2509"/>
      <c r="E7" s="2507"/>
      <c r="F7" s="2510"/>
      <c r="G7" s="2510"/>
      <c r="H7" s="2511"/>
      <c r="I7" s="2512">
        <f t="shared" si="0"/>
        <v>0</v>
      </c>
    </row>
    <row r="8" spans="1:9">
      <c r="A8" s="3457"/>
      <c r="B8" s="3458" t="s">
        <v>2486</v>
      </c>
      <c r="C8" s="3458"/>
      <c r="D8" s="2509"/>
      <c r="E8" s="2507"/>
      <c r="F8" s="2510"/>
      <c r="G8" s="2510"/>
      <c r="H8" s="2511"/>
      <c r="I8" s="2512">
        <f t="shared" si="0"/>
        <v>0</v>
      </c>
    </row>
    <row r="9" spans="1:9">
      <c r="A9" s="3457"/>
      <c r="B9" s="3458" t="s">
        <v>2487</v>
      </c>
      <c r="C9" s="3458"/>
      <c r="D9" s="2509"/>
      <c r="E9" s="2507"/>
      <c r="F9" s="2510"/>
      <c r="G9" s="2510"/>
      <c r="H9" s="2511"/>
      <c r="I9" s="2512">
        <f t="shared" si="0"/>
        <v>0</v>
      </c>
    </row>
    <row r="10" spans="1:9">
      <c r="A10" s="3457"/>
      <c r="B10" s="3459" t="s">
        <v>2488</v>
      </c>
      <c r="C10" s="3459"/>
      <c r="D10" s="2513">
        <v>527</v>
      </c>
      <c r="E10" s="2513" t="e">
        <f>ROUND(D1*10000/D10/H9,0)</f>
        <v>#DIV/0!</v>
      </c>
      <c r="F10" s="2514"/>
      <c r="G10" s="2514"/>
      <c r="H10" s="2515"/>
      <c r="I10" s="2516">
        <f>SUM(I3:I9)</f>
        <v>0</v>
      </c>
    </row>
    <row r="11" spans="1:9" ht="14.25">
      <c r="A11" s="3457" t="s">
        <v>2489</v>
      </c>
      <c r="B11" s="3458" t="s">
        <v>2490</v>
      </c>
      <c r="C11" s="3458"/>
      <c r="D11" s="2509" t="s">
        <v>2491</v>
      </c>
      <c r="E11" s="2509" t="s">
        <v>2492</v>
      </c>
      <c r="F11" s="2510" t="s">
        <v>2493</v>
      </c>
      <c r="G11" s="2510" t="s">
        <v>2494</v>
      </c>
      <c r="H11" s="2517" t="s">
        <v>2495</v>
      </c>
      <c r="I11" s="2508" t="s">
        <v>2496</v>
      </c>
    </row>
    <row r="12" spans="1:9">
      <c r="A12" s="3457"/>
      <c r="B12" s="3458" t="s">
        <v>2497</v>
      </c>
      <c r="C12" s="3458"/>
      <c r="D12" s="2509"/>
      <c r="E12" s="2509"/>
      <c r="F12" s="2510"/>
      <c r="G12" s="2511"/>
      <c r="H12" s="2518"/>
      <c r="I12" s="2508">
        <f>ROUND(D12*E12*F12*G12/10000,0)</f>
        <v>0</v>
      </c>
    </row>
    <row r="13" spans="1:9">
      <c r="A13" s="3457"/>
      <c r="B13" s="3458" t="s">
        <v>2498</v>
      </c>
      <c r="C13" s="3458"/>
      <c r="D13" s="2509"/>
      <c r="E13" s="2509"/>
      <c r="F13" s="2510"/>
      <c r="G13" s="2511"/>
      <c r="H13" s="2518"/>
      <c r="I13" s="2508">
        <f>ROUND(D13*E13*F13*G13/10000,0)</f>
        <v>0</v>
      </c>
    </row>
    <row r="14" spans="1:9">
      <c r="A14" s="3457"/>
      <c r="B14" s="3458" t="s">
        <v>2499</v>
      </c>
      <c r="C14" s="3458"/>
      <c r="D14" s="2509"/>
      <c r="E14" s="2509"/>
      <c r="F14" s="2510"/>
      <c r="G14" s="2511"/>
      <c r="H14" s="2518"/>
      <c r="I14" s="2508">
        <f>ROUND(D14*E14*F14*G14/10000,0)</f>
        <v>0</v>
      </c>
    </row>
    <row r="15" spans="1:9">
      <c r="A15" s="3457"/>
      <c r="B15" s="3459" t="s">
        <v>2488</v>
      </c>
      <c r="C15" s="3459"/>
      <c r="D15" s="2513"/>
      <c r="E15" s="2513">
        <f>SUM(E12:E14)</f>
        <v>0</v>
      </c>
      <c r="F15" s="2514"/>
      <c r="G15" s="2511"/>
      <c r="H15" s="2518"/>
      <c r="I15" s="2519">
        <f>SUM(I12:I14)</f>
        <v>0</v>
      </c>
    </row>
    <row r="16" spans="1:9" ht="24">
      <c r="A16" s="3457" t="s">
        <v>2500</v>
      </c>
      <c r="B16" s="3458" t="s">
        <v>2501</v>
      </c>
      <c r="C16" s="3458"/>
      <c r="D16" s="2509" t="s">
        <v>2502</v>
      </c>
      <c r="E16" s="2520" t="s">
        <v>2503</v>
      </c>
      <c r="F16" s="2510" t="s">
        <v>2504</v>
      </c>
      <c r="G16" s="2511" t="s">
        <v>2494</v>
      </c>
      <c r="H16" s="2517" t="s">
        <v>2495</v>
      </c>
      <c r="I16" s="2508" t="s">
        <v>2496</v>
      </c>
    </row>
    <row r="17" spans="1:9" ht="14.25">
      <c r="A17" s="3457"/>
      <c r="B17" s="3458" t="s">
        <v>2505</v>
      </c>
      <c r="C17" s="3458"/>
      <c r="D17" s="2509"/>
      <c r="E17" s="2509"/>
      <c r="F17" s="2510"/>
      <c r="G17" s="2511"/>
      <c r="H17" s="2521"/>
      <c r="I17" s="2522">
        <f>ROUND(D17*E17*F17*G17/10000,0)</f>
        <v>0</v>
      </c>
    </row>
    <row r="18" spans="1:9" ht="14.25">
      <c r="A18" s="3457"/>
      <c r="B18" s="3458" t="s">
        <v>2506</v>
      </c>
      <c r="C18" s="3458"/>
      <c r="D18" s="2509"/>
      <c r="E18" s="2509"/>
      <c r="F18" s="2510"/>
      <c r="G18" s="2511"/>
      <c r="H18" s="2521"/>
      <c r="I18" s="2522">
        <f>ROUND(D18*E18*F18*G18/10000,0)</f>
        <v>0</v>
      </c>
    </row>
    <row r="19" spans="1:9" ht="14.25">
      <c r="A19" s="3457"/>
      <c r="B19" s="3458" t="s">
        <v>2507</v>
      </c>
      <c r="C19" s="3458"/>
      <c r="D19" s="2509"/>
      <c r="E19" s="2509"/>
      <c r="F19" s="2510"/>
      <c r="G19" s="2511"/>
      <c r="H19" s="2521"/>
      <c r="I19" s="2522">
        <f>ROUND(D19*E19*F19*G19/10000,0)</f>
        <v>0</v>
      </c>
    </row>
    <row r="20" spans="1:9">
      <c r="A20" s="3457"/>
      <c r="B20" s="3459" t="s">
        <v>2488</v>
      </c>
      <c r="C20" s="3459"/>
      <c r="D20" s="2513">
        <f>SUM(D17:D19)</f>
        <v>0</v>
      </c>
      <c r="E20" s="2513"/>
      <c r="F20" s="2514"/>
      <c r="G20" s="2511"/>
      <c r="H20" s="2518"/>
      <c r="I20" s="2519">
        <f>SUM(I17:I19)</f>
        <v>0</v>
      </c>
    </row>
    <row r="21" spans="1:9">
      <c r="A21" s="3457" t="s">
        <v>2508</v>
      </c>
      <c r="B21" s="3461"/>
      <c r="C21" s="3461"/>
      <c r="D21" s="3461"/>
      <c r="E21" s="3461"/>
      <c r="F21" s="3461"/>
      <c r="G21" s="3461"/>
      <c r="H21" s="2523">
        <v>0.1</v>
      </c>
      <c r="I21" s="2516">
        <f>ROUND(I10*H21,0)</f>
        <v>0</v>
      </c>
    </row>
    <row r="22" spans="1:9" ht="14.25">
      <c r="A22" s="3462" t="s">
        <v>2509</v>
      </c>
      <c r="B22" s="3463"/>
      <c r="C22" s="3464"/>
      <c r="D22" s="2524" t="s">
        <v>2510</v>
      </c>
      <c r="E22" s="2524" t="s">
        <v>2511</v>
      </c>
      <c r="F22" s="2525" t="s">
        <v>2512</v>
      </c>
      <c r="G22" s="2525" t="s">
        <v>2513</v>
      </c>
      <c r="H22" s="2517" t="s">
        <v>2514</v>
      </c>
      <c r="I22" s="2508" t="s">
        <v>2515</v>
      </c>
    </row>
    <row r="23" spans="1:9" ht="14.25" thickBot="1">
      <c r="A23" s="3465"/>
      <c r="B23" s="3466"/>
      <c r="C23" s="3467"/>
      <c r="D23" s="2526"/>
      <c r="E23" s="2526"/>
      <c r="F23" s="2526"/>
      <c r="G23" s="2527"/>
      <c r="H23" s="2528"/>
      <c r="I23" s="2529">
        <f>ROUND(E23*D23*F23*(1-G23)/10000,0)</f>
        <v>0</v>
      </c>
    </row>
    <row r="26" spans="1:9">
      <c r="A26" s="2530" t="s">
        <v>2516</v>
      </c>
      <c r="B26" s="2530"/>
      <c r="C26" s="2530"/>
      <c r="D26" s="2530"/>
      <c r="E26" s="3468">
        <f>C27-C30-C31-C32</f>
        <v>0</v>
      </c>
      <c r="F26" s="3468"/>
      <c r="G26" s="3468"/>
      <c r="H26" s="3043" t="s">
        <v>2844</v>
      </c>
    </row>
    <row r="27" spans="1:9">
      <c r="A27" s="2531">
        <v>1</v>
      </c>
      <c r="B27" s="2532" t="s">
        <v>2517</v>
      </c>
      <c r="C27" s="2532"/>
      <c r="D27" s="2532"/>
      <c r="E27" s="3469"/>
      <c r="F27" s="3469"/>
      <c r="G27" s="3469"/>
    </row>
    <row r="28" spans="1:9">
      <c r="A28" s="2533" t="s">
        <v>2518</v>
      </c>
      <c r="B28" s="2532" t="s">
        <v>2519</v>
      </c>
      <c r="C28" s="2532"/>
      <c r="D28" s="2532"/>
      <c r="E28" s="3469"/>
      <c r="F28" s="3469"/>
      <c r="G28" s="3469"/>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60"/>
      <c r="F32" s="3460"/>
      <c r="G32" s="3460"/>
    </row>
    <row r="33" spans="1:7" hidden="1">
      <c r="A33" s="3470" t="s">
        <v>2527</v>
      </c>
      <c r="B33" s="3471"/>
      <c r="C33" s="3471"/>
      <c r="D33" s="3472"/>
      <c r="E33" s="3468"/>
      <c r="F33" s="3468"/>
      <c r="G33" s="3468"/>
    </row>
    <row r="34" spans="1:7" hidden="1">
      <c r="A34" s="2535">
        <v>1</v>
      </c>
      <c r="B34" s="2532" t="s">
        <v>2528</v>
      </c>
      <c r="C34" s="2532"/>
      <c r="D34" s="2532"/>
      <c r="E34" s="3469"/>
      <c r="F34" s="3469"/>
      <c r="G34" s="3469"/>
    </row>
    <row r="35" spans="1:7" hidden="1">
      <c r="A35" s="2535">
        <v>2</v>
      </c>
      <c r="B35" s="2532" t="s">
        <v>2529</v>
      </c>
      <c r="C35" s="2532"/>
      <c r="D35" s="2532"/>
      <c r="E35" s="3469"/>
      <c r="F35" s="3469"/>
      <c r="G35" s="3469"/>
    </row>
    <row r="36" spans="1:7" hidden="1">
      <c r="A36" s="2535">
        <v>3</v>
      </c>
      <c r="B36" s="2532" t="s">
        <v>2530</v>
      </c>
      <c r="C36" s="2532"/>
      <c r="D36" s="2532"/>
      <c r="E36" s="3469"/>
      <c r="F36" s="3469"/>
      <c r="G36" s="3469"/>
    </row>
    <row r="37" spans="1:7" hidden="1">
      <c r="A37" s="2535">
        <v>4</v>
      </c>
      <c r="B37" s="2532" t="s">
        <v>2531</v>
      </c>
      <c r="C37" s="2532"/>
      <c r="D37" s="2532"/>
      <c r="E37" s="3469"/>
      <c r="F37" s="3469"/>
      <c r="G37" s="3469"/>
    </row>
    <row r="38" spans="1:7" hidden="1">
      <c r="A38" s="3470" t="s">
        <v>2532</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96730.640000000014</v>
      </c>
      <c r="E10" s="748">
        <f>'数据-取费表'!B31</f>
        <v>150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420</v>
      </c>
      <c r="D12" s="757">
        <f>'数据-汇总表'!E5</f>
        <v>45617.71</v>
      </c>
      <c r="E12" s="756">
        <f>'数据-取费表'!B27</f>
        <v>92</v>
      </c>
      <c r="F12" s="754"/>
      <c r="G12" s="758"/>
    </row>
    <row r="13" spans="1:25" s="2183" customFormat="1" ht="13.5" customHeight="1">
      <c r="A13" s="2476" t="s">
        <v>2448</v>
      </c>
      <c r="B13" s="755" t="s">
        <v>612</v>
      </c>
      <c r="C13" s="756">
        <f>ROUND(D13*E13/10000,0)</f>
        <v>470</v>
      </c>
      <c r="D13" s="757">
        <f>'数据-汇总表'!E6</f>
        <v>51112.930000000015</v>
      </c>
      <c r="E13" s="756">
        <f>'数据-取费表'!B28</f>
        <v>92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0.91500000000000004</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67" t="s">
        <v>522</v>
      </c>
      <c r="D4" s="3368"/>
      <c r="E4" s="3401" t="s">
        <v>523</v>
      </c>
      <c r="F4" s="3402"/>
      <c r="G4" s="3367" t="s">
        <v>524</v>
      </c>
      <c r="H4" s="3368"/>
      <c r="I4" s="3367" t="s">
        <v>525</v>
      </c>
      <c r="J4" s="3368"/>
      <c r="K4" s="852"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4"/>
      <c r="B5" s="515"/>
      <c r="C5" s="3383" t="s">
        <v>2920</v>
      </c>
      <c r="D5" s="3384"/>
      <c r="E5" s="3403" t="s">
        <v>2921</v>
      </c>
      <c r="F5" s="3404"/>
      <c r="G5" s="3383" t="s">
        <v>2922</v>
      </c>
      <c r="H5" s="3384"/>
      <c r="I5" s="3383" t="s">
        <v>2923</v>
      </c>
      <c r="J5" s="3384"/>
      <c r="K5" s="85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85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SUMIF(58:58,YEAR(E7)&amp;"-"&amp;MONTH(E7),59:59)</f>
        <v>0</v>
      </c>
      <c r="G7" s="522"/>
      <c r="H7" s="519">
        <f>SUMIF(58:58,YEAR(G7)&amp;"-"&amp;MONTH(G7),59:59)</f>
        <v>0</v>
      </c>
      <c r="I7" s="522"/>
      <c r="J7" s="519">
        <f>SUMIF(58:58,YEAR(I7)&amp;"-"&amp;MONTH(I7),59:59)</f>
        <v>0</v>
      </c>
      <c r="K7" s="854"/>
      <c r="L7" s="2135"/>
      <c r="M7" s="2136"/>
      <c r="N7" s="2136"/>
      <c r="O7" s="2136"/>
      <c r="P7" s="3392" t="s">
        <v>530</v>
      </c>
      <c r="Q7" s="3394"/>
      <c r="R7" s="1567" t="s">
        <v>13</v>
      </c>
      <c r="S7" s="1568">
        <f t="shared" ref="S7:S15" si="0">F7</f>
        <v>0</v>
      </c>
      <c r="T7" s="1567" t="s">
        <v>13</v>
      </c>
      <c r="U7" s="1568">
        <f t="shared" ref="U7:U15" si="1">H7</f>
        <v>0</v>
      </c>
      <c r="V7" s="1567" t="s">
        <v>13</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392" t="s">
        <v>533</v>
      </c>
      <c r="Q8" s="3393"/>
      <c r="R8" s="1567" t="s">
        <v>13</v>
      </c>
      <c r="S8" s="1568">
        <f t="shared" si="0"/>
        <v>0</v>
      </c>
      <c r="T8" s="1567" t="s">
        <v>13</v>
      </c>
      <c r="U8" s="1568">
        <f t="shared" si="1"/>
        <v>0</v>
      </c>
      <c r="V8" s="1567" t="s">
        <v>13</v>
      </c>
      <c r="W8" s="1568">
        <f t="shared" si="2"/>
        <v>0</v>
      </c>
      <c r="X8" s="1569"/>
      <c r="Y8" s="3392" t="s">
        <v>533</v>
      </c>
      <c r="Z8" s="3393"/>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61"/>
      <c r="Q11" s="1150" t="str">
        <f t="shared" si="6"/>
        <v>容积率</v>
      </c>
      <c r="R11" s="1567" t="s">
        <v>11</v>
      </c>
      <c r="S11" s="1568" t="e">
        <f t="shared" si="0"/>
        <v>#N/A</v>
      </c>
      <c r="T11" s="1567" t="s">
        <v>11</v>
      </c>
      <c r="U11" s="1568" t="e">
        <f t="shared" si="1"/>
        <v>#N/A</v>
      </c>
      <c r="V11" s="1567" t="s">
        <v>11</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1"/>
      <c r="Q12" s="1150">
        <f t="shared" si="6"/>
        <v>111</v>
      </c>
      <c r="R12" s="1567" t="s">
        <v>11</v>
      </c>
      <c r="S12" s="1568">
        <f t="shared" si="0"/>
        <v>100</v>
      </c>
      <c r="T12" s="1567" t="s">
        <v>11</v>
      </c>
      <c r="U12" s="1568">
        <f t="shared" si="1"/>
        <v>100</v>
      </c>
      <c r="V12" s="1567" t="s">
        <v>11</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1"/>
      <c r="Q13" s="1150">
        <f t="shared" si="6"/>
        <v>111</v>
      </c>
      <c r="R13" s="1567" t="s">
        <v>11</v>
      </c>
      <c r="S13" s="1568">
        <f t="shared" si="0"/>
        <v>100</v>
      </c>
      <c r="T13" s="1567" t="s">
        <v>11</v>
      </c>
      <c r="U13" s="1568">
        <f t="shared" si="1"/>
        <v>100</v>
      </c>
      <c r="V13" s="1567" t="s">
        <v>11</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1"/>
      <c r="Q14" s="1150">
        <f t="shared" si="6"/>
        <v>111</v>
      </c>
      <c r="R14" s="1567" t="s">
        <v>11</v>
      </c>
      <c r="S14" s="1568">
        <f t="shared" si="0"/>
        <v>100</v>
      </c>
      <c r="T14" s="1567" t="s">
        <v>11</v>
      </c>
      <c r="U14" s="1568">
        <f t="shared" si="1"/>
        <v>100</v>
      </c>
      <c r="V14" s="1567" t="s">
        <v>11</v>
      </c>
      <c r="W14" s="1568">
        <f t="shared" si="2"/>
        <v>100</v>
      </c>
      <c r="X14" s="1569"/>
      <c r="Y14" s="3307"/>
      <c r="Z14" s="1149">
        <f t="shared" si="7"/>
        <v>111</v>
      </c>
      <c r="AA14" s="1570">
        <f t="shared" si="3"/>
        <v>1</v>
      </c>
      <c r="AB14" s="1570">
        <f t="shared" si="4"/>
        <v>1</v>
      </c>
      <c r="AC14" s="1570">
        <f t="shared" si="5"/>
        <v>1</v>
      </c>
    </row>
    <row r="15" spans="1:29" ht="15">
      <c r="A15" s="2910" t="s">
        <v>2755</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395" t="s">
        <v>540</v>
      </c>
      <c r="Q15" s="1571" t="str">
        <f t="shared" si="6"/>
        <v>居住社区成熟度</v>
      </c>
      <c r="R15" s="1572" t="s">
        <v>11</v>
      </c>
      <c r="S15" s="1573">
        <f t="shared" si="0"/>
        <v>100</v>
      </c>
      <c r="T15" s="1572" t="s">
        <v>11</v>
      </c>
      <c r="U15" s="1573">
        <f t="shared" si="1"/>
        <v>100</v>
      </c>
      <c r="V15" s="1572" t="s">
        <v>11</v>
      </c>
      <c r="W15" s="1573">
        <f t="shared" si="2"/>
        <v>100</v>
      </c>
      <c r="X15" s="1566"/>
      <c r="Y15" s="3395"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396"/>
      <c r="Q17" s="1571" t="str">
        <f>B17</f>
        <v>交通便捷度</v>
      </c>
      <c r="R17" s="1572" t="s">
        <v>11</v>
      </c>
      <c r="S17" s="1573">
        <f>F17</f>
        <v>100</v>
      </c>
      <c r="T17" s="1572" t="s">
        <v>11</v>
      </c>
      <c r="U17" s="1573">
        <f>H17</f>
        <v>100</v>
      </c>
      <c r="V17" s="1572" t="s">
        <v>11</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396"/>
      <c r="Q19" s="1571" t="str">
        <f>B19</f>
        <v>公共配套设施</v>
      </c>
      <c r="R19" s="1572" t="s">
        <v>11</v>
      </c>
      <c r="S19" s="1573">
        <f>F19</f>
        <v>100</v>
      </c>
      <c r="T19" s="1572" t="s">
        <v>11</v>
      </c>
      <c r="U19" s="1573">
        <f>H19</f>
        <v>100</v>
      </c>
      <c r="V19" s="1572" t="s">
        <v>11</v>
      </c>
      <c r="W19" s="1573">
        <f>J19</f>
        <v>100</v>
      </c>
      <c r="X19" s="1566"/>
      <c r="Y19" s="339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396"/>
      <c r="Q21" s="2579" t="str">
        <f>B21</f>
        <v>基础设施水平</v>
      </c>
      <c r="R21" s="1572" t="s">
        <v>11</v>
      </c>
      <c r="S21" s="1573">
        <f>F21</f>
        <v>100</v>
      </c>
      <c r="T21" s="1572" t="s">
        <v>11</v>
      </c>
      <c r="U21" s="1573">
        <f>H21</f>
        <v>100</v>
      </c>
      <c r="V21" s="1572" t="s">
        <v>11</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297</v>
      </c>
      <c r="C23" s="871"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396"/>
      <c r="Q23" s="1571" t="str">
        <f>B23</f>
        <v>自然及人文环境</v>
      </c>
      <c r="R23" s="1572" t="s">
        <v>11</v>
      </c>
      <c r="S23" s="1573">
        <f>F23</f>
        <v>100</v>
      </c>
      <c r="T23" s="1572" t="s">
        <v>11</v>
      </c>
      <c r="U23" s="1573">
        <f>H23</f>
        <v>100</v>
      </c>
      <c r="V23" s="1572" t="s">
        <v>11</v>
      </c>
      <c r="W23" s="1573">
        <f>J23</f>
        <v>100</v>
      </c>
      <c r="X23" s="1566"/>
      <c r="Y23" s="339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396"/>
      <c r="Q25" s="1571" t="str">
        <f t="shared" ref="Q25:Q46" si="11">B25</f>
        <v>楼层-1</v>
      </c>
      <c r="R25" s="1572" t="s">
        <v>11</v>
      </c>
      <c r="S25" s="1573">
        <f>F25</f>
        <v>100</v>
      </c>
      <c r="T25" s="1572" t="s">
        <v>11</v>
      </c>
      <c r="U25" s="1573">
        <f>H25</f>
        <v>100</v>
      </c>
      <c r="V25" s="1572" t="s">
        <v>11</v>
      </c>
      <c r="W25" s="1573">
        <f>J25</f>
        <v>100</v>
      </c>
      <c r="X25" s="1566"/>
      <c r="Y25" s="3396"/>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396"/>
      <c r="Q26" s="1571" t="str">
        <f t="shared" si="11"/>
        <v>朝向</v>
      </c>
      <c r="R26" s="1572" t="s">
        <v>11</v>
      </c>
      <c r="S26" s="1573">
        <f>F26</f>
        <v>100</v>
      </c>
      <c r="T26" s="1572" t="s">
        <v>11</v>
      </c>
      <c r="U26" s="1573">
        <f>H26</f>
        <v>100</v>
      </c>
      <c r="V26" s="1572" t="s">
        <v>11</v>
      </c>
      <c r="W26" s="1573">
        <f>J26</f>
        <v>100</v>
      </c>
      <c r="X26" s="1566"/>
      <c r="Y26" s="3396"/>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396"/>
      <c r="Q27" s="1150" t="str">
        <f t="shared" si="11"/>
        <v>道路级别</v>
      </c>
      <c r="R27" s="1567" t="s">
        <v>11</v>
      </c>
      <c r="S27" s="1568">
        <f>F27</f>
        <v>100</v>
      </c>
      <c r="T27" s="1567" t="s">
        <v>11</v>
      </c>
      <c r="U27" s="1568">
        <f>H27</f>
        <v>100</v>
      </c>
      <c r="V27" s="1567" t="s">
        <v>11</v>
      </c>
      <c r="W27" s="1568">
        <f>J27</f>
        <v>100</v>
      </c>
      <c r="X27" s="1569"/>
      <c r="Y27" s="339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96"/>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96"/>
      <c r="Q29" s="1571">
        <f t="shared" si="11"/>
        <v>111</v>
      </c>
      <c r="R29" s="1572" t="s">
        <v>11</v>
      </c>
      <c r="S29" s="1573">
        <f t="shared" si="12"/>
        <v>100</v>
      </c>
      <c r="T29" s="1572" t="s">
        <v>11</v>
      </c>
      <c r="U29" s="1573">
        <f t="shared" si="13"/>
        <v>100</v>
      </c>
      <c r="V29" s="1572" t="s">
        <v>11</v>
      </c>
      <c r="W29" s="1573">
        <f t="shared" si="14"/>
        <v>100</v>
      </c>
      <c r="X29" s="1566"/>
      <c r="Y29" s="339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96"/>
      <c r="Q30" s="1571">
        <f t="shared" si="11"/>
        <v>111</v>
      </c>
      <c r="R30" s="1572" t="s">
        <v>11</v>
      </c>
      <c r="S30" s="1573">
        <f t="shared" si="12"/>
        <v>100</v>
      </c>
      <c r="T30" s="1572" t="s">
        <v>11</v>
      </c>
      <c r="U30" s="1573">
        <f t="shared" si="13"/>
        <v>100</v>
      </c>
      <c r="V30" s="1572" t="s">
        <v>11</v>
      </c>
      <c r="W30" s="1573">
        <f t="shared" si="14"/>
        <v>100</v>
      </c>
      <c r="X30" s="1566"/>
      <c r="Y30" s="339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96"/>
      <c r="Q31" s="1571">
        <f t="shared" si="11"/>
        <v>111</v>
      </c>
      <c r="R31" s="1572" t="s">
        <v>11</v>
      </c>
      <c r="S31" s="1573">
        <f t="shared" si="12"/>
        <v>100</v>
      </c>
      <c r="T31" s="1572" t="s">
        <v>11</v>
      </c>
      <c r="U31" s="1573">
        <f t="shared" si="13"/>
        <v>100</v>
      </c>
      <c r="V31" s="1572" t="s">
        <v>11</v>
      </c>
      <c r="W31" s="1573">
        <f t="shared" si="14"/>
        <v>100</v>
      </c>
      <c r="X31" s="1566"/>
      <c r="Y31" s="3396"/>
      <c r="Z31" s="1574">
        <f t="shared" si="15"/>
        <v>111</v>
      </c>
      <c r="AA31" s="1575">
        <f t="shared" si="3"/>
        <v>1</v>
      </c>
      <c r="AB31" s="1575">
        <f t="shared" si="4"/>
        <v>1</v>
      </c>
      <c r="AC31" s="1575">
        <f t="shared" si="5"/>
        <v>1</v>
      </c>
    </row>
    <row r="32" spans="1:29" ht="15">
      <c r="A32" s="2907" t="s">
        <v>2756</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397" t="s">
        <v>550</v>
      </c>
      <c r="Q32" s="1571" t="str">
        <f t="shared" si="11"/>
        <v>建筑类型</v>
      </c>
      <c r="R32" s="1572" t="s">
        <v>11</v>
      </c>
      <c r="S32" s="1573">
        <f t="shared" si="12"/>
        <v>100</v>
      </c>
      <c r="T32" s="1572" t="s">
        <v>11</v>
      </c>
      <c r="U32" s="1573">
        <f t="shared" si="13"/>
        <v>100</v>
      </c>
      <c r="V32" s="1572" t="s">
        <v>11</v>
      </c>
      <c r="W32" s="1573">
        <f t="shared" si="14"/>
        <v>100</v>
      </c>
      <c r="X32" s="1566"/>
      <c r="Y32" s="3398"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398"/>
      <c r="Q33" s="1604" t="str">
        <f t="shared" si="11"/>
        <v>项目建筑规模</v>
      </c>
      <c r="R33" s="1576" t="s">
        <v>11</v>
      </c>
      <c r="S33" s="1577" t="e">
        <f t="shared" si="12"/>
        <v>#N/A</v>
      </c>
      <c r="T33" s="1576" t="s">
        <v>11</v>
      </c>
      <c r="U33" s="1577" t="e">
        <f t="shared" si="13"/>
        <v>#N/A</v>
      </c>
      <c r="V33" s="1576" t="s">
        <v>11</v>
      </c>
      <c r="W33" s="1577" t="e">
        <f t="shared" si="14"/>
        <v>#N/A</v>
      </c>
      <c r="X33" s="1578"/>
      <c r="Y33" s="339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398"/>
      <c r="Q34" s="1571" t="str">
        <f t="shared" si="11"/>
        <v>建筑结构</v>
      </c>
      <c r="R34" s="1572" t="s">
        <v>11</v>
      </c>
      <c r="S34" s="1573">
        <f t="shared" si="12"/>
        <v>100</v>
      </c>
      <c r="T34" s="1572" t="s">
        <v>11</v>
      </c>
      <c r="U34" s="1573">
        <f t="shared" si="13"/>
        <v>100</v>
      </c>
      <c r="V34" s="1572" t="s">
        <v>11</v>
      </c>
      <c r="W34" s="1573">
        <f t="shared" si="14"/>
        <v>100</v>
      </c>
      <c r="X34" s="1566"/>
      <c r="Y34" s="3398"/>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398"/>
      <c r="Q35" s="1571" t="str">
        <f t="shared" si="11"/>
        <v>建筑品质</v>
      </c>
      <c r="R35" s="1572" t="s">
        <v>11</v>
      </c>
      <c r="S35" s="1573">
        <f t="shared" si="12"/>
        <v>100</v>
      </c>
      <c r="T35" s="1572" t="s">
        <v>11</v>
      </c>
      <c r="U35" s="1573">
        <f t="shared" si="13"/>
        <v>100</v>
      </c>
      <c r="V35" s="1572" t="s">
        <v>11</v>
      </c>
      <c r="W35" s="1573">
        <f t="shared" si="14"/>
        <v>100</v>
      </c>
      <c r="X35" s="1566"/>
      <c r="Y35" s="3398"/>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398"/>
      <c r="Q36" s="1571" t="str">
        <f t="shared" si="11"/>
        <v>公共部分装修</v>
      </c>
      <c r="R36" s="1572" t="s">
        <v>11</v>
      </c>
      <c r="S36" s="1573">
        <f t="shared" si="12"/>
        <v>100</v>
      </c>
      <c r="T36" s="1572" t="s">
        <v>11</v>
      </c>
      <c r="U36" s="1573">
        <f t="shared" si="13"/>
        <v>100</v>
      </c>
      <c r="V36" s="1572" t="s">
        <v>11</v>
      </c>
      <c r="W36" s="1573">
        <f t="shared" si="14"/>
        <v>100</v>
      </c>
      <c r="X36" s="1566"/>
      <c r="Y36" s="3398"/>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398"/>
      <c r="Q37" s="1150" t="str">
        <f t="shared" si="11"/>
        <v>成新度</v>
      </c>
      <c r="R37" s="1567" t="s">
        <v>11</v>
      </c>
      <c r="S37" s="1568" t="e">
        <f t="shared" si="12"/>
        <v>#N/A</v>
      </c>
      <c r="T37" s="1567" t="s">
        <v>11</v>
      </c>
      <c r="U37" s="1568" t="e">
        <f t="shared" si="13"/>
        <v>#N/A</v>
      </c>
      <c r="V37" s="1567" t="s">
        <v>11</v>
      </c>
      <c r="W37" s="1568" t="e">
        <f t="shared" si="14"/>
        <v>#N/A</v>
      </c>
      <c r="X37" s="1569"/>
      <c r="Y37" s="3398"/>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398" t="s">
        <v>550</v>
      </c>
      <c r="Q38" s="1571" t="str">
        <f t="shared" si="11"/>
        <v>物业管理</v>
      </c>
      <c r="R38" s="1572" t="s">
        <v>11</v>
      </c>
      <c r="S38" s="1573">
        <f t="shared" si="12"/>
        <v>100</v>
      </c>
      <c r="T38" s="1572" t="s">
        <v>11</v>
      </c>
      <c r="U38" s="1573">
        <f t="shared" si="13"/>
        <v>100</v>
      </c>
      <c r="V38" s="1572" t="s">
        <v>11</v>
      </c>
      <c r="W38" s="1573">
        <f t="shared" si="14"/>
        <v>100</v>
      </c>
      <c r="X38" s="1566"/>
      <c r="Y38" s="3398" t="s">
        <v>550</v>
      </c>
      <c r="Z38" s="1574" t="str">
        <f t="shared" si="15"/>
        <v>物业管理</v>
      </c>
      <c r="AA38" s="1575">
        <f t="shared" si="3"/>
        <v>1</v>
      </c>
      <c r="AB38" s="1575">
        <f t="shared" si="4"/>
        <v>1</v>
      </c>
      <c r="AC38" s="1575">
        <f t="shared" si="5"/>
        <v>1</v>
      </c>
    </row>
    <row r="39" spans="1:29" ht="15">
      <c r="A39" s="593"/>
      <c r="B39" s="1895"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398"/>
      <c r="Q39" s="1571" t="str">
        <f t="shared" si="11"/>
        <v>市政基础设施</v>
      </c>
      <c r="R39" s="1572" t="s">
        <v>11</v>
      </c>
      <c r="S39" s="1573">
        <f t="shared" si="12"/>
        <v>100</v>
      </c>
      <c r="T39" s="1572" t="s">
        <v>11</v>
      </c>
      <c r="U39" s="1573">
        <f t="shared" si="13"/>
        <v>100</v>
      </c>
      <c r="V39" s="1572" t="s">
        <v>11</v>
      </c>
      <c r="W39" s="1573">
        <f t="shared" si="14"/>
        <v>100</v>
      </c>
      <c r="X39" s="1566"/>
      <c r="Y39" s="3398"/>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98"/>
      <c r="Q40" s="1571" t="str">
        <f t="shared" si="11"/>
        <v>房型</v>
      </c>
      <c r="R40" s="1572" t="s">
        <v>11</v>
      </c>
      <c r="S40" s="1573">
        <f t="shared" si="12"/>
        <v>100</v>
      </c>
      <c r="T40" s="1572" t="s">
        <v>11</v>
      </c>
      <c r="U40" s="1573">
        <f t="shared" si="13"/>
        <v>100</v>
      </c>
      <c r="V40" s="1572" t="s">
        <v>11</v>
      </c>
      <c r="W40" s="1573">
        <f t="shared" si="14"/>
        <v>100</v>
      </c>
      <c r="X40" s="1566"/>
      <c r="Y40" s="339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98"/>
      <c r="Q41" s="1604" t="str">
        <f t="shared" si="11"/>
        <v>单套/主力户型建筑面积</v>
      </c>
      <c r="R41" s="1576" t="s">
        <v>11</v>
      </c>
      <c r="S41" s="1577">
        <f t="shared" si="12"/>
        <v>100</v>
      </c>
      <c r="T41" s="1576" t="s">
        <v>11</v>
      </c>
      <c r="U41" s="1577">
        <f t="shared" si="13"/>
        <v>100</v>
      </c>
      <c r="V41" s="1576" t="s">
        <v>11</v>
      </c>
      <c r="W41" s="1577">
        <f t="shared" si="14"/>
        <v>100</v>
      </c>
      <c r="X41" s="1578"/>
      <c r="Y41" s="3398"/>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398"/>
      <c r="Q42" s="1571" t="str">
        <f t="shared" si="11"/>
        <v>内部装修</v>
      </c>
      <c r="R42" s="1572" t="s">
        <v>11</v>
      </c>
      <c r="S42" s="1573">
        <f t="shared" si="12"/>
        <v>100</v>
      </c>
      <c r="T42" s="1572" t="s">
        <v>11</v>
      </c>
      <c r="U42" s="1573">
        <f t="shared" si="13"/>
        <v>100</v>
      </c>
      <c r="V42" s="1572" t="s">
        <v>11</v>
      </c>
      <c r="W42" s="1573">
        <f t="shared" si="14"/>
        <v>100</v>
      </c>
      <c r="X42" s="1566"/>
      <c r="Y42" s="3398"/>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398"/>
      <c r="Q43" s="1571" t="str">
        <f t="shared" si="11"/>
        <v>内部装修维护情况</v>
      </c>
      <c r="R43" s="1572" t="s">
        <v>11</v>
      </c>
      <c r="S43" s="1573">
        <f t="shared" si="12"/>
        <v>100</v>
      </c>
      <c r="T43" s="1572" t="s">
        <v>11</v>
      </c>
      <c r="U43" s="1573">
        <f t="shared" si="13"/>
        <v>100</v>
      </c>
      <c r="V43" s="1572" t="s">
        <v>11</v>
      </c>
      <c r="W43" s="1573">
        <f t="shared" si="14"/>
        <v>100</v>
      </c>
      <c r="X43" s="1566"/>
      <c r="Y43" s="339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398"/>
      <c r="Q44" s="1150">
        <f t="shared" si="11"/>
        <v>111</v>
      </c>
      <c r="R44" s="1567" t="s">
        <v>11</v>
      </c>
      <c r="S44" s="1568">
        <f t="shared" si="12"/>
        <v>100</v>
      </c>
      <c r="T44" s="1567" t="s">
        <v>11</v>
      </c>
      <c r="U44" s="1568">
        <f t="shared" si="13"/>
        <v>100</v>
      </c>
      <c r="V44" s="1567" t="s">
        <v>11</v>
      </c>
      <c r="W44" s="1568">
        <f t="shared" si="14"/>
        <v>100</v>
      </c>
      <c r="X44" s="1569"/>
      <c r="Y44" s="339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98"/>
      <c r="Q45" s="1571">
        <f t="shared" si="11"/>
        <v>111</v>
      </c>
      <c r="R45" s="1572" t="s">
        <v>11</v>
      </c>
      <c r="S45" s="1573">
        <f t="shared" si="12"/>
        <v>100</v>
      </c>
      <c r="T45" s="1572" t="s">
        <v>11</v>
      </c>
      <c r="U45" s="1573">
        <f t="shared" si="13"/>
        <v>100</v>
      </c>
      <c r="V45" s="1572" t="s">
        <v>11</v>
      </c>
      <c r="W45" s="1573">
        <f t="shared" si="14"/>
        <v>100</v>
      </c>
      <c r="X45" s="1566"/>
      <c r="Y45" s="339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5"/>
      <c r="Q46" s="1571">
        <f t="shared" si="11"/>
        <v>111</v>
      </c>
      <c r="R46" s="1572" t="s">
        <v>10</v>
      </c>
      <c r="S46" s="1573">
        <f t="shared" si="12"/>
        <v>100</v>
      </c>
      <c r="T46" s="1572" t="s">
        <v>10</v>
      </c>
      <c r="U46" s="1573">
        <f t="shared" si="13"/>
        <v>100</v>
      </c>
      <c r="V46" s="1572" t="s">
        <v>10</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61" t="str">
        <f>A47</f>
        <v>成交单价（元/平方米）</v>
      </c>
      <c r="Q47" s="3361"/>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06"/>
      <c r="L48" s="2144"/>
      <c r="M48" s="2145"/>
      <c r="N48" s="2145"/>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07"/>
      <c r="L49" s="2144"/>
      <c r="M49" s="2145"/>
      <c r="N49" s="2145"/>
      <c r="O49" s="2145"/>
      <c r="P49" s="3358" t="str">
        <f>A49</f>
        <v>估价对象XX用房的比较价格（楼面单价，元/平方米）</v>
      </c>
      <c r="Q49" s="3359"/>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67" t="s">
        <v>522</v>
      </c>
      <c r="D4" s="3368"/>
      <c r="E4" s="3401" t="s">
        <v>523</v>
      </c>
      <c r="F4" s="3402"/>
      <c r="G4" s="3367" t="s">
        <v>524</v>
      </c>
      <c r="H4" s="3368"/>
      <c r="I4" s="3367" t="s">
        <v>525</v>
      </c>
      <c r="J4" s="3368"/>
      <c r="K4" s="513"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2"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2"/>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2"/>
      <c r="AC6" s="3366"/>
    </row>
    <row r="7" spans="1:29" s="1219" customFormat="1" ht="15.75" thickBot="1">
      <c r="A7" s="2912"/>
      <c r="B7" s="2919" t="s">
        <v>529</v>
      </c>
      <c r="C7" s="518">
        <f>'数据-取费表'!B2</f>
        <v>43336</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6" si="3">D8/F8</f>
        <v>#DIV/0!</v>
      </c>
      <c r="AB8" s="1570" t="e">
        <f t="shared" ref="AB8:AB46" si="4">D8/H8</f>
        <v>#DIV/0!</v>
      </c>
      <c r="AC8" s="1570" t="e">
        <f t="shared" ref="AC8:AC46" si="5">D8/J8</f>
        <v>#DIV/0!</v>
      </c>
    </row>
    <row r="9" spans="1:29" s="1219" customFormat="1" ht="15">
      <c r="A9" s="2914"/>
      <c r="B9" s="2921"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166" t="s">
        <v>541</v>
      </c>
      <c r="C15" s="866" t="str">
        <f>估价对象房地状况!C4</f>
        <v>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395" t="s">
        <v>540</v>
      </c>
      <c r="Q15" s="1571" t="str">
        <f t="shared" si="6"/>
        <v>商业繁华度</v>
      </c>
      <c r="R15" s="1572" t="s">
        <v>8</v>
      </c>
      <c r="S15" s="1573">
        <f t="shared" si="0"/>
        <v>100</v>
      </c>
      <c r="T15" s="1572" t="s">
        <v>8</v>
      </c>
      <c r="U15" s="1573">
        <f t="shared" si="1"/>
        <v>100</v>
      </c>
      <c r="V15" s="1572" t="s">
        <v>8</v>
      </c>
      <c r="W15" s="1573">
        <f t="shared" si="2"/>
        <v>100</v>
      </c>
      <c r="X15" s="1566"/>
      <c r="Y15" s="339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0" t="s">
        <v>2547</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3"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396"/>
      <c r="Q23" s="1571" t="str">
        <f>B23</f>
        <v>自然及人文环境</v>
      </c>
      <c r="R23" s="1572" t="s">
        <v>8</v>
      </c>
      <c r="S23" s="1573">
        <f>F23</f>
        <v>100</v>
      </c>
      <c r="T23" s="1572" t="s">
        <v>8</v>
      </c>
      <c r="U23" s="1573">
        <f>H23</f>
        <v>100</v>
      </c>
      <c r="V23" s="1572" t="s">
        <v>8</v>
      </c>
      <c r="W23" s="1573">
        <f>J23</f>
        <v>100</v>
      </c>
      <c r="X23" s="1566"/>
      <c r="Y23" s="339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96"/>
      <c r="Q25" s="1571" t="str">
        <f t="shared" ref="Q25:Q46" si="11">B25</f>
        <v>临街状况</v>
      </c>
      <c r="R25" s="1572" t="s">
        <v>8</v>
      </c>
      <c r="S25" s="1573">
        <f>F25</f>
        <v>100</v>
      </c>
      <c r="T25" s="1572" t="s">
        <v>8</v>
      </c>
      <c r="U25" s="1573">
        <f>H25</f>
        <v>100</v>
      </c>
      <c r="V25" s="1572" t="s">
        <v>8</v>
      </c>
      <c r="W25" s="1573">
        <f>J25</f>
        <v>100</v>
      </c>
      <c r="X25" s="1566"/>
      <c r="Y25" s="339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96"/>
      <c r="Q26" s="1571" t="str">
        <f t="shared" si="11"/>
        <v>平面位置/可视性</v>
      </c>
      <c r="R26" s="1572" t="s">
        <v>8</v>
      </c>
      <c r="S26" s="1573">
        <f>F26</f>
        <v>100</v>
      </c>
      <c r="T26" s="1572" t="s">
        <v>8</v>
      </c>
      <c r="U26" s="1573">
        <f>H26</f>
        <v>100</v>
      </c>
      <c r="V26" s="1572" t="s">
        <v>8</v>
      </c>
      <c r="W26" s="1573">
        <f>J26</f>
        <v>100</v>
      </c>
      <c r="X26" s="1566"/>
      <c r="Y26" s="339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396"/>
      <c r="Q27" s="1150" t="str">
        <f t="shared" si="11"/>
        <v>人流量</v>
      </c>
      <c r="R27" s="1567" t="s">
        <v>8</v>
      </c>
      <c r="S27" s="1568">
        <f>F27</f>
        <v>100</v>
      </c>
      <c r="T27" s="1567" t="s">
        <v>8</v>
      </c>
      <c r="U27" s="1568">
        <f>H27</f>
        <v>100</v>
      </c>
      <c r="V27" s="1567" t="s">
        <v>8</v>
      </c>
      <c r="W27" s="1568">
        <f>J27</f>
        <v>100</v>
      </c>
      <c r="X27" s="1569"/>
      <c r="Y27" s="339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9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96"/>
      <c r="Q29" s="1571">
        <f t="shared" si="11"/>
        <v>111</v>
      </c>
      <c r="R29" s="1572" t="s">
        <v>8</v>
      </c>
      <c r="S29" s="1573">
        <f t="shared" si="12"/>
        <v>100</v>
      </c>
      <c r="T29" s="1572" t="s">
        <v>8</v>
      </c>
      <c r="U29" s="1573">
        <f t="shared" si="13"/>
        <v>100</v>
      </c>
      <c r="V29" s="1572" t="s">
        <v>8</v>
      </c>
      <c r="W29" s="1573">
        <f t="shared" si="14"/>
        <v>100</v>
      </c>
      <c r="X29" s="1566"/>
      <c r="Y29" s="339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97" t="s">
        <v>550</v>
      </c>
      <c r="Q32" s="1571" t="str">
        <f t="shared" si="11"/>
        <v>商业类型</v>
      </c>
      <c r="R32" s="1572" t="s">
        <v>8</v>
      </c>
      <c r="S32" s="1573">
        <f t="shared" si="12"/>
        <v>100</v>
      </c>
      <c r="T32" s="1572" t="s">
        <v>8</v>
      </c>
      <c r="U32" s="1573">
        <f t="shared" si="13"/>
        <v>100</v>
      </c>
      <c r="V32" s="1572" t="s">
        <v>8</v>
      </c>
      <c r="W32" s="1573">
        <f t="shared" si="14"/>
        <v>100</v>
      </c>
      <c r="X32" s="1566"/>
      <c r="Y32" s="3398"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98"/>
      <c r="Q33" s="1604" t="str">
        <f t="shared" si="11"/>
        <v>项目建筑规模</v>
      </c>
      <c r="R33" s="1576" t="s">
        <v>8</v>
      </c>
      <c r="S33" s="1577" t="e">
        <f t="shared" si="12"/>
        <v>#N/A</v>
      </c>
      <c r="T33" s="1576" t="s">
        <v>8</v>
      </c>
      <c r="U33" s="1577" t="e">
        <f t="shared" si="13"/>
        <v>#N/A</v>
      </c>
      <c r="V33" s="1576" t="s">
        <v>8</v>
      </c>
      <c r="W33" s="1577" t="e">
        <f t="shared" si="14"/>
        <v>#N/A</v>
      </c>
      <c r="X33" s="1578"/>
      <c r="Y33" s="339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398"/>
      <c r="Q34" s="1571" t="str">
        <f t="shared" si="11"/>
        <v>建筑结构</v>
      </c>
      <c r="R34" s="1572" t="s">
        <v>8</v>
      </c>
      <c r="S34" s="1573">
        <f t="shared" si="12"/>
        <v>100</v>
      </c>
      <c r="T34" s="1572" t="s">
        <v>8</v>
      </c>
      <c r="U34" s="1573">
        <f t="shared" si="13"/>
        <v>100</v>
      </c>
      <c r="V34" s="1572" t="s">
        <v>8</v>
      </c>
      <c r="W34" s="1573">
        <f t="shared" si="14"/>
        <v>100</v>
      </c>
      <c r="X34" s="1566"/>
      <c r="Y34" s="339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98"/>
      <c r="Q35" s="1571" t="str">
        <f t="shared" si="11"/>
        <v>公共部分装修</v>
      </c>
      <c r="R35" s="1572" t="s">
        <v>8</v>
      </c>
      <c r="S35" s="1573">
        <f t="shared" si="12"/>
        <v>100</v>
      </c>
      <c r="T35" s="1572" t="s">
        <v>8</v>
      </c>
      <c r="U35" s="1573">
        <f t="shared" si="13"/>
        <v>100</v>
      </c>
      <c r="V35" s="1572" t="s">
        <v>8</v>
      </c>
      <c r="W35" s="1573">
        <f t="shared" si="14"/>
        <v>100</v>
      </c>
      <c r="X35" s="1566"/>
      <c r="Y35" s="339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398"/>
      <c r="Q36" s="1571" t="str">
        <f t="shared" si="11"/>
        <v>成新度</v>
      </c>
      <c r="R36" s="1572" t="s">
        <v>8</v>
      </c>
      <c r="S36" s="1573" t="e">
        <f t="shared" si="12"/>
        <v>#N/A</v>
      </c>
      <c r="T36" s="1572" t="s">
        <v>8</v>
      </c>
      <c r="U36" s="1573" t="e">
        <f t="shared" si="13"/>
        <v>#N/A</v>
      </c>
      <c r="V36" s="1572" t="s">
        <v>8</v>
      </c>
      <c r="W36" s="1573" t="e">
        <f t="shared" si="14"/>
        <v>#N/A</v>
      </c>
      <c r="X36" s="1566"/>
      <c r="Y36" s="3398"/>
      <c r="Z36" s="1574" t="str">
        <f t="shared" si="15"/>
        <v>成新度</v>
      </c>
      <c r="AA36" s="1575" t="e">
        <f t="shared" si="3"/>
        <v>#N/A</v>
      </c>
      <c r="AB36" s="1575" t="e">
        <f t="shared" si="4"/>
        <v>#N/A</v>
      </c>
      <c r="AC36" s="1575" t="e">
        <f t="shared" si="5"/>
        <v>#N/A</v>
      </c>
    </row>
    <row r="37" spans="1:29" s="1219"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98"/>
      <c r="Q37" s="1150" t="str">
        <f t="shared" si="11"/>
        <v>市政基础设施</v>
      </c>
      <c r="R37" s="1567" t="s">
        <v>8</v>
      </c>
      <c r="S37" s="1568">
        <f t="shared" si="12"/>
        <v>100</v>
      </c>
      <c r="T37" s="1567" t="s">
        <v>8</v>
      </c>
      <c r="U37" s="1568">
        <f t="shared" si="13"/>
        <v>100</v>
      </c>
      <c r="V37" s="1567" t="s">
        <v>8</v>
      </c>
      <c r="W37" s="1568">
        <f t="shared" si="14"/>
        <v>100</v>
      </c>
      <c r="X37" s="1569"/>
      <c r="Y37" s="339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98" t="s">
        <v>766</v>
      </c>
      <c r="Q38" s="1571" t="str">
        <f t="shared" si="11"/>
        <v>业态</v>
      </c>
      <c r="R38" s="1572" t="s">
        <v>8</v>
      </c>
      <c r="S38" s="1573">
        <f t="shared" si="12"/>
        <v>100</v>
      </c>
      <c r="T38" s="1572" t="s">
        <v>8</v>
      </c>
      <c r="U38" s="1573">
        <f t="shared" si="13"/>
        <v>100</v>
      </c>
      <c r="V38" s="1572" t="s">
        <v>8</v>
      </c>
      <c r="W38" s="1573">
        <f t="shared" si="14"/>
        <v>100</v>
      </c>
      <c r="X38" s="1566"/>
      <c r="Y38" s="339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98"/>
      <c r="Q39" s="1571" t="str">
        <f t="shared" si="11"/>
        <v>层高</v>
      </c>
      <c r="R39" s="1572" t="s">
        <v>8</v>
      </c>
      <c r="S39" s="1573">
        <f t="shared" si="12"/>
        <v>100</v>
      </c>
      <c r="T39" s="1572" t="s">
        <v>8</v>
      </c>
      <c r="U39" s="1573">
        <f t="shared" si="13"/>
        <v>100</v>
      </c>
      <c r="V39" s="1572" t="s">
        <v>8</v>
      </c>
      <c r="W39" s="1573">
        <f t="shared" si="14"/>
        <v>100</v>
      </c>
      <c r="X39" s="1566"/>
      <c r="Y39" s="339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398"/>
      <c r="Q40" s="1571" t="str">
        <f t="shared" si="11"/>
        <v>单套建筑面积</v>
      </c>
      <c r="R40" s="1572" t="s">
        <v>8</v>
      </c>
      <c r="S40" s="1573">
        <f t="shared" si="12"/>
        <v>100</v>
      </c>
      <c r="T40" s="1572" t="s">
        <v>8</v>
      </c>
      <c r="U40" s="1573">
        <f t="shared" si="13"/>
        <v>100</v>
      </c>
      <c r="V40" s="1572" t="s">
        <v>8</v>
      </c>
      <c r="W40" s="1573">
        <f t="shared" si="14"/>
        <v>100</v>
      </c>
      <c r="X40" s="1566"/>
      <c r="Y40" s="339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98"/>
      <c r="Q41" s="1604" t="str">
        <f t="shared" si="11"/>
        <v>进深比</v>
      </c>
      <c r="R41" s="1576" t="s">
        <v>8</v>
      </c>
      <c r="S41" s="1577">
        <f t="shared" si="12"/>
        <v>100</v>
      </c>
      <c r="T41" s="1576" t="s">
        <v>8</v>
      </c>
      <c r="U41" s="1577">
        <f t="shared" si="13"/>
        <v>100</v>
      </c>
      <c r="V41" s="1576" t="s">
        <v>8</v>
      </c>
      <c r="W41" s="1577">
        <f t="shared" si="14"/>
        <v>100</v>
      </c>
      <c r="X41" s="1578"/>
      <c r="Y41" s="339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98"/>
      <c r="Q42" s="1571" t="str">
        <f t="shared" si="11"/>
        <v>内部装修</v>
      </c>
      <c r="R42" s="1572" t="s">
        <v>8</v>
      </c>
      <c r="S42" s="1573">
        <f t="shared" si="12"/>
        <v>100</v>
      </c>
      <c r="T42" s="1572" t="s">
        <v>8</v>
      </c>
      <c r="U42" s="1573">
        <f t="shared" si="13"/>
        <v>100</v>
      </c>
      <c r="V42" s="1572" t="s">
        <v>8</v>
      </c>
      <c r="W42" s="1573">
        <f t="shared" si="14"/>
        <v>100</v>
      </c>
      <c r="X42" s="1566"/>
      <c r="Y42" s="339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98"/>
      <c r="Q43" s="1571" t="str">
        <f t="shared" si="11"/>
        <v>内部装修维护情况</v>
      </c>
      <c r="R43" s="1572" t="s">
        <v>8</v>
      </c>
      <c r="S43" s="1573">
        <f t="shared" si="12"/>
        <v>100</v>
      </c>
      <c r="T43" s="1572" t="s">
        <v>8</v>
      </c>
      <c r="U43" s="1573">
        <f t="shared" si="13"/>
        <v>100</v>
      </c>
      <c r="V43" s="1572" t="s">
        <v>8</v>
      </c>
      <c r="W43" s="1573">
        <f t="shared" si="14"/>
        <v>100</v>
      </c>
      <c r="X43" s="1566"/>
      <c r="Y43" s="339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98"/>
      <c r="Q44" s="1150">
        <f t="shared" si="11"/>
        <v>111</v>
      </c>
      <c r="R44" s="1567" t="s">
        <v>8</v>
      </c>
      <c r="S44" s="1568">
        <f t="shared" si="12"/>
        <v>100</v>
      </c>
      <c r="T44" s="1567" t="s">
        <v>8</v>
      </c>
      <c r="U44" s="1568">
        <f t="shared" si="13"/>
        <v>100</v>
      </c>
      <c r="V44" s="1567" t="s">
        <v>8</v>
      </c>
      <c r="W44" s="1568">
        <f t="shared" si="14"/>
        <v>100</v>
      </c>
      <c r="X44" s="1569"/>
      <c r="Y44" s="339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98"/>
      <c r="Q45" s="1571">
        <f t="shared" si="11"/>
        <v>111</v>
      </c>
      <c r="R45" s="1572" t="s">
        <v>8</v>
      </c>
      <c r="S45" s="1573">
        <f t="shared" si="12"/>
        <v>100</v>
      </c>
      <c r="T45" s="1572" t="s">
        <v>8</v>
      </c>
      <c r="U45" s="1573">
        <f t="shared" si="13"/>
        <v>100</v>
      </c>
      <c r="V45" s="1572" t="s">
        <v>8</v>
      </c>
      <c r="W45" s="1573">
        <f t="shared" si="14"/>
        <v>100</v>
      </c>
      <c r="X45" s="1566"/>
      <c r="Y45" s="339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5"/>
      <c r="Q46" s="1571">
        <f t="shared" si="11"/>
        <v>111</v>
      </c>
      <c r="R46" s="1572" t="s">
        <v>8</v>
      </c>
      <c r="S46" s="1573">
        <f t="shared" si="12"/>
        <v>100</v>
      </c>
      <c r="T46" s="1572" t="s">
        <v>8</v>
      </c>
      <c r="U46" s="1573">
        <f t="shared" si="13"/>
        <v>100</v>
      </c>
      <c r="V46" s="1572" t="s">
        <v>8</v>
      </c>
      <c r="W46" s="1573">
        <f t="shared" si="14"/>
        <v>100</v>
      </c>
      <c r="X46" s="1566"/>
      <c r="Y46" s="3475"/>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61" t="str">
        <f>A47</f>
        <v>成交单价（元/平方米）</v>
      </c>
      <c r="Q47" s="3361"/>
      <c r="R47" s="3474">
        <f>E47</f>
        <v>0</v>
      </c>
      <c r="S47" s="3474"/>
      <c r="T47" s="3474">
        <f>G47</f>
        <v>0</v>
      </c>
      <c r="U47" s="3474"/>
      <c r="V47" s="3474">
        <f>I47</f>
        <v>0</v>
      </c>
      <c r="W47" s="3474"/>
      <c r="X47" s="1558"/>
      <c r="Y47" s="1580"/>
      <c r="Z47" s="1558"/>
      <c r="AA47" s="1558"/>
      <c r="AB47" s="1558"/>
      <c r="AC47" s="1558"/>
    </row>
    <row r="48" spans="1:29" ht="15.75" thickBot="1">
      <c r="A48" s="614" t="s">
        <v>2761</v>
      </c>
      <c r="B48" s="887"/>
      <c r="C48" s="2633" t="e">
        <f>R49</f>
        <v>#DIV/0!</v>
      </c>
      <c r="D48" s="2634"/>
      <c r="E48" s="2635" t="e">
        <f>R48</f>
        <v>#DIV/0!</v>
      </c>
      <c r="F48" s="2635"/>
      <c r="G48" s="2633" t="e">
        <f>T48</f>
        <v>#DIV/0!</v>
      </c>
      <c r="H48" s="2634"/>
      <c r="I48" s="2635" t="e">
        <f>V48</f>
        <v>#DIV/0!</v>
      </c>
      <c r="J48" s="2634"/>
      <c r="K48" s="1611"/>
      <c r="L48" s="2144"/>
      <c r="M48" s="2145"/>
      <c r="N48" s="2134"/>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8"/>
      <c r="Y48" s="1558"/>
      <c r="Z48" s="1558"/>
      <c r="AA48" s="1558"/>
      <c r="AB48" s="1558"/>
      <c r="AC48" s="1558"/>
    </row>
    <row r="49" spans="1:29" ht="15.75" thickBot="1">
      <c r="A49" s="620" t="s">
        <v>2926</v>
      </c>
      <c r="B49" s="621"/>
      <c r="C49" s="2636" t="e">
        <f>R49</f>
        <v>#DIV/0!</v>
      </c>
      <c r="D49" s="2636"/>
      <c r="E49" s="2636"/>
      <c r="F49" s="2636"/>
      <c r="G49" s="2636"/>
      <c r="H49" s="2636"/>
      <c r="I49" s="2636"/>
      <c r="J49" s="2636"/>
      <c r="K49" s="1612"/>
      <c r="L49" s="2144"/>
      <c r="M49" s="2145"/>
      <c r="N49" s="2134"/>
      <c r="O49" s="2145"/>
      <c r="P49" s="3358" t="str">
        <f>A49</f>
        <v>估价对象XX用房的比较价格（楼面单价，元/平方米）</v>
      </c>
      <c r="Q49" s="3359"/>
      <c r="R49" s="3473" t="e">
        <f>IF(F1="售价",ROUND(AVERAGE(R48:V48),0),ROUND(AVERAGE(R48:V48),1))</f>
        <v>#DIV/0!</v>
      </c>
      <c r="S49" s="3473"/>
      <c r="T49" s="3473"/>
      <c r="U49" s="3473"/>
      <c r="V49" s="3473"/>
      <c r="W49" s="347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67" t="s">
        <v>522</v>
      </c>
      <c r="D4" s="3368"/>
      <c r="E4" s="3401" t="s">
        <v>523</v>
      </c>
      <c r="F4" s="3402"/>
      <c r="G4" s="3367" t="s">
        <v>524</v>
      </c>
      <c r="H4" s="3368"/>
      <c r="I4" s="3367" t="s">
        <v>525</v>
      </c>
      <c r="J4" s="3368"/>
      <c r="K4" s="513" t="s">
        <v>526</v>
      </c>
      <c r="L4" s="2133"/>
      <c r="M4" s="2134"/>
      <c r="N4" s="2134"/>
      <c r="O4" s="2134"/>
      <c r="P4" s="3477" t="s">
        <v>527</v>
      </c>
      <c r="Q4" s="3370"/>
      <c r="R4" s="3375" t="s">
        <v>523</v>
      </c>
      <c r="S4" s="3376"/>
      <c r="T4" s="3375" t="s">
        <v>524</v>
      </c>
      <c r="U4" s="3376"/>
      <c r="V4" s="3362" t="s">
        <v>525</v>
      </c>
      <c r="W4" s="3362"/>
      <c r="X4" s="1566"/>
      <c r="Y4" s="3375" t="s">
        <v>527</v>
      </c>
      <c r="Z4" s="3376"/>
      <c r="AA4" s="3364" t="s">
        <v>523</v>
      </c>
      <c r="AB4" s="3364"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478"/>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479"/>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4"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4" t="s">
        <v>533</v>
      </c>
      <c r="Q8" s="3393"/>
      <c r="R8" s="1567" t="s">
        <v>8</v>
      </c>
      <c r="S8" s="1568">
        <f t="shared" si="0"/>
        <v>0</v>
      </c>
      <c r="T8" s="1567" t="s">
        <v>8</v>
      </c>
      <c r="U8" s="1568">
        <f t="shared" si="1"/>
        <v>0</v>
      </c>
      <c r="V8" s="1567" t="s">
        <v>8</v>
      </c>
      <c r="W8" s="1568">
        <f t="shared" si="2"/>
        <v>0</v>
      </c>
      <c r="X8" s="1569"/>
      <c r="Y8" s="3392" t="s">
        <v>533</v>
      </c>
      <c r="Z8" s="3393"/>
      <c r="AA8" s="1570" t="e">
        <f t="shared" ref="AA8:AA47" si="3">D8/F8</f>
        <v>#DIV/0!</v>
      </c>
      <c r="AB8" s="1570" t="e">
        <f t="shared" ref="AB8:AB47" si="4">D8/H8</f>
        <v>#DIV/0!</v>
      </c>
      <c r="AC8" s="1570" t="e">
        <f t="shared" ref="AC8:AC47" si="5">D8/J8</f>
        <v>#DIV/0!</v>
      </c>
    </row>
    <row r="9" spans="1:29" s="1219" customFormat="1" ht="15">
      <c r="A9" s="2914"/>
      <c r="B9" s="2921"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546" t="s">
        <v>542</v>
      </c>
      <c r="C15" s="547" t="str">
        <f>估价对象房地状况!C5</f>
        <v>较差</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395" t="s">
        <v>540</v>
      </c>
      <c r="Q15" s="1571" t="str">
        <f t="shared" si="6"/>
        <v>办公集聚程度</v>
      </c>
      <c r="R15" s="1572" t="s">
        <v>8</v>
      </c>
      <c r="S15" s="1573">
        <f t="shared" si="0"/>
        <v>100</v>
      </c>
      <c r="T15" s="1572" t="s">
        <v>8</v>
      </c>
      <c r="U15" s="1573">
        <f t="shared" si="1"/>
        <v>100</v>
      </c>
      <c r="V15" s="1572" t="s">
        <v>8</v>
      </c>
      <c r="W15" s="1573">
        <f t="shared" si="2"/>
        <v>100</v>
      </c>
      <c r="X15" s="1566"/>
      <c r="Y15" s="3395"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396"/>
      <c r="Q16" s="1571"/>
      <c r="R16" s="1572"/>
      <c r="S16" s="1573"/>
      <c r="T16" s="1572"/>
      <c r="U16" s="1573"/>
      <c r="V16" s="1572"/>
      <c r="W16" s="1573"/>
      <c r="X16" s="1566"/>
      <c r="Y16" s="3396"/>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396"/>
      <c r="Q18" s="1571"/>
      <c r="R18" s="1572"/>
      <c r="S18" s="1573"/>
      <c r="T18" s="1572"/>
      <c r="U18" s="1573"/>
      <c r="V18" s="1572"/>
      <c r="W18" s="1573"/>
      <c r="X18" s="1566"/>
      <c r="Y18" s="3396"/>
      <c r="Z18" s="1574"/>
      <c r="AA18" s="1575">
        <v>1</v>
      </c>
      <c r="AB18" s="1575">
        <v>1</v>
      </c>
      <c r="AC18" s="1575">
        <v>1</v>
      </c>
    </row>
    <row r="19" spans="1:29" ht="15">
      <c r="A19" s="531"/>
      <c r="B19" s="2603" t="s">
        <v>2547</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396"/>
      <c r="Q20" s="1571"/>
      <c r="R20" s="1572"/>
      <c r="S20" s="1573"/>
      <c r="T20" s="1572"/>
      <c r="U20" s="1573"/>
      <c r="V20" s="1572"/>
      <c r="W20" s="1573"/>
      <c r="X20" s="1566"/>
      <c r="Y20" s="3396"/>
      <c r="Z20" s="1574"/>
      <c r="AA20" s="1575">
        <v>1</v>
      </c>
      <c r="AB20" s="1575">
        <v>1</v>
      </c>
      <c r="AC20" s="1575">
        <v>1</v>
      </c>
    </row>
    <row r="21" spans="1:29" ht="15">
      <c r="A21" s="531"/>
      <c r="B21" s="2591"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96"/>
      <c r="Q22" s="2579"/>
      <c r="R22" s="1572"/>
      <c r="S22" s="1573"/>
      <c r="T22" s="1572"/>
      <c r="U22" s="1573"/>
      <c r="V22" s="1572"/>
      <c r="W22" s="1573"/>
      <c r="X22" s="2581"/>
      <c r="Y22" s="3396"/>
      <c r="Z22" s="2580"/>
      <c r="AA22" s="1575">
        <v>1</v>
      </c>
      <c r="AB22" s="1575">
        <v>1</v>
      </c>
      <c r="AC22" s="1575">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396"/>
      <c r="Q24" s="1571"/>
      <c r="R24" s="1572"/>
      <c r="S24" s="1573"/>
      <c r="T24" s="1572"/>
      <c r="U24" s="1573"/>
      <c r="V24" s="1572"/>
      <c r="W24" s="1573"/>
      <c r="X24" s="1566"/>
      <c r="Y24" s="3396"/>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396"/>
      <c r="Q25" s="1571" t="str">
        <f>B25</f>
        <v>毗邻道路的类型与等级</v>
      </c>
      <c r="R25" s="1572" t="s">
        <v>8</v>
      </c>
      <c r="S25" s="1573">
        <f>F25</f>
        <v>100</v>
      </c>
      <c r="T25" s="1572" t="s">
        <v>8</v>
      </c>
      <c r="U25" s="1573">
        <f>H25</f>
        <v>100</v>
      </c>
      <c r="V25" s="1572" t="s">
        <v>8</v>
      </c>
      <c r="W25" s="1573">
        <f>J25</f>
        <v>100</v>
      </c>
      <c r="X25" s="1566"/>
      <c r="Y25" s="339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396"/>
      <c r="Q26" s="1571"/>
      <c r="R26" s="1572"/>
      <c r="S26" s="1573"/>
      <c r="T26" s="1572"/>
      <c r="U26" s="1573"/>
      <c r="V26" s="1572"/>
      <c r="W26" s="1573"/>
      <c r="X26" s="1566"/>
      <c r="Y26" s="339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96"/>
      <c r="Q27" s="1571" t="str">
        <f t="shared" ref="Q27:Q47" si="11">B27</f>
        <v>楼层</v>
      </c>
      <c r="R27" s="1572" t="s">
        <v>8</v>
      </c>
      <c r="S27" s="1573">
        <f>F27</f>
        <v>100</v>
      </c>
      <c r="T27" s="1572" t="s">
        <v>8</v>
      </c>
      <c r="U27" s="1573">
        <f>H27</f>
        <v>100</v>
      </c>
      <c r="V27" s="1572" t="s">
        <v>8</v>
      </c>
      <c r="W27" s="1573">
        <f>J27</f>
        <v>100</v>
      </c>
      <c r="X27" s="1566"/>
      <c r="Y27" s="339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396"/>
      <c r="Q28" s="1150" t="str">
        <f t="shared" si="11"/>
        <v>朝向</v>
      </c>
      <c r="R28" s="1567" t="s">
        <v>8</v>
      </c>
      <c r="S28" s="1568">
        <f>F28</f>
        <v>100</v>
      </c>
      <c r="T28" s="1567" t="s">
        <v>8</v>
      </c>
      <c r="U28" s="1568">
        <f>H28</f>
        <v>100</v>
      </c>
      <c r="V28" s="1567" t="s">
        <v>8</v>
      </c>
      <c r="W28" s="1568">
        <f>J28</f>
        <v>100</v>
      </c>
      <c r="X28" s="1569"/>
      <c r="Y28" s="339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396"/>
      <c r="Q29" s="1571">
        <f t="shared" si="11"/>
        <v>111</v>
      </c>
      <c r="R29" s="1572" t="s">
        <v>8</v>
      </c>
      <c r="S29" s="1573">
        <f t="shared" ref="S29:S47" si="12">F29</f>
        <v>100</v>
      </c>
      <c r="T29" s="1572" t="s">
        <v>8</v>
      </c>
      <c r="U29" s="1573">
        <f t="shared" ref="U29:U47" si="13">H29</f>
        <v>100</v>
      </c>
      <c r="V29" s="1572" t="s">
        <v>8</v>
      </c>
      <c r="W29" s="1573">
        <f t="shared" ref="W29:W47" si="14">J29</f>
        <v>100</v>
      </c>
      <c r="X29" s="1566"/>
      <c r="Y29" s="339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396"/>
      <c r="Q30" s="1571">
        <f t="shared" si="11"/>
        <v>111</v>
      </c>
      <c r="R30" s="1572" t="s">
        <v>8</v>
      </c>
      <c r="S30" s="1573">
        <f t="shared" si="12"/>
        <v>100</v>
      </c>
      <c r="T30" s="1572" t="s">
        <v>8</v>
      </c>
      <c r="U30" s="1573">
        <f t="shared" si="13"/>
        <v>100</v>
      </c>
      <c r="V30" s="1572" t="s">
        <v>8</v>
      </c>
      <c r="W30" s="1573">
        <f t="shared" si="14"/>
        <v>100</v>
      </c>
      <c r="X30" s="1566"/>
      <c r="Y30" s="339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396"/>
      <c r="Q31" s="1571">
        <f t="shared" si="11"/>
        <v>111</v>
      </c>
      <c r="R31" s="1572" t="s">
        <v>8</v>
      </c>
      <c r="S31" s="1573">
        <f t="shared" si="12"/>
        <v>100</v>
      </c>
      <c r="T31" s="1572" t="s">
        <v>8</v>
      </c>
      <c r="U31" s="1573">
        <f t="shared" si="13"/>
        <v>100</v>
      </c>
      <c r="V31" s="1572" t="s">
        <v>8</v>
      </c>
      <c r="W31" s="1573">
        <f t="shared" si="14"/>
        <v>100</v>
      </c>
      <c r="X31" s="1566"/>
      <c r="Y31" s="339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396"/>
      <c r="Q32" s="1571">
        <f t="shared" si="11"/>
        <v>111</v>
      </c>
      <c r="R32" s="1572" t="s">
        <v>8</v>
      </c>
      <c r="S32" s="1573">
        <f t="shared" si="12"/>
        <v>100</v>
      </c>
      <c r="T32" s="1572" t="s">
        <v>8</v>
      </c>
      <c r="U32" s="1573">
        <f t="shared" si="13"/>
        <v>100</v>
      </c>
      <c r="V32" s="1572" t="s">
        <v>8</v>
      </c>
      <c r="W32" s="1573">
        <f t="shared" si="14"/>
        <v>100</v>
      </c>
      <c r="X32" s="1566"/>
      <c r="Y32" s="3396"/>
      <c r="Z32" s="1574">
        <f t="shared" si="15"/>
        <v>111</v>
      </c>
      <c r="AA32" s="1575">
        <f t="shared" si="3"/>
        <v>1</v>
      </c>
      <c r="AB32" s="1575">
        <f t="shared" si="4"/>
        <v>1</v>
      </c>
      <c r="AC32" s="1575">
        <f t="shared" si="5"/>
        <v>1</v>
      </c>
    </row>
    <row r="33" spans="1:29" ht="15">
      <c r="A33" s="2907"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397" t="s">
        <v>550</v>
      </c>
      <c r="Q33" s="1571" t="str">
        <f t="shared" si="11"/>
        <v>建筑类型</v>
      </c>
      <c r="R33" s="1572" t="s">
        <v>8</v>
      </c>
      <c r="S33" s="1573">
        <f t="shared" si="12"/>
        <v>100</v>
      </c>
      <c r="T33" s="1572" t="s">
        <v>8</v>
      </c>
      <c r="U33" s="1573">
        <f t="shared" si="13"/>
        <v>100</v>
      </c>
      <c r="V33" s="1572" t="s">
        <v>8</v>
      </c>
      <c r="W33" s="1573">
        <f t="shared" si="14"/>
        <v>100</v>
      </c>
      <c r="X33" s="1566"/>
      <c r="Y33" s="3398"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98"/>
      <c r="Q34" s="1604" t="str">
        <f t="shared" si="11"/>
        <v>项目建筑规模</v>
      </c>
      <c r="R34" s="1576" t="s">
        <v>8</v>
      </c>
      <c r="S34" s="1577" t="e">
        <f t="shared" si="12"/>
        <v>#N/A</v>
      </c>
      <c r="T34" s="1576" t="s">
        <v>8</v>
      </c>
      <c r="U34" s="1577" t="e">
        <f t="shared" si="13"/>
        <v>#N/A</v>
      </c>
      <c r="V34" s="1576" t="s">
        <v>8</v>
      </c>
      <c r="W34" s="1577" t="e">
        <f t="shared" si="14"/>
        <v>#N/A</v>
      </c>
      <c r="X34" s="1578"/>
      <c r="Y34" s="3398"/>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98"/>
      <c r="Q35" s="1571" t="str">
        <f t="shared" si="11"/>
        <v>建筑结构</v>
      </c>
      <c r="R35" s="1572" t="s">
        <v>8</v>
      </c>
      <c r="S35" s="1573">
        <f t="shared" si="12"/>
        <v>100</v>
      </c>
      <c r="T35" s="1572" t="s">
        <v>8</v>
      </c>
      <c r="U35" s="1573">
        <f t="shared" si="13"/>
        <v>100</v>
      </c>
      <c r="V35" s="1572" t="s">
        <v>8</v>
      </c>
      <c r="W35" s="1573">
        <f t="shared" si="14"/>
        <v>100</v>
      </c>
      <c r="X35" s="1566"/>
      <c r="Y35" s="3398"/>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98"/>
      <c r="Q36" s="1571" t="str">
        <f t="shared" si="11"/>
        <v>公共部分装修</v>
      </c>
      <c r="R36" s="1572" t="s">
        <v>8</v>
      </c>
      <c r="S36" s="1573">
        <f t="shared" si="12"/>
        <v>100</v>
      </c>
      <c r="T36" s="1572" t="s">
        <v>8</v>
      </c>
      <c r="U36" s="1573">
        <f t="shared" si="13"/>
        <v>100</v>
      </c>
      <c r="V36" s="1572" t="s">
        <v>8</v>
      </c>
      <c r="W36" s="1573">
        <f t="shared" si="14"/>
        <v>100</v>
      </c>
      <c r="X36" s="1566"/>
      <c r="Y36" s="3398"/>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398"/>
      <c r="Q37" s="1571" t="str">
        <f t="shared" si="11"/>
        <v>成新度</v>
      </c>
      <c r="R37" s="1572" t="s">
        <v>8</v>
      </c>
      <c r="S37" s="1573" t="e">
        <f t="shared" si="12"/>
        <v>#N/A</v>
      </c>
      <c r="T37" s="1572" t="s">
        <v>8</v>
      </c>
      <c r="U37" s="1573" t="e">
        <f t="shared" si="13"/>
        <v>#N/A</v>
      </c>
      <c r="V37" s="1572" t="s">
        <v>8</v>
      </c>
      <c r="W37" s="1573" t="e">
        <f t="shared" si="14"/>
        <v>#N/A</v>
      </c>
      <c r="X37" s="1566"/>
      <c r="Y37" s="3398"/>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98"/>
      <c r="Q38" s="1150" t="str">
        <f t="shared" si="11"/>
        <v>写字楼等级</v>
      </c>
      <c r="R38" s="1567" t="s">
        <v>8</v>
      </c>
      <c r="S38" s="1568">
        <f t="shared" si="12"/>
        <v>100</v>
      </c>
      <c r="T38" s="1567" t="s">
        <v>8</v>
      </c>
      <c r="U38" s="1568">
        <f t="shared" si="13"/>
        <v>100</v>
      </c>
      <c r="V38" s="1567" t="s">
        <v>8</v>
      </c>
      <c r="W38" s="1568">
        <f t="shared" si="14"/>
        <v>100</v>
      </c>
      <c r="X38" s="1569"/>
      <c r="Y38" s="3398"/>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98" t="s">
        <v>550</v>
      </c>
      <c r="Q39" s="1571" t="str">
        <f t="shared" si="11"/>
        <v>物业管理</v>
      </c>
      <c r="R39" s="1572" t="s">
        <v>8</v>
      </c>
      <c r="S39" s="1573">
        <f t="shared" si="12"/>
        <v>100</v>
      </c>
      <c r="T39" s="1572" t="s">
        <v>8</v>
      </c>
      <c r="U39" s="1573">
        <f t="shared" si="13"/>
        <v>100</v>
      </c>
      <c r="V39" s="1572" t="s">
        <v>8</v>
      </c>
      <c r="W39" s="1573">
        <f t="shared" si="14"/>
        <v>100</v>
      </c>
      <c r="X39" s="1566"/>
      <c r="Y39" s="3398"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98"/>
      <c r="Q40" s="1571" t="str">
        <f t="shared" si="11"/>
        <v>市政基础设施</v>
      </c>
      <c r="R40" s="1572" t="s">
        <v>8</v>
      </c>
      <c r="S40" s="1573">
        <f t="shared" si="12"/>
        <v>100</v>
      </c>
      <c r="T40" s="1572" t="s">
        <v>8</v>
      </c>
      <c r="U40" s="1573">
        <f t="shared" si="13"/>
        <v>100</v>
      </c>
      <c r="V40" s="1572" t="s">
        <v>8</v>
      </c>
      <c r="W40" s="1573">
        <f t="shared" si="14"/>
        <v>100</v>
      </c>
      <c r="X40" s="1566"/>
      <c r="Y40" s="3398"/>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98"/>
      <c r="Q41" s="1571" t="str">
        <f t="shared" si="11"/>
        <v>层高</v>
      </c>
      <c r="R41" s="1572" t="s">
        <v>8</v>
      </c>
      <c r="S41" s="1573">
        <f t="shared" si="12"/>
        <v>100</v>
      </c>
      <c r="T41" s="1572" t="s">
        <v>8</v>
      </c>
      <c r="U41" s="1573">
        <f t="shared" si="13"/>
        <v>100</v>
      </c>
      <c r="V41" s="1572" t="s">
        <v>8</v>
      </c>
      <c r="W41" s="1573">
        <f t="shared" si="14"/>
        <v>100</v>
      </c>
      <c r="X41" s="1566"/>
      <c r="Y41" s="339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98"/>
      <c r="Q42" s="1604" t="str">
        <f t="shared" si="11"/>
        <v>单套建筑面积</v>
      </c>
      <c r="R42" s="1576" t="s">
        <v>8</v>
      </c>
      <c r="S42" s="1577">
        <f t="shared" si="12"/>
        <v>100</v>
      </c>
      <c r="T42" s="1576" t="s">
        <v>8</v>
      </c>
      <c r="U42" s="1577">
        <f t="shared" si="13"/>
        <v>100</v>
      </c>
      <c r="V42" s="1576" t="s">
        <v>8</v>
      </c>
      <c r="W42" s="1577">
        <f t="shared" si="14"/>
        <v>100</v>
      </c>
      <c r="X42" s="1578"/>
      <c r="Y42" s="3398"/>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98"/>
      <c r="Q43" s="1571" t="str">
        <f t="shared" si="11"/>
        <v>内部装修</v>
      </c>
      <c r="R43" s="1572" t="s">
        <v>8</v>
      </c>
      <c r="S43" s="1573">
        <f t="shared" si="12"/>
        <v>100</v>
      </c>
      <c r="T43" s="1572" t="s">
        <v>8</v>
      </c>
      <c r="U43" s="1573">
        <f t="shared" si="13"/>
        <v>100</v>
      </c>
      <c r="V43" s="1572" t="s">
        <v>8</v>
      </c>
      <c r="W43" s="1573">
        <f t="shared" si="14"/>
        <v>100</v>
      </c>
      <c r="X43" s="1566"/>
      <c r="Y43" s="3398"/>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98"/>
      <c r="Q44" s="1571" t="str">
        <f t="shared" si="11"/>
        <v>内部装修维护情况</v>
      </c>
      <c r="R44" s="1572" t="s">
        <v>8</v>
      </c>
      <c r="S44" s="1573">
        <f t="shared" si="12"/>
        <v>100</v>
      </c>
      <c r="T44" s="1572" t="s">
        <v>8</v>
      </c>
      <c r="U44" s="1573">
        <f t="shared" si="13"/>
        <v>100</v>
      </c>
      <c r="V44" s="1572" t="s">
        <v>8</v>
      </c>
      <c r="W44" s="1573">
        <f t="shared" si="14"/>
        <v>100</v>
      </c>
      <c r="X44" s="1566"/>
      <c r="Y44" s="339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98"/>
      <c r="Q45" s="1150">
        <f t="shared" si="11"/>
        <v>111</v>
      </c>
      <c r="R45" s="1567" t="s">
        <v>8</v>
      </c>
      <c r="S45" s="1568">
        <f t="shared" si="12"/>
        <v>100</v>
      </c>
      <c r="T45" s="1567" t="s">
        <v>8</v>
      </c>
      <c r="U45" s="1568">
        <f t="shared" si="13"/>
        <v>100</v>
      </c>
      <c r="V45" s="1567" t="s">
        <v>8</v>
      </c>
      <c r="W45" s="1568">
        <f t="shared" si="14"/>
        <v>100</v>
      </c>
      <c r="X45" s="1569"/>
      <c r="Y45" s="339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98"/>
      <c r="Q46" s="1571">
        <f t="shared" si="11"/>
        <v>111</v>
      </c>
      <c r="R46" s="1572" t="s">
        <v>8</v>
      </c>
      <c r="S46" s="1573">
        <f t="shared" si="12"/>
        <v>100</v>
      </c>
      <c r="T46" s="1572" t="s">
        <v>8</v>
      </c>
      <c r="U46" s="1573">
        <f t="shared" si="13"/>
        <v>100</v>
      </c>
      <c r="V46" s="1572" t="s">
        <v>8</v>
      </c>
      <c r="W46" s="1573">
        <f t="shared" si="14"/>
        <v>100</v>
      </c>
      <c r="X46" s="1566"/>
      <c r="Y46" s="339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5"/>
      <c r="Q47" s="1571">
        <f t="shared" si="11"/>
        <v>111</v>
      </c>
      <c r="R47" s="1572" t="s">
        <v>8</v>
      </c>
      <c r="S47" s="1573">
        <f t="shared" si="12"/>
        <v>100</v>
      </c>
      <c r="T47" s="1572" t="s">
        <v>8</v>
      </c>
      <c r="U47" s="1573">
        <f t="shared" si="13"/>
        <v>100</v>
      </c>
      <c r="V47" s="1572" t="s">
        <v>8</v>
      </c>
      <c r="W47" s="1573">
        <f t="shared" si="14"/>
        <v>100</v>
      </c>
      <c r="X47" s="1566"/>
      <c r="Y47" s="3475"/>
      <c r="Z47" s="1574">
        <f t="shared" si="15"/>
        <v>111</v>
      </c>
      <c r="AA47" s="1575">
        <f t="shared" si="3"/>
        <v>1</v>
      </c>
      <c r="AB47" s="1575">
        <f t="shared" si="4"/>
        <v>1</v>
      </c>
      <c r="AC47" s="1575">
        <f t="shared" si="5"/>
        <v>1</v>
      </c>
    </row>
    <row r="48" spans="1:29" ht="15">
      <c r="A48" s="606" t="s">
        <v>736</v>
      </c>
      <c r="B48" s="886"/>
      <c r="C48" s="2627" t="s">
        <v>1</v>
      </c>
      <c r="D48" s="2628"/>
      <c r="E48" s="2629"/>
      <c r="F48" s="2630"/>
      <c r="G48" s="2631"/>
      <c r="H48" s="2632"/>
      <c r="I48" s="2629"/>
      <c r="J48" s="2632"/>
      <c r="K48" s="1610"/>
      <c r="L48" s="2144"/>
      <c r="M48" s="2134"/>
      <c r="N48" s="2134"/>
      <c r="O48" s="2134"/>
      <c r="P48" s="3359" t="str">
        <f>A48</f>
        <v>成交单价（元/平方米）</v>
      </c>
      <c r="Q48" s="3361"/>
      <c r="R48" s="3474">
        <f>E48</f>
        <v>0</v>
      </c>
      <c r="S48" s="3474"/>
      <c r="T48" s="3474">
        <f>G48</f>
        <v>0</v>
      </c>
      <c r="U48" s="3474"/>
      <c r="V48" s="3474">
        <f>I48</f>
        <v>0</v>
      </c>
      <c r="W48" s="3474"/>
      <c r="X48" s="1558"/>
      <c r="Y48" s="1580"/>
      <c r="Z48" s="1558"/>
      <c r="AA48" s="1558"/>
      <c r="AB48" s="1558"/>
      <c r="AC48" s="1558"/>
    </row>
    <row r="49" spans="1:29" ht="15.75" thickBot="1">
      <c r="A49" s="614" t="s">
        <v>2761</v>
      </c>
      <c r="B49" s="887"/>
      <c r="C49" s="2633" t="e">
        <f>R50</f>
        <v>#DIV/0!</v>
      </c>
      <c r="D49" s="2634"/>
      <c r="E49" s="2635" t="e">
        <f>R49</f>
        <v>#DIV/0!</v>
      </c>
      <c r="F49" s="2635"/>
      <c r="G49" s="2633" t="e">
        <f>T49</f>
        <v>#DIV/0!</v>
      </c>
      <c r="H49" s="2634"/>
      <c r="I49" s="2635" t="e">
        <f>V49</f>
        <v>#DIV/0!</v>
      </c>
      <c r="J49" s="2634"/>
      <c r="K49" s="1611"/>
      <c r="L49" s="2144"/>
      <c r="M49" s="2134"/>
      <c r="N49" s="2134"/>
      <c r="O49" s="2134"/>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8"/>
      <c r="Y49" s="1558"/>
      <c r="Z49" s="1558"/>
      <c r="AA49" s="1558"/>
      <c r="AB49" s="1558"/>
      <c r="AC49" s="1558"/>
    </row>
    <row r="50" spans="1:29" ht="15.75" thickBot="1">
      <c r="A50" s="620" t="s">
        <v>2926</v>
      </c>
      <c r="B50" s="621"/>
      <c r="C50" s="2636" t="e">
        <f>R50</f>
        <v>#DIV/0!</v>
      </c>
      <c r="D50" s="2636"/>
      <c r="E50" s="2636"/>
      <c r="F50" s="2636"/>
      <c r="G50" s="2636"/>
      <c r="H50" s="2636"/>
      <c r="I50" s="2636"/>
      <c r="J50" s="2636"/>
      <c r="K50" s="1612"/>
      <c r="L50" s="2144"/>
      <c r="M50" s="2134"/>
      <c r="N50" s="2134"/>
      <c r="O50" s="2134"/>
      <c r="P50" s="3476" t="str">
        <f>A50</f>
        <v>估价对象XX用房的比较价格（楼面单价，元/平方米）</v>
      </c>
      <c r="Q50" s="3359"/>
      <c r="R50" s="3473" t="e">
        <f>IF(F1="售价",ROUND(AVERAGE(R49:V49),0),ROUND(AVERAGE(R49:V49),1))</f>
        <v>#DIV/0!</v>
      </c>
      <c r="S50" s="3473"/>
      <c r="T50" s="3473"/>
      <c r="U50" s="3473"/>
      <c r="V50" s="3473"/>
      <c r="W50" s="347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67" t="s">
        <v>522</v>
      </c>
      <c r="D4" s="3368"/>
      <c r="E4" s="3401" t="s">
        <v>523</v>
      </c>
      <c r="F4" s="3402"/>
      <c r="G4" s="3367" t="s">
        <v>524</v>
      </c>
      <c r="H4" s="3368"/>
      <c r="I4" s="3367" t="s">
        <v>525</v>
      </c>
      <c r="J4" s="3368"/>
      <c r="K4" s="513" t="s">
        <v>526</v>
      </c>
      <c r="L4" s="2133"/>
      <c r="M4" s="2134"/>
      <c r="N4" s="2134"/>
      <c r="O4" s="2134"/>
      <c r="P4" s="3369" t="s">
        <v>527</v>
      </c>
      <c r="Q4" s="3370"/>
      <c r="R4" s="3375" t="s">
        <v>523</v>
      </c>
      <c r="S4" s="3376"/>
      <c r="T4" s="3375" t="s">
        <v>524</v>
      </c>
      <c r="U4" s="3376"/>
      <c r="V4" s="3362" t="s">
        <v>525</v>
      </c>
      <c r="W4" s="3362"/>
      <c r="X4" s="1566"/>
      <c r="Y4" s="3375" t="s">
        <v>527</v>
      </c>
      <c r="Z4" s="3376"/>
      <c r="AA4" s="3364" t="s">
        <v>523</v>
      </c>
      <c r="AB4" s="3365" t="s">
        <v>524</v>
      </c>
      <c r="AC4" s="3364" t="s">
        <v>525</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2" t="s">
        <v>530</v>
      </c>
      <c r="Q7" s="3394"/>
      <c r="R7" s="1567" t="s">
        <v>8</v>
      </c>
      <c r="S7" s="1568">
        <f t="shared" ref="S7:S15" si="0">F7</f>
        <v>0</v>
      </c>
      <c r="T7" s="1567" t="s">
        <v>8</v>
      </c>
      <c r="U7" s="1568">
        <f t="shared" ref="U7:U15" si="1">H7</f>
        <v>0</v>
      </c>
      <c r="V7" s="1567" t="s">
        <v>8</v>
      </c>
      <c r="W7" s="1568">
        <f t="shared" ref="W7:W15"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40" si="3">D8/F8</f>
        <v>#DIV/0!</v>
      </c>
      <c r="AB8" s="1570" t="e">
        <f t="shared" ref="AB8:AB40" si="4">D8/H8</f>
        <v>#DIV/0!</v>
      </c>
      <c r="AC8" s="1570" t="e">
        <f t="shared" ref="AC8:AC40" si="5">D8/J8</f>
        <v>#DIV/0!</v>
      </c>
    </row>
    <row r="9" spans="1:29" s="1219" customFormat="1" ht="15">
      <c r="A9" s="2914"/>
      <c r="B9" s="2921"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1" t="s">
        <v>535</v>
      </c>
      <c r="Q9" s="1150" t="str">
        <f t="shared" ref="Q9:Q15" si="6">B9</f>
        <v>用途</v>
      </c>
      <c r="R9" s="1567" t="s">
        <v>8</v>
      </c>
      <c r="S9" s="1568">
        <f t="shared" si="0"/>
        <v>100</v>
      </c>
      <c r="T9" s="1567" t="s">
        <v>8</v>
      </c>
      <c r="U9" s="1568">
        <f t="shared" si="1"/>
        <v>100</v>
      </c>
      <c r="V9" s="1567" t="s">
        <v>8</v>
      </c>
      <c r="W9" s="1568">
        <f t="shared" si="2"/>
        <v>100</v>
      </c>
      <c r="X9" s="1569"/>
      <c r="Y9" s="3307" t="s">
        <v>536</v>
      </c>
      <c r="Z9" s="1149" t="str">
        <f t="shared" ref="Z9:Z15" si="7">Q9</f>
        <v>用途</v>
      </c>
      <c r="AA9" s="1570">
        <f t="shared" si="3"/>
        <v>1</v>
      </c>
      <c r="AB9" s="1570">
        <f t="shared" si="4"/>
        <v>1</v>
      </c>
      <c r="AC9" s="1570">
        <f t="shared" si="5"/>
        <v>1</v>
      </c>
    </row>
    <row r="10" spans="1:29" s="1337" customFormat="1" ht="27">
      <c r="A10" s="2915"/>
      <c r="B10" s="2920"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6"/>
      <c r="B11" s="2920"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1"/>
      <c r="Q11" s="1150" t="str">
        <f t="shared" si="6"/>
        <v>容积率</v>
      </c>
      <c r="R11" s="1567" t="s">
        <v>8</v>
      </c>
      <c r="S11" s="1568" t="e">
        <f t="shared" si="0"/>
        <v>#N/A</v>
      </c>
      <c r="T11" s="1567" t="s">
        <v>8</v>
      </c>
      <c r="U11" s="1568" t="e">
        <f t="shared" si="1"/>
        <v>#N/A</v>
      </c>
      <c r="V11" s="1567" t="s">
        <v>8</v>
      </c>
      <c r="W11" s="1568" t="e">
        <f t="shared" si="2"/>
        <v>#N/A</v>
      </c>
      <c r="X11" s="1569"/>
      <c r="Y11" s="330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1"/>
      <c r="Q14" s="1150">
        <f t="shared" si="6"/>
        <v>111</v>
      </c>
      <c r="R14" s="1567" t="s">
        <v>8</v>
      </c>
      <c r="S14" s="1568">
        <f t="shared" si="0"/>
        <v>100</v>
      </c>
      <c r="T14" s="1567" t="s">
        <v>8</v>
      </c>
      <c r="U14" s="1568">
        <f t="shared" si="1"/>
        <v>100</v>
      </c>
      <c r="V14" s="1567" t="s">
        <v>8</v>
      </c>
      <c r="W14" s="1568">
        <f t="shared" si="2"/>
        <v>100</v>
      </c>
      <c r="X14" s="1569"/>
      <c r="Y14" s="3307"/>
      <c r="Z14" s="1149">
        <f t="shared" si="7"/>
        <v>111</v>
      </c>
      <c r="AA14" s="1570">
        <f t="shared" si="3"/>
        <v>1</v>
      </c>
      <c r="AB14" s="1570">
        <f t="shared" si="4"/>
        <v>1</v>
      </c>
      <c r="AC14" s="1570">
        <f t="shared" si="5"/>
        <v>1</v>
      </c>
    </row>
    <row r="15" spans="1:29" ht="15">
      <c r="A15" s="2910" t="s">
        <v>2755</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395" t="s">
        <v>540</v>
      </c>
      <c r="Q15" s="1571" t="str">
        <f t="shared" si="6"/>
        <v>产业集聚程度</v>
      </c>
      <c r="R15" s="1572" t="s">
        <v>8</v>
      </c>
      <c r="S15" s="1573">
        <f t="shared" si="0"/>
        <v>100</v>
      </c>
      <c r="T15" s="1572" t="s">
        <v>8</v>
      </c>
      <c r="U15" s="1573">
        <f t="shared" si="1"/>
        <v>100</v>
      </c>
      <c r="V15" s="1572" t="s">
        <v>8</v>
      </c>
      <c r="W15" s="1573">
        <f t="shared" si="2"/>
        <v>100</v>
      </c>
      <c r="X15" s="1566"/>
      <c r="Y15" s="339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396"/>
      <c r="Q16" s="1571"/>
      <c r="R16" s="1572"/>
      <c r="S16" s="1573"/>
      <c r="T16" s="1572"/>
      <c r="U16" s="1573"/>
      <c r="V16" s="1572"/>
      <c r="W16" s="1573"/>
      <c r="X16" s="1566"/>
      <c r="Y16" s="3396"/>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396"/>
      <c r="Q17" s="1571" t="str">
        <f>B17</f>
        <v>交通便捷度</v>
      </c>
      <c r="R17" s="1572" t="s">
        <v>8</v>
      </c>
      <c r="S17" s="1573">
        <f>F17</f>
        <v>100</v>
      </c>
      <c r="T17" s="1572" t="s">
        <v>8</v>
      </c>
      <c r="U17" s="1573">
        <f>H17</f>
        <v>100</v>
      </c>
      <c r="V17" s="1572" t="s">
        <v>8</v>
      </c>
      <c r="W17" s="1573">
        <f>J17</f>
        <v>100</v>
      </c>
      <c r="X17" s="1566"/>
      <c r="Y17" s="339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396"/>
      <c r="Q18" s="1571"/>
      <c r="R18" s="1572"/>
      <c r="S18" s="1573"/>
      <c r="T18" s="1572"/>
      <c r="U18" s="1573"/>
      <c r="V18" s="1572"/>
      <c r="W18" s="1573"/>
      <c r="X18" s="1566"/>
      <c r="Y18" s="3396"/>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396"/>
      <c r="Q19" s="1571" t="str">
        <f>B19</f>
        <v>公共配套设施</v>
      </c>
      <c r="R19" s="1572" t="s">
        <v>8</v>
      </c>
      <c r="S19" s="1573">
        <f>F19</f>
        <v>100</v>
      </c>
      <c r="T19" s="1572" t="s">
        <v>8</v>
      </c>
      <c r="U19" s="1573">
        <f>H19</f>
        <v>100</v>
      </c>
      <c r="V19" s="1572" t="s">
        <v>8</v>
      </c>
      <c r="W19" s="1573">
        <f>J19</f>
        <v>100</v>
      </c>
      <c r="X19" s="1566"/>
      <c r="Y19" s="339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396"/>
      <c r="Q20" s="1571"/>
      <c r="R20" s="1572"/>
      <c r="S20" s="1573"/>
      <c r="T20" s="1572"/>
      <c r="U20" s="1573"/>
      <c r="V20" s="1572"/>
      <c r="W20" s="1573"/>
      <c r="X20" s="1566"/>
      <c r="Y20" s="3396"/>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396"/>
      <c r="Q21" s="2579" t="str">
        <f>B21</f>
        <v>基础设施水平</v>
      </c>
      <c r="R21" s="1572" t="s">
        <v>8</v>
      </c>
      <c r="S21" s="1573">
        <f>F21</f>
        <v>100</v>
      </c>
      <c r="T21" s="1572" t="s">
        <v>8</v>
      </c>
      <c r="U21" s="1573">
        <f>H21</f>
        <v>100</v>
      </c>
      <c r="V21" s="1572" t="s">
        <v>8</v>
      </c>
      <c r="W21" s="1573">
        <f>J21</f>
        <v>100</v>
      </c>
      <c r="X21" s="2581"/>
      <c r="Y21" s="3396"/>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96"/>
      <c r="Q22" s="2579"/>
      <c r="R22" s="1572"/>
      <c r="S22" s="1573"/>
      <c r="T22" s="1572"/>
      <c r="U22" s="1573"/>
      <c r="V22" s="1572"/>
      <c r="W22" s="1573"/>
      <c r="X22" s="2581"/>
      <c r="Y22" s="3396"/>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396"/>
      <c r="Q23" s="1571" t="str">
        <f>B23</f>
        <v>环境质量</v>
      </c>
      <c r="R23" s="1572" t="s">
        <v>8</v>
      </c>
      <c r="S23" s="1573">
        <f>F23</f>
        <v>100</v>
      </c>
      <c r="T23" s="1572" t="s">
        <v>8</v>
      </c>
      <c r="U23" s="1573">
        <f>H23</f>
        <v>100</v>
      </c>
      <c r="V23" s="1572" t="s">
        <v>8</v>
      </c>
      <c r="W23" s="1573">
        <f>J23</f>
        <v>100</v>
      </c>
      <c r="X23" s="1566"/>
      <c r="Y23" s="339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396"/>
      <c r="Q24" s="1571"/>
      <c r="R24" s="1572"/>
      <c r="S24" s="1573"/>
      <c r="T24" s="1572"/>
      <c r="U24" s="1573"/>
      <c r="V24" s="1572"/>
      <c r="W24" s="1573"/>
      <c r="X24" s="1566"/>
      <c r="Y24" s="339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96"/>
      <c r="Q25" s="1571">
        <f>B25</f>
        <v>111</v>
      </c>
      <c r="R25" s="1572" t="s">
        <v>8</v>
      </c>
      <c r="S25" s="1573">
        <f>F25</f>
        <v>100</v>
      </c>
      <c r="T25" s="1572" t="s">
        <v>8</v>
      </c>
      <c r="U25" s="1573">
        <f>H25</f>
        <v>100</v>
      </c>
      <c r="V25" s="1572" t="s">
        <v>8</v>
      </c>
      <c r="W25" s="1573">
        <f>J25</f>
        <v>100</v>
      </c>
      <c r="X25" s="1566"/>
      <c r="Y25" s="339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96"/>
      <c r="Q26" s="1571">
        <f t="shared" ref="Q26:Q40" si="11">B26</f>
        <v>111</v>
      </c>
      <c r="R26" s="1572" t="s">
        <v>8</v>
      </c>
      <c r="S26" s="1573">
        <f>F26</f>
        <v>100</v>
      </c>
      <c r="T26" s="1572" t="s">
        <v>8</v>
      </c>
      <c r="U26" s="1573">
        <f>H26</f>
        <v>100</v>
      </c>
      <c r="V26" s="1572" t="s">
        <v>8</v>
      </c>
      <c r="W26" s="1573">
        <f>J26</f>
        <v>100</v>
      </c>
      <c r="X26" s="1566"/>
      <c r="Y26" s="339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96"/>
      <c r="Q27" s="1150">
        <f t="shared" si="11"/>
        <v>111</v>
      </c>
      <c r="R27" s="1567" t="s">
        <v>8</v>
      </c>
      <c r="S27" s="1568">
        <f>F27</f>
        <v>100</v>
      </c>
      <c r="T27" s="1567" t="s">
        <v>8</v>
      </c>
      <c r="U27" s="1568">
        <f>H27</f>
        <v>100</v>
      </c>
      <c r="V27" s="1567" t="s">
        <v>8</v>
      </c>
      <c r="W27" s="1568">
        <f>J27</f>
        <v>100</v>
      </c>
      <c r="X27" s="1569"/>
      <c r="Y27" s="339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396"/>
      <c r="Q28" s="1571">
        <f t="shared" si="11"/>
        <v>111</v>
      </c>
      <c r="R28" s="1572" t="s">
        <v>8</v>
      </c>
      <c r="S28" s="1573">
        <f t="shared" ref="S28:S40" si="12">F28</f>
        <v>100</v>
      </c>
      <c r="T28" s="1572" t="s">
        <v>8</v>
      </c>
      <c r="U28" s="1573">
        <f t="shared" ref="U28:U40" si="13">H28</f>
        <v>100</v>
      </c>
      <c r="V28" s="1572" t="s">
        <v>8</v>
      </c>
      <c r="W28" s="1573">
        <f t="shared" ref="W28:W40" si="14">J28</f>
        <v>100</v>
      </c>
      <c r="X28" s="1566"/>
      <c r="Y28" s="3396"/>
      <c r="Z28" s="1574">
        <f t="shared" ref="Z28:Z40" si="15">Q28</f>
        <v>111</v>
      </c>
      <c r="AA28" s="1575">
        <f t="shared" si="3"/>
        <v>1</v>
      </c>
      <c r="AB28" s="1575">
        <f t="shared" si="4"/>
        <v>1</v>
      </c>
      <c r="AC28" s="1575">
        <f t="shared" si="5"/>
        <v>1</v>
      </c>
    </row>
    <row r="29" spans="1:29" ht="15">
      <c r="A29" s="2907"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397" t="s">
        <v>550</v>
      </c>
      <c r="Q29" s="1571" t="str">
        <f t="shared" si="11"/>
        <v>建筑类型</v>
      </c>
      <c r="R29" s="1572" t="s">
        <v>8</v>
      </c>
      <c r="S29" s="1573">
        <f t="shared" si="12"/>
        <v>100</v>
      </c>
      <c r="T29" s="1572" t="s">
        <v>8</v>
      </c>
      <c r="U29" s="1573">
        <f t="shared" si="13"/>
        <v>100</v>
      </c>
      <c r="V29" s="1572" t="s">
        <v>8</v>
      </c>
      <c r="W29" s="1573">
        <f t="shared" si="14"/>
        <v>100</v>
      </c>
      <c r="X29" s="1566"/>
      <c r="Y29" s="3398"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98"/>
      <c r="Q30" s="1604" t="str">
        <f t="shared" si="11"/>
        <v>项目建筑规模</v>
      </c>
      <c r="R30" s="1576" t="s">
        <v>8</v>
      </c>
      <c r="S30" s="1577" t="e">
        <f t="shared" si="12"/>
        <v>#N/A</v>
      </c>
      <c r="T30" s="1576" t="s">
        <v>8</v>
      </c>
      <c r="U30" s="1577" t="e">
        <f t="shared" si="13"/>
        <v>#N/A</v>
      </c>
      <c r="V30" s="1576" t="s">
        <v>8</v>
      </c>
      <c r="W30" s="1577" t="e">
        <f t="shared" si="14"/>
        <v>#N/A</v>
      </c>
      <c r="X30" s="1578"/>
      <c r="Y30" s="339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98"/>
      <c r="Q31" s="1571" t="str">
        <f t="shared" si="11"/>
        <v>建筑结构</v>
      </c>
      <c r="R31" s="1572" t="s">
        <v>8</v>
      </c>
      <c r="S31" s="1573">
        <f t="shared" si="12"/>
        <v>100</v>
      </c>
      <c r="T31" s="1572" t="s">
        <v>8</v>
      </c>
      <c r="U31" s="1573">
        <f t="shared" si="13"/>
        <v>100</v>
      </c>
      <c r="V31" s="1572" t="s">
        <v>8</v>
      </c>
      <c r="W31" s="1573">
        <f t="shared" si="14"/>
        <v>100</v>
      </c>
      <c r="X31" s="1566"/>
      <c r="Y31" s="339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98"/>
      <c r="Q32" s="1571" t="str">
        <f t="shared" si="11"/>
        <v>公共部分装修</v>
      </c>
      <c r="R32" s="1572" t="s">
        <v>8</v>
      </c>
      <c r="S32" s="1573">
        <f t="shared" si="12"/>
        <v>100</v>
      </c>
      <c r="T32" s="1572" t="s">
        <v>8</v>
      </c>
      <c r="U32" s="1573">
        <f t="shared" si="13"/>
        <v>100</v>
      </c>
      <c r="V32" s="1572" t="s">
        <v>8</v>
      </c>
      <c r="W32" s="1573">
        <f t="shared" si="14"/>
        <v>100</v>
      </c>
      <c r="X32" s="1566"/>
      <c r="Y32" s="339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398"/>
      <c r="Q33" s="1571" t="str">
        <f t="shared" si="11"/>
        <v>成新度</v>
      </c>
      <c r="R33" s="1572" t="s">
        <v>8</v>
      </c>
      <c r="S33" s="1573" t="e">
        <f t="shared" si="12"/>
        <v>#N/A</v>
      </c>
      <c r="T33" s="1572" t="s">
        <v>8</v>
      </c>
      <c r="U33" s="1573" t="e">
        <f t="shared" si="13"/>
        <v>#N/A</v>
      </c>
      <c r="V33" s="1572" t="s">
        <v>8</v>
      </c>
      <c r="W33" s="1573" t="e">
        <f t="shared" si="14"/>
        <v>#N/A</v>
      </c>
      <c r="X33" s="1566"/>
      <c r="Y33" s="339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98"/>
      <c r="Q34" s="1150" t="str">
        <f t="shared" si="11"/>
        <v>物业管理</v>
      </c>
      <c r="R34" s="1567" t="s">
        <v>8</v>
      </c>
      <c r="S34" s="1568">
        <f t="shared" si="12"/>
        <v>100</v>
      </c>
      <c r="T34" s="1567" t="s">
        <v>8</v>
      </c>
      <c r="U34" s="1568">
        <f t="shared" si="13"/>
        <v>100</v>
      </c>
      <c r="V34" s="1567" t="s">
        <v>8</v>
      </c>
      <c r="W34" s="1568">
        <f t="shared" si="14"/>
        <v>100</v>
      </c>
      <c r="X34" s="1569"/>
      <c r="Y34" s="3398"/>
      <c r="Z34" s="1149"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98" t="s">
        <v>550</v>
      </c>
      <c r="Q35" s="1571" t="str">
        <f t="shared" si="11"/>
        <v>市政基础设施</v>
      </c>
      <c r="R35" s="1572" t="s">
        <v>8</v>
      </c>
      <c r="S35" s="1573">
        <f t="shared" si="12"/>
        <v>100</v>
      </c>
      <c r="T35" s="1572" t="s">
        <v>8</v>
      </c>
      <c r="U35" s="1573">
        <f t="shared" si="13"/>
        <v>100</v>
      </c>
      <c r="V35" s="1572" t="s">
        <v>8</v>
      </c>
      <c r="W35" s="1573">
        <f t="shared" si="14"/>
        <v>100</v>
      </c>
      <c r="X35" s="1566"/>
      <c r="Y35" s="339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98"/>
      <c r="Q36" s="1571" t="str">
        <f t="shared" si="11"/>
        <v>内部装修</v>
      </c>
      <c r="R36" s="1572" t="s">
        <v>8</v>
      </c>
      <c r="S36" s="1573">
        <f t="shared" si="12"/>
        <v>100</v>
      </c>
      <c r="T36" s="1572" t="s">
        <v>8</v>
      </c>
      <c r="U36" s="1573">
        <f t="shared" si="13"/>
        <v>100</v>
      </c>
      <c r="V36" s="1572" t="s">
        <v>8</v>
      </c>
      <c r="W36" s="1573">
        <f t="shared" si="14"/>
        <v>100</v>
      </c>
      <c r="X36" s="1566"/>
      <c r="Y36" s="339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98"/>
      <c r="Q37" s="1571" t="str">
        <f t="shared" si="11"/>
        <v>内部装修状况</v>
      </c>
      <c r="R37" s="1572" t="s">
        <v>8</v>
      </c>
      <c r="S37" s="1573">
        <f t="shared" si="12"/>
        <v>100</v>
      </c>
      <c r="T37" s="1572" t="s">
        <v>8</v>
      </c>
      <c r="U37" s="1573">
        <f t="shared" si="13"/>
        <v>100</v>
      </c>
      <c r="V37" s="1572" t="s">
        <v>8</v>
      </c>
      <c r="W37" s="1573">
        <f t="shared" si="14"/>
        <v>100</v>
      </c>
      <c r="X37" s="1566"/>
      <c r="Y37" s="339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398"/>
      <c r="Q38" s="1604">
        <f t="shared" si="11"/>
        <v>111</v>
      </c>
      <c r="R38" s="1576" t="s">
        <v>8</v>
      </c>
      <c r="S38" s="1577">
        <f t="shared" si="12"/>
        <v>100</v>
      </c>
      <c r="T38" s="1576" t="s">
        <v>8</v>
      </c>
      <c r="U38" s="1577">
        <f t="shared" si="13"/>
        <v>100</v>
      </c>
      <c r="V38" s="1576" t="s">
        <v>8</v>
      </c>
      <c r="W38" s="1577">
        <f t="shared" si="14"/>
        <v>100</v>
      </c>
      <c r="X38" s="1578"/>
      <c r="Y38" s="339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398"/>
      <c r="Q39" s="1571">
        <f t="shared" si="11"/>
        <v>111</v>
      </c>
      <c r="R39" s="1572" t="s">
        <v>8</v>
      </c>
      <c r="S39" s="1573">
        <f t="shared" si="12"/>
        <v>100</v>
      </c>
      <c r="T39" s="1572" t="s">
        <v>8</v>
      </c>
      <c r="U39" s="1573">
        <f t="shared" si="13"/>
        <v>100</v>
      </c>
      <c r="V39" s="1572" t="s">
        <v>8</v>
      </c>
      <c r="W39" s="1573">
        <f t="shared" si="14"/>
        <v>100</v>
      </c>
      <c r="X39" s="1566"/>
      <c r="Y39" s="339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75"/>
      <c r="Q40" s="1571">
        <f t="shared" si="11"/>
        <v>111</v>
      </c>
      <c r="R40" s="1572" t="s">
        <v>8</v>
      </c>
      <c r="S40" s="1573">
        <f t="shared" si="12"/>
        <v>100</v>
      </c>
      <c r="T40" s="1572" t="s">
        <v>8</v>
      </c>
      <c r="U40" s="1573">
        <f t="shared" si="13"/>
        <v>100</v>
      </c>
      <c r="V40" s="1572" t="s">
        <v>8</v>
      </c>
      <c r="W40" s="1573">
        <f t="shared" si="14"/>
        <v>100</v>
      </c>
      <c r="X40" s="1566"/>
      <c r="Y40" s="3475"/>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61" t="str">
        <f>A41</f>
        <v>成交单价（元/平方米）</v>
      </c>
      <c r="Q41" s="3361"/>
      <c r="R41" s="3474">
        <f>E41</f>
        <v>0</v>
      </c>
      <c r="S41" s="3474"/>
      <c r="T41" s="3474">
        <f>G41</f>
        <v>0</v>
      </c>
      <c r="U41" s="3474"/>
      <c r="V41" s="3474">
        <f>I41</f>
        <v>0</v>
      </c>
      <c r="W41" s="3474"/>
      <c r="X41" s="1558"/>
      <c r="Y41" s="1580"/>
      <c r="Z41" s="1558"/>
      <c r="AA41" s="1558"/>
      <c r="AB41" s="1558"/>
      <c r="AC41" s="1558"/>
    </row>
    <row r="42" spans="1:29" ht="15.75" thickBot="1">
      <c r="A42" s="614" t="s">
        <v>2761</v>
      </c>
      <c r="B42" s="887"/>
      <c r="C42" s="2633" t="e">
        <f>R43</f>
        <v>#DIV/0!</v>
      </c>
      <c r="D42" s="2634"/>
      <c r="E42" s="2635" t="e">
        <f>R42</f>
        <v>#DIV/0!</v>
      </c>
      <c r="F42" s="2635"/>
      <c r="G42" s="2633" t="e">
        <f>T42</f>
        <v>#DIV/0!</v>
      </c>
      <c r="H42" s="2634"/>
      <c r="I42" s="2635" t="e">
        <f>V42</f>
        <v>#DIV/0!</v>
      </c>
      <c r="J42" s="2634"/>
      <c r="K42" s="1611"/>
      <c r="L42" s="2144"/>
      <c r="M42" s="2145"/>
      <c r="N42" s="2134"/>
      <c r="O42" s="2145"/>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8"/>
      <c r="Y42" s="1558"/>
      <c r="Z42" s="1558"/>
      <c r="AA42" s="1558"/>
      <c r="AB42" s="1558"/>
      <c r="AC42" s="1558"/>
    </row>
    <row r="43" spans="1:29" ht="15.75" thickBot="1">
      <c r="A43" s="620" t="s">
        <v>2926</v>
      </c>
      <c r="B43" s="621"/>
      <c r="C43" s="2636" t="e">
        <f>R43</f>
        <v>#DIV/0!</v>
      </c>
      <c r="D43" s="2636"/>
      <c r="E43" s="2636"/>
      <c r="F43" s="2636"/>
      <c r="G43" s="2636"/>
      <c r="H43" s="2636"/>
      <c r="I43" s="2636"/>
      <c r="J43" s="2636"/>
      <c r="K43" s="1612"/>
      <c r="L43" s="2144"/>
      <c r="M43" s="2145"/>
      <c r="N43" s="2145"/>
      <c r="O43" s="2145"/>
      <c r="P43" s="3358" t="str">
        <f>A43</f>
        <v>估价对象XX用房的比较价格（楼面单价，元/平方米）</v>
      </c>
      <c r="Q43" s="3359"/>
      <c r="R43" s="3473" t="e">
        <f>IF(F1="售价",ROUND(AVERAGE(R42:V42),0),ROUND(AVERAGE(R42:V42),1))</f>
        <v>#DIV/0!</v>
      </c>
      <c r="S43" s="3473"/>
      <c r="T43" s="3473"/>
      <c r="U43" s="3473"/>
      <c r="V43" s="3473"/>
      <c r="W43" s="347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67" t="s">
        <v>798</v>
      </c>
      <c r="D4" s="3368"/>
      <c r="E4" s="3367" t="s">
        <v>799</v>
      </c>
      <c r="F4" s="3368"/>
      <c r="G4" s="3367" t="s">
        <v>800</v>
      </c>
      <c r="H4" s="3368"/>
      <c r="I4" s="3367" t="s">
        <v>801</v>
      </c>
      <c r="J4" s="3368"/>
      <c r="K4" s="513"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4"/>
      <c r="B5" s="515"/>
      <c r="C5" s="3383" t="s">
        <v>2920</v>
      </c>
      <c r="D5" s="3384"/>
      <c r="E5" s="3383" t="s">
        <v>2921</v>
      </c>
      <c r="F5" s="338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85" t="s">
        <v>2924</v>
      </c>
      <c r="F6" s="3386"/>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2" t="s">
        <v>530</v>
      </c>
      <c r="Q7" s="3394"/>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36" si="3">D8/F8</f>
        <v>#DIV/0!</v>
      </c>
      <c r="AB8" s="1570" t="e">
        <f t="shared" ref="AB8:AB36" si="4">D8/H8</f>
        <v>#DIV/0!</v>
      </c>
      <c r="AC8" s="1570" t="e">
        <f t="shared" ref="AC8:AC36" si="5">D8/J8</f>
        <v>#DIV/0!</v>
      </c>
    </row>
    <row r="9" spans="1:29" s="1219" customFormat="1" ht="15">
      <c r="A9" s="2914"/>
      <c r="B9" s="2921"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1" t="s">
        <v>535</v>
      </c>
      <c r="Q9" s="1150" t="str">
        <f t="shared" ref="Q9:Q14" si="6">B9</f>
        <v>用途</v>
      </c>
      <c r="R9" s="1567" t="s">
        <v>8</v>
      </c>
      <c r="S9" s="1568">
        <f t="shared" si="0"/>
        <v>100</v>
      </c>
      <c r="T9" s="1567" t="s">
        <v>8</v>
      </c>
      <c r="U9" s="1568">
        <f t="shared" si="1"/>
        <v>100</v>
      </c>
      <c r="V9" s="1567" t="s">
        <v>8</v>
      </c>
      <c r="W9" s="1568">
        <f t="shared" si="2"/>
        <v>100</v>
      </c>
      <c r="X9" s="1569"/>
      <c r="Y9" s="3307"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1"/>
      <c r="Q11" s="1150">
        <f t="shared" si="6"/>
        <v>111</v>
      </c>
      <c r="R11" s="1567" t="s">
        <v>8</v>
      </c>
      <c r="S11" s="1568">
        <f t="shared" si="0"/>
        <v>100</v>
      </c>
      <c r="T11" s="1567" t="s">
        <v>8</v>
      </c>
      <c r="U11" s="1568">
        <f t="shared" si="1"/>
        <v>100</v>
      </c>
      <c r="V11" s="1567" t="s">
        <v>8</v>
      </c>
      <c r="W11" s="1568">
        <f t="shared" si="2"/>
        <v>100</v>
      </c>
      <c r="X11" s="1569"/>
      <c r="Y11" s="3307"/>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
      <c r="A14" s="2910" t="s">
        <v>2755</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14"/>
      <c r="B16" s="2603" t="s">
        <v>2547</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14"/>
      <c r="B18" s="2591"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96"/>
      <c r="Q24" s="1571">
        <f t="shared" ref="Q24:Q36"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396"/>
      <c r="Q25" s="1150">
        <f t="shared" si="11"/>
        <v>111</v>
      </c>
      <c r="R25" s="1567" t="s">
        <v>8</v>
      </c>
      <c r="S25" s="1568">
        <f>F25</f>
        <v>100</v>
      </c>
      <c r="T25" s="1567" t="s">
        <v>8</v>
      </c>
      <c r="U25" s="1568">
        <f>H25</f>
        <v>100</v>
      </c>
      <c r="V25" s="1567" t="s">
        <v>8</v>
      </c>
      <c r="W25" s="1568">
        <f>J25</f>
        <v>100</v>
      </c>
      <c r="X25" s="1569"/>
      <c r="Y25" s="3396"/>
      <c r="Z25" s="1149">
        <f>Q25</f>
        <v>111</v>
      </c>
      <c r="AA25" s="1575">
        <f>D25/F25</f>
        <v>1</v>
      </c>
      <c r="AB25" s="1575">
        <f>D25/H25</f>
        <v>1</v>
      </c>
      <c r="AC25" s="1575">
        <f>D25/J25</f>
        <v>1</v>
      </c>
    </row>
    <row r="26" spans="1:29" ht="15">
      <c r="A26" s="2907"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9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8"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398"/>
      <c r="Q27" s="1604" t="str">
        <f t="shared" si="11"/>
        <v>项目停车位配比</v>
      </c>
      <c r="R27" s="1576" t="s">
        <v>8</v>
      </c>
      <c r="S27" s="1577">
        <f t="shared" si="12"/>
        <v>100</v>
      </c>
      <c r="T27" s="1576" t="s">
        <v>8</v>
      </c>
      <c r="U27" s="1577">
        <f t="shared" si="13"/>
        <v>100</v>
      </c>
      <c r="V27" s="1576" t="s">
        <v>8</v>
      </c>
      <c r="W27" s="1577">
        <f t="shared" si="14"/>
        <v>100</v>
      </c>
      <c r="X27" s="1578"/>
      <c r="Y27" s="339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98"/>
      <c r="Q28" s="1571" t="str">
        <f t="shared" si="11"/>
        <v>公共部分装修</v>
      </c>
      <c r="R28" s="1572" t="s">
        <v>8</v>
      </c>
      <c r="S28" s="1573">
        <f t="shared" si="12"/>
        <v>100</v>
      </c>
      <c r="T28" s="1572" t="s">
        <v>8</v>
      </c>
      <c r="U28" s="1573">
        <f t="shared" si="13"/>
        <v>100</v>
      </c>
      <c r="V28" s="1572" t="s">
        <v>8</v>
      </c>
      <c r="W28" s="1573">
        <f t="shared" si="14"/>
        <v>100</v>
      </c>
      <c r="X28" s="1566"/>
      <c r="Y28" s="339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398"/>
      <c r="Q29" s="1571" t="str">
        <f t="shared" si="11"/>
        <v>成新率</v>
      </c>
      <c r="R29" s="1572" t="s">
        <v>8</v>
      </c>
      <c r="S29" s="1573" t="e">
        <f t="shared" si="12"/>
        <v>#N/A</v>
      </c>
      <c r="T29" s="1572" t="s">
        <v>8</v>
      </c>
      <c r="U29" s="1573" t="e">
        <f t="shared" si="13"/>
        <v>#N/A</v>
      </c>
      <c r="V29" s="1572" t="s">
        <v>8</v>
      </c>
      <c r="W29" s="1573" t="e">
        <f t="shared" si="14"/>
        <v>#N/A</v>
      </c>
      <c r="X29" s="1566"/>
      <c r="Y29" s="339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398"/>
      <c r="Q30" s="1571" t="str">
        <f t="shared" si="11"/>
        <v>物业等级</v>
      </c>
      <c r="R30" s="1572" t="s">
        <v>8</v>
      </c>
      <c r="S30" s="1573">
        <f t="shared" si="12"/>
        <v>100</v>
      </c>
      <c r="T30" s="1572" t="s">
        <v>8</v>
      </c>
      <c r="U30" s="1573">
        <f t="shared" si="13"/>
        <v>100</v>
      </c>
      <c r="V30" s="1572" t="s">
        <v>8</v>
      </c>
      <c r="W30" s="1573">
        <f t="shared" si="14"/>
        <v>100</v>
      </c>
      <c r="X30" s="1566"/>
      <c r="Y30" s="339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398"/>
      <c r="Q31" s="1150" t="str">
        <f t="shared" si="11"/>
        <v>停车位面积</v>
      </c>
      <c r="R31" s="1567" t="s">
        <v>8</v>
      </c>
      <c r="S31" s="1568" t="e">
        <f t="shared" si="12"/>
        <v>#N/A</v>
      </c>
      <c r="T31" s="1567" t="s">
        <v>8</v>
      </c>
      <c r="U31" s="1568" t="e">
        <f t="shared" si="13"/>
        <v>#N/A</v>
      </c>
      <c r="V31" s="1567" t="s">
        <v>8</v>
      </c>
      <c r="W31" s="1568" t="e">
        <f t="shared" si="14"/>
        <v>#N/A</v>
      </c>
      <c r="X31" s="1569"/>
      <c r="Y31" s="339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98" t="s">
        <v>550</v>
      </c>
      <c r="Q32" s="1571" t="str">
        <f t="shared" si="11"/>
        <v>车位类型</v>
      </c>
      <c r="R32" s="1572" t="s">
        <v>8</v>
      </c>
      <c r="S32" s="1573">
        <f t="shared" si="12"/>
        <v>100</v>
      </c>
      <c r="T32" s="1572" t="s">
        <v>8</v>
      </c>
      <c r="U32" s="1573">
        <f t="shared" si="13"/>
        <v>100</v>
      </c>
      <c r="V32" s="1572" t="s">
        <v>8</v>
      </c>
      <c r="W32" s="1573">
        <f t="shared" si="14"/>
        <v>100</v>
      </c>
      <c r="X32" s="1566"/>
      <c r="Y32" s="3398"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98"/>
      <c r="Q33" s="1571" t="str">
        <f t="shared" si="11"/>
        <v>是否直接入户</v>
      </c>
      <c r="R33" s="1572" t="s">
        <v>8</v>
      </c>
      <c r="S33" s="1573">
        <f t="shared" si="12"/>
        <v>100</v>
      </c>
      <c r="T33" s="1572" t="s">
        <v>8</v>
      </c>
      <c r="U33" s="1573">
        <f t="shared" si="13"/>
        <v>100</v>
      </c>
      <c r="V33" s="1572" t="s">
        <v>8</v>
      </c>
      <c r="W33" s="1573">
        <f t="shared" si="14"/>
        <v>100</v>
      </c>
      <c r="X33" s="1566"/>
      <c r="Y33" s="339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98"/>
      <c r="Q35" s="1604">
        <f t="shared" si="11"/>
        <v>111</v>
      </c>
      <c r="R35" s="1576" t="s">
        <v>8</v>
      </c>
      <c r="S35" s="1577">
        <f t="shared" si="12"/>
        <v>100</v>
      </c>
      <c r="T35" s="1576" t="s">
        <v>8</v>
      </c>
      <c r="U35" s="1577">
        <f t="shared" si="13"/>
        <v>100</v>
      </c>
      <c r="V35" s="1576" t="s">
        <v>8</v>
      </c>
      <c r="W35" s="1577">
        <f t="shared" si="14"/>
        <v>100</v>
      </c>
      <c r="X35" s="1578"/>
      <c r="Y35" s="339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98"/>
      <c r="Q36" s="1571">
        <f t="shared" si="11"/>
        <v>111</v>
      </c>
      <c r="R36" s="1572" t="s">
        <v>8</v>
      </c>
      <c r="S36" s="1573">
        <f t="shared" si="12"/>
        <v>100</v>
      </c>
      <c r="T36" s="1572" t="s">
        <v>8</v>
      </c>
      <c r="U36" s="1573">
        <f t="shared" si="13"/>
        <v>100</v>
      </c>
      <c r="V36" s="1572" t="s">
        <v>8</v>
      </c>
      <c r="W36" s="1573">
        <f t="shared" si="14"/>
        <v>100</v>
      </c>
      <c r="X36" s="1566"/>
      <c r="Y36" s="3398"/>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61" t="str">
        <f>A37</f>
        <v>成交单价</v>
      </c>
      <c r="Q37" s="3361"/>
      <c r="R37" s="3474">
        <f>E37</f>
        <v>0</v>
      </c>
      <c r="S37" s="3474"/>
      <c r="T37" s="3474">
        <f>G37</f>
        <v>0</v>
      </c>
      <c r="U37" s="3474"/>
      <c r="V37" s="3474">
        <f>I37</f>
        <v>0</v>
      </c>
      <c r="W37" s="3474"/>
      <c r="X37" s="1558"/>
      <c r="Y37" s="1580"/>
      <c r="Z37" s="1558"/>
      <c r="AA37" s="1558"/>
      <c r="AB37" s="1558"/>
      <c r="AC37" s="1558"/>
    </row>
    <row r="38" spans="1:29" ht="15.75" thickBot="1">
      <c r="A38" s="614" t="s">
        <v>2761</v>
      </c>
      <c r="B38" s="887"/>
      <c r="C38" s="2633" t="e">
        <f>R39</f>
        <v>#DIV/0!</v>
      </c>
      <c r="D38" s="2634"/>
      <c r="E38" s="2635" t="e">
        <f>R38</f>
        <v>#DIV/0!</v>
      </c>
      <c r="F38" s="2635"/>
      <c r="G38" s="2633" t="e">
        <f>T38</f>
        <v>#DIV/0!</v>
      </c>
      <c r="H38" s="2634"/>
      <c r="I38" s="2635" t="e">
        <f>V38</f>
        <v>#DIV/0!</v>
      </c>
      <c r="J38" s="2634"/>
      <c r="K38" s="1611"/>
      <c r="L38" s="2144"/>
      <c r="M38" s="2145"/>
      <c r="N38" s="2145"/>
      <c r="O38" s="2145"/>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8"/>
      <c r="Y38" s="1558"/>
      <c r="Z38" s="1558"/>
      <c r="AA38" s="1558"/>
      <c r="AB38" s="1558"/>
      <c r="AC38" s="1558"/>
    </row>
    <row r="39" spans="1:29" ht="15.75" thickBot="1">
      <c r="A39" s="620" t="s">
        <v>2926</v>
      </c>
      <c r="B39" s="621"/>
      <c r="C39" s="2636" t="e">
        <f>R39</f>
        <v>#DIV/0!</v>
      </c>
      <c r="D39" s="2636"/>
      <c r="E39" s="2636"/>
      <c r="F39" s="2636"/>
      <c r="G39" s="2636"/>
      <c r="H39" s="2636"/>
      <c r="I39" s="2636"/>
      <c r="J39" s="2636"/>
      <c r="K39" s="1612"/>
      <c r="L39" s="2144"/>
      <c r="M39" s="2145"/>
      <c r="N39" s="2145"/>
      <c r="O39" s="2145"/>
      <c r="P39" s="3358" t="str">
        <f>A39</f>
        <v>估价对象XX用房的比较价格（楼面单价，元/平方米）</v>
      </c>
      <c r="Q39" s="3359"/>
      <c r="R39" s="3473" t="e">
        <f>IF(F1="售价",ROUND(AVERAGE(R38:V38),0),ROUND(AVERAGE(R38:V38),1))</f>
        <v>#DIV/0!</v>
      </c>
      <c r="S39" s="3473"/>
      <c r="T39" s="3473"/>
      <c r="U39" s="3473"/>
      <c r="V39" s="3473"/>
      <c r="W39" s="347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67" t="s">
        <v>798</v>
      </c>
      <c r="D4" s="3368"/>
      <c r="E4" s="3401" t="s">
        <v>799</v>
      </c>
      <c r="F4" s="3402"/>
      <c r="G4" s="3367" t="s">
        <v>800</v>
      </c>
      <c r="H4" s="3368"/>
      <c r="I4" s="3367" t="s">
        <v>801</v>
      </c>
      <c r="J4" s="3368"/>
      <c r="K4" s="513" t="s">
        <v>802</v>
      </c>
      <c r="L4" s="2133"/>
      <c r="M4" s="2134"/>
      <c r="N4" s="2134"/>
      <c r="O4" s="2134"/>
      <c r="P4" s="3369" t="s">
        <v>803</v>
      </c>
      <c r="Q4" s="3370"/>
      <c r="R4" s="3375" t="s">
        <v>799</v>
      </c>
      <c r="S4" s="3376"/>
      <c r="T4" s="3375" t="s">
        <v>800</v>
      </c>
      <c r="U4" s="3376"/>
      <c r="V4" s="3362" t="s">
        <v>801</v>
      </c>
      <c r="W4" s="3362"/>
      <c r="X4" s="1566"/>
      <c r="Y4" s="3375" t="s">
        <v>803</v>
      </c>
      <c r="Z4" s="3376"/>
      <c r="AA4" s="3364" t="s">
        <v>799</v>
      </c>
      <c r="AB4" s="3365" t="s">
        <v>800</v>
      </c>
      <c r="AC4" s="3364" t="s">
        <v>801</v>
      </c>
    </row>
    <row r="5" spans="1:29" ht="15">
      <c r="A5" s="514"/>
      <c r="B5" s="515"/>
      <c r="C5" s="3383" t="s">
        <v>2920</v>
      </c>
      <c r="D5" s="3384"/>
      <c r="E5" s="3403" t="s">
        <v>2921</v>
      </c>
      <c r="F5" s="3404"/>
      <c r="G5" s="3383" t="s">
        <v>2922</v>
      </c>
      <c r="H5" s="3384"/>
      <c r="I5" s="3383" t="s">
        <v>2923</v>
      </c>
      <c r="J5" s="3384"/>
      <c r="K5" s="513"/>
      <c r="L5" s="2133"/>
      <c r="M5" s="2134"/>
      <c r="N5" s="2134"/>
      <c r="O5" s="2134"/>
      <c r="P5" s="3371"/>
      <c r="Q5" s="3372"/>
      <c r="R5" s="3377"/>
      <c r="S5" s="3378"/>
      <c r="T5" s="3377"/>
      <c r="U5" s="3378"/>
      <c r="V5" s="3362"/>
      <c r="W5" s="3362"/>
      <c r="X5" s="1566"/>
      <c r="Y5" s="3377"/>
      <c r="Z5" s="3378"/>
      <c r="AA5" s="3365"/>
      <c r="AB5" s="3365"/>
      <c r="AC5" s="3365"/>
    </row>
    <row r="6" spans="1:29" ht="15.75" thickBot="1">
      <c r="A6" s="516"/>
      <c r="B6" s="517"/>
      <c r="C6" s="3381" t="s">
        <v>2924</v>
      </c>
      <c r="D6" s="3382"/>
      <c r="E6" s="3399" t="s">
        <v>2924</v>
      </c>
      <c r="F6" s="3400"/>
      <c r="G6" s="3381" t="s">
        <v>2924</v>
      </c>
      <c r="H6" s="3382"/>
      <c r="I6" s="3381" t="s">
        <v>2924</v>
      </c>
      <c r="J6" s="3382"/>
      <c r="K6" s="513" t="s">
        <v>528</v>
      </c>
      <c r="L6" s="2133"/>
      <c r="M6" s="2134"/>
      <c r="N6" s="2134"/>
      <c r="O6" s="2134"/>
      <c r="P6" s="3373"/>
      <c r="Q6" s="3374"/>
      <c r="R6" s="3377"/>
      <c r="S6" s="3378"/>
      <c r="T6" s="3379"/>
      <c r="U6" s="3380"/>
      <c r="V6" s="3362"/>
      <c r="W6" s="3362"/>
      <c r="X6" s="1566"/>
      <c r="Y6" s="3379"/>
      <c r="Z6" s="3380"/>
      <c r="AA6" s="3366"/>
      <c r="AB6" s="3366"/>
      <c r="AC6" s="3366"/>
    </row>
    <row r="7" spans="1:29" s="1219" customFormat="1" ht="15.75" thickBot="1">
      <c r="A7" s="2912"/>
      <c r="B7" s="2919" t="s">
        <v>529</v>
      </c>
      <c r="C7" s="518">
        <f>'数据-取费表'!B2</f>
        <v>43336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2" t="s">
        <v>530</v>
      </c>
      <c r="Q7" s="3394"/>
      <c r="R7" s="1567" t="s">
        <v>8</v>
      </c>
      <c r="S7" s="1568">
        <f t="shared" ref="S7:S14" si="0">F7</f>
        <v>0</v>
      </c>
      <c r="T7" s="1567" t="s">
        <v>8</v>
      </c>
      <c r="U7" s="1568">
        <f t="shared" ref="U7:U14" si="1">H7</f>
        <v>0</v>
      </c>
      <c r="V7" s="1567" t="s">
        <v>8</v>
      </c>
      <c r="W7" s="1568">
        <f t="shared" ref="W7:W14" si="2">J7</f>
        <v>0</v>
      </c>
      <c r="X7" s="1569"/>
      <c r="Y7" s="3392" t="s">
        <v>530</v>
      </c>
      <c r="Z7" s="3393"/>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2" t="s">
        <v>533</v>
      </c>
      <c r="Q8" s="3393"/>
      <c r="R8" s="1567" t="s">
        <v>8</v>
      </c>
      <c r="S8" s="1568">
        <f t="shared" si="0"/>
        <v>0</v>
      </c>
      <c r="T8" s="1567" t="s">
        <v>8</v>
      </c>
      <c r="U8" s="1568">
        <f t="shared" si="1"/>
        <v>0</v>
      </c>
      <c r="V8" s="1567" t="s">
        <v>8</v>
      </c>
      <c r="W8" s="1568">
        <f t="shared" si="2"/>
        <v>0</v>
      </c>
      <c r="X8" s="1569"/>
      <c r="Y8" s="3392" t="s">
        <v>533</v>
      </c>
      <c r="Z8" s="3393"/>
      <c r="AA8" s="1570" t="e">
        <f t="shared" ref="AA8:AA34" si="3">D8/F8</f>
        <v>#DIV/0!</v>
      </c>
      <c r="AB8" s="1570" t="e">
        <f t="shared" ref="AB8:AB34" si="4">D8/H8</f>
        <v>#DIV/0!</v>
      </c>
      <c r="AC8" s="1570" t="e">
        <f t="shared" ref="AC8:AC34" si="5">D8/J8</f>
        <v>#DIV/0!</v>
      </c>
    </row>
    <row r="9" spans="1:29" s="1219" customFormat="1" ht="15">
      <c r="A9" s="2914"/>
      <c r="B9" s="2921"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1" t="s">
        <v>535</v>
      </c>
      <c r="Q9" s="1150" t="str">
        <f t="shared" ref="Q9:Q14" si="6">B9</f>
        <v>用途</v>
      </c>
      <c r="R9" s="1567" t="s">
        <v>8</v>
      </c>
      <c r="S9" s="1568">
        <f t="shared" si="0"/>
        <v>100</v>
      </c>
      <c r="T9" s="1567" t="s">
        <v>8</v>
      </c>
      <c r="U9" s="1568">
        <f t="shared" si="1"/>
        <v>100</v>
      </c>
      <c r="V9" s="1567" t="s">
        <v>8</v>
      </c>
      <c r="W9" s="1568">
        <f t="shared" si="2"/>
        <v>100</v>
      </c>
      <c r="X9" s="1569"/>
      <c r="Y9" s="3307" t="s">
        <v>536</v>
      </c>
      <c r="Z9" s="1149" t="str">
        <f t="shared" ref="Z9:Z14" si="7">Q9</f>
        <v>用途</v>
      </c>
      <c r="AA9" s="1570">
        <f t="shared" si="3"/>
        <v>1</v>
      </c>
      <c r="AB9" s="1570">
        <f t="shared" si="4"/>
        <v>1</v>
      </c>
      <c r="AC9" s="1570">
        <f t="shared" si="5"/>
        <v>1</v>
      </c>
    </row>
    <row r="10" spans="1:29" s="1337" customFormat="1" ht="27">
      <c r="A10" s="2915"/>
      <c r="B10" s="2920"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1"/>
      <c r="Q10" s="1150" t="str">
        <f t="shared" si="6"/>
        <v>土地使用年限（年）</v>
      </c>
      <c r="R10" s="1567" t="s">
        <v>8</v>
      </c>
      <c r="S10" s="1568">
        <f t="shared" si="0"/>
        <v>100</v>
      </c>
      <c r="T10" s="1567" t="s">
        <v>8</v>
      </c>
      <c r="U10" s="1568">
        <f t="shared" si="1"/>
        <v>100</v>
      </c>
      <c r="V10" s="1567" t="s">
        <v>8</v>
      </c>
      <c r="W10" s="1568">
        <f t="shared" si="2"/>
        <v>100</v>
      </c>
      <c r="X10" s="1569"/>
      <c r="Y10" s="3307"/>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1"/>
      <c r="Q11" s="1150">
        <f t="shared" si="6"/>
        <v>111</v>
      </c>
      <c r="R11" s="1567" t="s">
        <v>8</v>
      </c>
      <c r="S11" s="1568">
        <f t="shared" si="0"/>
        <v>100</v>
      </c>
      <c r="T11" s="1567" t="s">
        <v>8</v>
      </c>
      <c r="U11" s="1568">
        <f t="shared" si="1"/>
        <v>100</v>
      </c>
      <c r="V11" s="1567" t="s">
        <v>8</v>
      </c>
      <c r="W11" s="1568">
        <f t="shared" si="2"/>
        <v>100</v>
      </c>
      <c r="X11" s="1569"/>
      <c r="Y11" s="3307"/>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1"/>
      <c r="Q12" s="1150">
        <f t="shared" si="6"/>
        <v>111</v>
      </c>
      <c r="R12" s="1567" t="s">
        <v>8</v>
      </c>
      <c r="S12" s="1568">
        <f t="shared" si="0"/>
        <v>100</v>
      </c>
      <c r="T12" s="1567" t="s">
        <v>8</v>
      </c>
      <c r="U12" s="1568">
        <f t="shared" si="1"/>
        <v>100</v>
      </c>
      <c r="V12" s="1567" t="s">
        <v>8</v>
      </c>
      <c r="W12" s="1568">
        <f t="shared" si="2"/>
        <v>100</v>
      </c>
      <c r="X12" s="1569"/>
      <c r="Y12" s="3307"/>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1"/>
      <c r="Q13" s="1150">
        <f t="shared" si="6"/>
        <v>111</v>
      </c>
      <c r="R13" s="1567" t="s">
        <v>8</v>
      </c>
      <c r="S13" s="1568">
        <f t="shared" si="0"/>
        <v>100</v>
      </c>
      <c r="T13" s="1567" t="s">
        <v>8</v>
      </c>
      <c r="U13" s="1568">
        <f t="shared" si="1"/>
        <v>100</v>
      </c>
      <c r="V13" s="1567" t="s">
        <v>8</v>
      </c>
      <c r="W13" s="1568">
        <f t="shared" si="2"/>
        <v>100</v>
      </c>
      <c r="X13" s="1569"/>
      <c r="Y13" s="3307"/>
      <c r="Z13" s="1149">
        <f t="shared" si="7"/>
        <v>111</v>
      </c>
      <c r="AA13" s="1570">
        <f t="shared" si="3"/>
        <v>1</v>
      </c>
      <c r="AB13" s="1570">
        <f t="shared" si="4"/>
        <v>1</v>
      </c>
      <c r="AC13" s="1570">
        <f t="shared" si="5"/>
        <v>1</v>
      </c>
    </row>
    <row r="14" spans="1:29" ht="15">
      <c r="A14" s="2910" t="s">
        <v>2755</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395" t="s">
        <v>540</v>
      </c>
      <c r="Q14" s="1571" t="str">
        <f t="shared" si="6"/>
        <v>交通便捷度</v>
      </c>
      <c r="R14" s="1572" t="s">
        <v>8</v>
      </c>
      <c r="S14" s="1573">
        <f t="shared" si="0"/>
        <v>100</v>
      </c>
      <c r="T14" s="1572" t="s">
        <v>8</v>
      </c>
      <c r="U14" s="1573">
        <f t="shared" si="1"/>
        <v>100</v>
      </c>
      <c r="V14" s="1572" t="s">
        <v>8</v>
      </c>
      <c r="W14" s="1573">
        <f t="shared" si="2"/>
        <v>100</v>
      </c>
      <c r="X14" s="1566"/>
      <c r="Y14" s="339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396"/>
      <c r="Q15" s="1571"/>
      <c r="R15" s="1572"/>
      <c r="S15" s="1573"/>
      <c r="T15" s="1572"/>
      <c r="U15" s="1573"/>
      <c r="V15" s="1572"/>
      <c r="W15" s="1573"/>
      <c r="X15" s="1566"/>
      <c r="Y15" s="3396"/>
      <c r="Z15" s="1574"/>
      <c r="AA15" s="1575">
        <v>1</v>
      </c>
      <c r="AB15" s="1575">
        <v>1</v>
      </c>
      <c r="AC15" s="1575">
        <v>1</v>
      </c>
    </row>
    <row r="16" spans="1:29" ht="15">
      <c r="A16" s="531"/>
      <c r="B16" s="2603" t="s">
        <v>2547</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396"/>
      <c r="Q16" s="1571" t="str">
        <f>B16</f>
        <v>公共配套设施</v>
      </c>
      <c r="R16" s="1572" t="s">
        <v>8</v>
      </c>
      <c r="S16" s="1573">
        <f>F16</f>
        <v>100</v>
      </c>
      <c r="T16" s="1572" t="s">
        <v>8</v>
      </c>
      <c r="U16" s="1573">
        <f>H16</f>
        <v>100</v>
      </c>
      <c r="V16" s="1572" t="s">
        <v>8</v>
      </c>
      <c r="W16" s="1573">
        <f>J16</f>
        <v>100</v>
      </c>
      <c r="X16" s="1566"/>
      <c r="Y16" s="339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396"/>
      <c r="Q17" s="1571"/>
      <c r="R17" s="1572"/>
      <c r="S17" s="1573"/>
      <c r="T17" s="1572"/>
      <c r="U17" s="1573"/>
      <c r="V17" s="1572"/>
      <c r="W17" s="1573"/>
      <c r="X17" s="1566"/>
      <c r="Y17" s="3396"/>
      <c r="Z17" s="1574"/>
      <c r="AA17" s="1575">
        <v>1</v>
      </c>
      <c r="AB17" s="1575">
        <v>1</v>
      </c>
      <c r="AC17" s="1575">
        <v>1</v>
      </c>
    </row>
    <row r="18" spans="1:29" ht="15">
      <c r="A18" s="531"/>
      <c r="B18" s="2591"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396"/>
      <c r="Q18" s="2579" t="str">
        <f>B18</f>
        <v>基础设施水平</v>
      </c>
      <c r="R18" s="1572" t="s">
        <v>8</v>
      </c>
      <c r="S18" s="1573">
        <f>F18</f>
        <v>100</v>
      </c>
      <c r="T18" s="1572" t="s">
        <v>8</v>
      </c>
      <c r="U18" s="1573">
        <f>H18</f>
        <v>100</v>
      </c>
      <c r="V18" s="1572" t="s">
        <v>8</v>
      </c>
      <c r="W18" s="1573">
        <f>J18</f>
        <v>100</v>
      </c>
      <c r="X18" s="2581"/>
      <c r="Y18" s="3396"/>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96"/>
      <c r="Q19" s="2579"/>
      <c r="R19" s="1572"/>
      <c r="S19" s="1573"/>
      <c r="T19" s="1572"/>
      <c r="U19" s="1573"/>
      <c r="V19" s="1572"/>
      <c r="W19" s="1573"/>
      <c r="X19" s="2581"/>
      <c r="Y19" s="3396"/>
      <c r="Z19" s="2580"/>
      <c r="AA19" s="1575">
        <v>1</v>
      </c>
      <c r="AB19" s="1575">
        <v>1</v>
      </c>
      <c r="AC19" s="1575">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396"/>
      <c r="Q20" s="1571" t="str">
        <f>B20</f>
        <v>自然及人文环境</v>
      </c>
      <c r="R20" s="1572" t="s">
        <v>8</v>
      </c>
      <c r="S20" s="1573">
        <f>F20</f>
        <v>100</v>
      </c>
      <c r="T20" s="1572" t="s">
        <v>8</v>
      </c>
      <c r="U20" s="1573">
        <f>H20</f>
        <v>100</v>
      </c>
      <c r="V20" s="1572" t="s">
        <v>8</v>
      </c>
      <c r="W20" s="1573">
        <f>J20</f>
        <v>100</v>
      </c>
      <c r="X20" s="1566"/>
      <c r="Y20" s="339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396"/>
      <c r="Q21" s="1571"/>
      <c r="R21" s="1572"/>
      <c r="S21" s="1573"/>
      <c r="T21" s="1572"/>
      <c r="U21" s="1573"/>
      <c r="V21" s="1572"/>
      <c r="W21" s="1573"/>
      <c r="X21" s="1566"/>
      <c r="Y21" s="339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96"/>
      <c r="Q22" s="1571" t="str">
        <f>B22</f>
        <v>楼层</v>
      </c>
      <c r="R22" s="1572" t="s">
        <v>8</v>
      </c>
      <c r="S22" s="1573">
        <f>F22</f>
        <v>100</v>
      </c>
      <c r="T22" s="1572" t="s">
        <v>8</v>
      </c>
      <c r="U22" s="1573">
        <f>H22</f>
        <v>100</v>
      </c>
      <c r="V22" s="1572" t="s">
        <v>8</v>
      </c>
      <c r="W22" s="1573">
        <f>J22</f>
        <v>100</v>
      </c>
      <c r="X22" s="1566"/>
      <c r="Y22" s="339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96"/>
      <c r="Q23" s="1571">
        <f>B23</f>
        <v>111</v>
      </c>
      <c r="R23" s="1572" t="s">
        <v>8</v>
      </c>
      <c r="S23" s="1573">
        <f>F23</f>
        <v>100</v>
      </c>
      <c r="T23" s="1572" t="s">
        <v>8</v>
      </c>
      <c r="U23" s="1573">
        <f>H23</f>
        <v>100</v>
      </c>
      <c r="V23" s="1572" t="s">
        <v>8</v>
      </c>
      <c r="W23" s="1573">
        <f>J23</f>
        <v>100</v>
      </c>
      <c r="X23" s="1566"/>
      <c r="Y23" s="339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96"/>
      <c r="Q24" s="1571">
        <f t="shared" ref="Q24:Q34" si="11">B24</f>
        <v>111</v>
      </c>
      <c r="R24" s="1572" t="s">
        <v>8</v>
      </c>
      <c r="S24" s="1573">
        <f>F24</f>
        <v>100</v>
      </c>
      <c r="T24" s="1572" t="s">
        <v>8</v>
      </c>
      <c r="U24" s="1573">
        <f>H24</f>
        <v>100</v>
      </c>
      <c r="V24" s="1572" t="s">
        <v>8</v>
      </c>
      <c r="W24" s="1573">
        <f>J24</f>
        <v>100</v>
      </c>
      <c r="X24" s="1566"/>
      <c r="Y24" s="339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396"/>
      <c r="Q25" s="1150">
        <f t="shared" si="11"/>
        <v>111</v>
      </c>
      <c r="R25" s="1567" t="s">
        <v>8</v>
      </c>
      <c r="S25" s="1568">
        <f>F25</f>
        <v>100</v>
      </c>
      <c r="T25" s="1567" t="s">
        <v>8</v>
      </c>
      <c r="U25" s="1568">
        <f>H25</f>
        <v>100</v>
      </c>
      <c r="V25" s="1567" t="s">
        <v>8</v>
      </c>
      <c r="W25" s="1568">
        <f>J25</f>
        <v>100</v>
      </c>
      <c r="X25" s="1569"/>
      <c r="Y25" s="3396"/>
      <c r="Z25" s="1149">
        <f>Q25</f>
        <v>111</v>
      </c>
      <c r="AA25" s="1575">
        <f>D25/F25</f>
        <v>1</v>
      </c>
      <c r="AB25" s="1575">
        <f>D25/H25</f>
        <v>1</v>
      </c>
      <c r="AC25" s="1575">
        <f>D25/J25</f>
        <v>1</v>
      </c>
    </row>
    <row r="26" spans="1:29" ht="15">
      <c r="A26" s="2907"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39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398"/>
      <c r="Q27" s="1604" t="str">
        <f t="shared" si="11"/>
        <v>成新率</v>
      </c>
      <c r="R27" s="1576" t="s">
        <v>8</v>
      </c>
      <c r="S27" s="1577" t="e">
        <f t="shared" si="12"/>
        <v>#N/A</v>
      </c>
      <c r="T27" s="1576" t="s">
        <v>8</v>
      </c>
      <c r="U27" s="1577" t="e">
        <f t="shared" si="13"/>
        <v>#N/A</v>
      </c>
      <c r="V27" s="1576" t="s">
        <v>8</v>
      </c>
      <c r="W27" s="1577" t="e">
        <f t="shared" si="14"/>
        <v>#N/A</v>
      </c>
      <c r="X27" s="1578"/>
      <c r="Y27" s="339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98"/>
      <c r="Q28" s="1571" t="str">
        <f t="shared" si="11"/>
        <v>物业等级</v>
      </c>
      <c r="R28" s="1572" t="s">
        <v>8</v>
      </c>
      <c r="S28" s="1573">
        <f t="shared" si="12"/>
        <v>100</v>
      </c>
      <c r="T28" s="1572" t="s">
        <v>8</v>
      </c>
      <c r="U28" s="1573">
        <f t="shared" si="13"/>
        <v>100</v>
      </c>
      <c r="V28" s="1572" t="s">
        <v>8</v>
      </c>
      <c r="W28" s="1573">
        <f t="shared" si="14"/>
        <v>100</v>
      </c>
      <c r="X28" s="1566"/>
      <c r="Y28" s="339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398"/>
      <c r="Q29" s="1571" t="str">
        <f t="shared" si="11"/>
        <v>有无电梯</v>
      </c>
      <c r="R29" s="1572" t="s">
        <v>8</v>
      </c>
      <c r="S29" s="1573">
        <f t="shared" si="12"/>
        <v>100</v>
      </c>
      <c r="T29" s="1572" t="s">
        <v>8</v>
      </c>
      <c r="U29" s="1573">
        <f t="shared" si="13"/>
        <v>100</v>
      </c>
      <c r="V29" s="1572" t="s">
        <v>8</v>
      </c>
      <c r="W29" s="1573">
        <f t="shared" si="14"/>
        <v>100</v>
      </c>
      <c r="X29" s="1566"/>
      <c r="Y29" s="339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398"/>
      <c r="Q30" s="1571" t="str">
        <f t="shared" si="11"/>
        <v>建筑面积</v>
      </c>
      <c r="R30" s="1572" t="s">
        <v>8</v>
      </c>
      <c r="S30" s="1573" t="e">
        <f t="shared" si="12"/>
        <v>#N/A</v>
      </c>
      <c r="T30" s="1572" t="s">
        <v>8</v>
      </c>
      <c r="U30" s="1573" t="e">
        <f t="shared" si="13"/>
        <v>#N/A</v>
      </c>
      <c r="V30" s="1572" t="s">
        <v>8</v>
      </c>
      <c r="W30" s="1573" t="e">
        <f t="shared" si="14"/>
        <v>#N/A</v>
      </c>
      <c r="X30" s="1566"/>
      <c r="Y30" s="339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398"/>
      <c r="Q31" s="1150" t="str">
        <f t="shared" si="11"/>
        <v>是否封闭</v>
      </c>
      <c r="R31" s="1567" t="s">
        <v>8</v>
      </c>
      <c r="S31" s="1568">
        <f t="shared" si="12"/>
        <v>100</v>
      </c>
      <c r="T31" s="1567" t="s">
        <v>8</v>
      </c>
      <c r="U31" s="1568">
        <f t="shared" si="13"/>
        <v>100</v>
      </c>
      <c r="V31" s="1567" t="s">
        <v>8</v>
      </c>
      <c r="W31" s="1568">
        <f t="shared" si="14"/>
        <v>100</v>
      </c>
      <c r="X31" s="1569"/>
      <c r="Y31" s="339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398" t="s">
        <v>550</v>
      </c>
      <c r="Q32" s="1571">
        <f t="shared" si="11"/>
        <v>111</v>
      </c>
      <c r="R32" s="1572" t="s">
        <v>8</v>
      </c>
      <c r="S32" s="1573">
        <f t="shared" si="12"/>
        <v>100</v>
      </c>
      <c r="T32" s="1572" t="s">
        <v>8</v>
      </c>
      <c r="U32" s="1573">
        <f t="shared" si="13"/>
        <v>100</v>
      </c>
      <c r="V32" s="1572" t="s">
        <v>8</v>
      </c>
      <c r="W32" s="1573">
        <f t="shared" si="14"/>
        <v>100</v>
      </c>
      <c r="X32" s="1566"/>
      <c r="Y32" s="3398"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398"/>
      <c r="Q33" s="1571">
        <f t="shared" si="11"/>
        <v>111</v>
      </c>
      <c r="R33" s="1572" t="s">
        <v>8</v>
      </c>
      <c r="S33" s="1573">
        <f t="shared" si="12"/>
        <v>100</v>
      </c>
      <c r="T33" s="1572" t="s">
        <v>8</v>
      </c>
      <c r="U33" s="1573">
        <f t="shared" si="13"/>
        <v>100</v>
      </c>
      <c r="V33" s="1572" t="s">
        <v>8</v>
      </c>
      <c r="W33" s="1573">
        <f t="shared" si="14"/>
        <v>100</v>
      </c>
      <c r="X33" s="1566"/>
      <c r="Y33" s="339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398"/>
      <c r="Q34" s="1571">
        <f t="shared" si="11"/>
        <v>111</v>
      </c>
      <c r="R34" s="1572" t="s">
        <v>8</v>
      </c>
      <c r="S34" s="1573">
        <f t="shared" si="12"/>
        <v>100</v>
      </c>
      <c r="T34" s="1572" t="s">
        <v>8</v>
      </c>
      <c r="U34" s="1573">
        <f t="shared" si="13"/>
        <v>100</v>
      </c>
      <c r="V34" s="1572" t="s">
        <v>8</v>
      </c>
      <c r="W34" s="1573">
        <f t="shared" si="14"/>
        <v>100</v>
      </c>
      <c r="X34" s="1566"/>
      <c r="Y34" s="3398"/>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61" t="str">
        <f>A35</f>
        <v>成交单价（元/平方米）</v>
      </c>
      <c r="Q35" s="3361"/>
      <c r="R35" s="3474">
        <f>E35</f>
        <v>0</v>
      </c>
      <c r="S35" s="3474"/>
      <c r="T35" s="3474">
        <f>G35</f>
        <v>0</v>
      </c>
      <c r="U35" s="3474"/>
      <c r="V35" s="3474">
        <f>I35</f>
        <v>0</v>
      </c>
      <c r="W35" s="3474"/>
      <c r="X35" s="1558"/>
      <c r="Y35" s="1580"/>
      <c r="Z35" s="1558"/>
      <c r="AA35" s="1558"/>
      <c r="AB35" s="1558"/>
      <c r="AC35" s="1558"/>
    </row>
    <row r="36" spans="1:29" ht="15.75" thickBot="1">
      <c r="A36" s="614" t="s">
        <v>2761</v>
      </c>
      <c r="B36" s="887"/>
      <c r="C36" s="2633" t="e">
        <f>R37</f>
        <v>#DIV/0!</v>
      </c>
      <c r="D36" s="2634"/>
      <c r="E36" s="2635" t="e">
        <f>R36</f>
        <v>#DIV/0!</v>
      </c>
      <c r="F36" s="2635"/>
      <c r="G36" s="2633" t="e">
        <f>T36</f>
        <v>#DIV/0!</v>
      </c>
      <c r="H36" s="2634"/>
      <c r="I36" s="2635" t="e">
        <f>V36</f>
        <v>#DIV/0!</v>
      </c>
      <c r="J36" s="2634"/>
      <c r="K36" s="1611"/>
      <c r="L36" s="2144"/>
      <c r="M36" s="2145"/>
      <c r="N36" s="2134"/>
      <c r="O36" s="2145"/>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8"/>
      <c r="Y36" s="1558"/>
      <c r="Z36" s="1558"/>
      <c r="AA36" s="1558"/>
      <c r="AB36" s="1558"/>
      <c r="AC36" s="1558"/>
    </row>
    <row r="37" spans="1:29" ht="15.75" thickBot="1">
      <c r="A37" s="620" t="s">
        <v>2926</v>
      </c>
      <c r="B37" s="621"/>
      <c r="C37" s="2636" t="e">
        <f>R37</f>
        <v>#DIV/0!</v>
      </c>
      <c r="D37" s="2636"/>
      <c r="E37" s="2636"/>
      <c r="F37" s="2636"/>
      <c r="G37" s="2636"/>
      <c r="H37" s="2636"/>
      <c r="I37" s="2636"/>
      <c r="J37" s="2636"/>
      <c r="K37" s="1612"/>
      <c r="L37" s="2144"/>
      <c r="M37" s="2145"/>
      <c r="N37" s="2145"/>
      <c r="O37" s="2145"/>
      <c r="P37" s="3358" t="str">
        <f>A37</f>
        <v>估价对象XX用房的比较价格（楼面单价，元/平方米）</v>
      </c>
      <c r="Q37" s="3359"/>
      <c r="R37" s="3473" t="e">
        <f>IF(F1="售价",ROUND(AVERAGE(R36:V36),0),ROUND(AVERAGE(R36:V36),1))</f>
        <v>#DIV/0!</v>
      </c>
      <c r="S37" s="3473"/>
      <c r="T37" s="3473"/>
      <c r="U37" s="3473"/>
      <c r="V37" s="3473"/>
      <c r="W37" s="347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2919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2918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2917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2932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2916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2915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80" t="s">
        <v>20</v>
      </c>
      <c r="D22" s="3481"/>
      <c r="E22" s="3481"/>
      <c r="F22" s="3481"/>
      <c r="G22" s="3481"/>
      <c r="H22" s="3481"/>
      <c r="I22" s="3481"/>
      <c r="J22" s="3481"/>
      <c r="K22" s="3481"/>
      <c r="L22" s="3481"/>
      <c r="M22" s="3481"/>
      <c r="N22" s="3481"/>
      <c r="O22" s="3481"/>
      <c r="P22" s="3481"/>
      <c r="Q22" s="348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济南正启置业有限公司：</v>
      </c>
    </row>
    <row r="4" spans="1:4" ht="37.5">
      <c r="A4" s="1791" t="str">
        <f>"受贵公司委托，我公司对"&amp;项目基本情况!K2&amp;项目基本情况!B9&amp;"进行了预评估。"</f>
        <v>受贵公司委托，我公司对山东省济南市历城区开源中路以北、幸福柳路以东出让国有建设用地使用权抵押价格进行了预评估。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济南市历城区开源中路以北、幸福柳路以东出让国有建设用地使用权。根据《国有土地使用证》[]，估价对象（分摊）出让国有建设用地使用权面积为23013平方米。根据《建设工程规划许可证》[]、《出让合同》[]，估价对象规划建筑面积为96730.64平方米。</v>
      </c>
    </row>
    <row r="7" spans="1:4" ht="93.75">
      <c r="A7" s="2873" t="s">
        <v>2749</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2018年8月24日（评估专业人员勘察现场之日）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根据《国有土地使用证》[鲁（2018）济南市不动产权第0102470号]，本次评估估价对象证载（地类）用途为住宅、商业。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根据《国有土地使用证》[]，估价对象（分摊）出让国有建设用地使用权面积为23013平方米。根据《建设工程规划许可证》[]、《出让合同》[]，估价对象规划建筑面积为96730.64平方米。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2750</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43336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3</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B1" workbookViewId="0">
      <selection activeCell="AK15" sqref="AK15"/>
    </sheetView>
  </sheetViews>
  <sheetFormatPr defaultRowHeight="13.5"/>
  <cols>
    <col min="1" max="1" width="13" customWidth="1"/>
    <col min="30" max="30" width="17.625" customWidth="1"/>
  </cols>
  <sheetData>
    <row r="1" spans="1:44" s="3178" customFormat="1">
      <c r="A1" s="3178" t="s">
        <v>3107</v>
      </c>
      <c r="B1" s="3178" t="s">
        <v>3019</v>
      </c>
      <c r="C1" s="3178" t="s">
        <v>3020</v>
      </c>
      <c r="D1" s="3178" t="s">
        <v>3021</v>
      </c>
      <c r="E1" s="3178" t="s">
        <v>2819</v>
      </c>
      <c r="F1" s="3178" t="s">
        <v>3107</v>
      </c>
      <c r="G1" s="3178" t="s">
        <v>3023</v>
      </c>
      <c r="H1" s="3178" t="s">
        <v>3108</v>
      </c>
      <c r="I1" s="3178" t="s">
        <v>3052</v>
      </c>
      <c r="J1" s="3178">
        <v>51597</v>
      </c>
      <c r="K1" s="3178">
        <v>130024.4</v>
      </c>
      <c r="L1" s="3178">
        <v>2.2000000000000002</v>
      </c>
      <c r="M1" s="3178" t="s">
        <v>2819</v>
      </c>
      <c r="N1" s="3178" t="s">
        <v>3110</v>
      </c>
      <c r="O1" s="3178" t="s">
        <v>2819</v>
      </c>
      <c r="P1" s="3178" t="s">
        <v>2819</v>
      </c>
      <c r="Q1" s="3178" t="s">
        <v>2819</v>
      </c>
      <c r="R1" s="3178" t="s">
        <v>2819</v>
      </c>
      <c r="S1" s="3178" t="s">
        <v>2819</v>
      </c>
      <c r="T1" s="3178" t="s">
        <v>3080</v>
      </c>
      <c r="U1" s="3178" t="s">
        <v>2819</v>
      </c>
      <c r="V1" s="3178" t="s">
        <v>2819</v>
      </c>
      <c r="W1" s="3178" t="s">
        <v>3081</v>
      </c>
      <c r="X1" s="3178" t="s">
        <v>3111</v>
      </c>
      <c r="Y1" s="3178" t="s">
        <v>3112</v>
      </c>
      <c r="Z1" s="3178" t="s">
        <v>3113</v>
      </c>
      <c r="AA1" s="3178" t="s">
        <v>3113</v>
      </c>
      <c r="AB1" s="3178" t="s">
        <v>3114</v>
      </c>
      <c r="AC1" s="3178" t="s">
        <v>3033</v>
      </c>
      <c r="AD1" s="3178" t="s">
        <v>3115</v>
      </c>
      <c r="AE1" s="3178">
        <v>28000</v>
      </c>
      <c r="AF1" s="3178">
        <v>92875</v>
      </c>
      <c r="AG1" s="3178">
        <v>97234.11</v>
      </c>
      <c r="AH1" s="3178">
        <v>1200.01</v>
      </c>
      <c r="AI1" s="3178">
        <v>1256.33</v>
      </c>
      <c r="AJ1" s="3178">
        <v>7142.89</v>
      </c>
      <c r="AK1" s="3179">
        <v>7478.14</v>
      </c>
      <c r="AL1" s="3178">
        <f t="shared" ref="AL1:AL3" si="0">ROUND(AG1*10000/J1,0)</f>
        <v>18845</v>
      </c>
      <c r="AM1" s="3178" t="s">
        <v>2819</v>
      </c>
      <c r="AN1" s="3178">
        <v>4.6900000000000004</v>
      </c>
      <c r="AO1" s="3178" t="s">
        <v>3035</v>
      </c>
      <c r="AP1" s="3178" t="s">
        <v>2819</v>
      </c>
      <c r="AQ1" s="3178" t="s">
        <v>2819</v>
      </c>
      <c r="AR1" s="3178" t="s">
        <v>2819</v>
      </c>
    </row>
    <row r="2" spans="1:44" s="3178" customFormat="1">
      <c r="A2" s="3178" t="s">
        <v>3129</v>
      </c>
      <c r="B2" s="3178" t="s">
        <v>3019</v>
      </c>
      <c r="C2" s="3178" t="s">
        <v>3020</v>
      </c>
      <c r="D2" s="3178" t="s">
        <v>3021</v>
      </c>
      <c r="E2" s="3178" t="s">
        <v>2819</v>
      </c>
      <c r="F2" s="3178" t="s">
        <v>3129</v>
      </c>
      <c r="G2" s="3178" t="s">
        <v>3023</v>
      </c>
      <c r="H2" s="3178" t="s">
        <v>3130</v>
      </c>
      <c r="I2" s="3178" t="s">
        <v>3052</v>
      </c>
      <c r="J2" s="3178">
        <v>40843</v>
      </c>
      <c r="K2" s="3178">
        <v>84136.58</v>
      </c>
      <c r="L2" s="3178">
        <v>1.6</v>
      </c>
      <c r="M2" s="3178" t="s">
        <v>2819</v>
      </c>
      <c r="N2" s="3178" t="s">
        <v>3132</v>
      </c>
      <c r="O2" s="3178" t="s">
        <v>2819</v>
      </c>
      <c r="P2" s="3178" t="s">
        <v>2819</v>
      </c>
      <c r="Q2" s="3178" t="s">
        <v>2819</v>
      </c>
      <c r="R2" s="3178" t="s">
        <v>2819</v>
      </c>
      <c r="S2" s="3178" t="s">
        <v>2819</v>
      </c>
      <c r="T2" s="3178" t="s">
        <v>3080</v>
      </c>
      <c r="U2" s="3178" t="s">
        <v>2819</v>
      </c>
      <c r="V2" s="3178" t="s">
        <v>2819</v>
      </c>
      <c r="W2" s="3178" t="s">
        <v>3081</v>
      </c>
      <c r="X2" s="3178" t="s">
        <v>3111</v>
      </c>
      <c r="Y2" s="3178" t="s">
        <v>3112</v>
      </c>
      <c r="Z2" s="3178" t="s">
        <v>3113</v>
      </c>
      <c r="AA2" s="3178" t="s">
        <v>3113</v>
      </c>
      <c r="AB2" s="3178" t="s">
        <v>3133</v>
      </c>
      <c r="AC2" s="3178" t="s">
        <v>3033</v>
      </c>
      <c r="AD2" s="3178" t="s">
        <v>3115</v>
      </c>
      <c r="AE2" s="3178">
        <v>21000</v>
      </c>
      <c r="AF2" s="3178">
        <v>67207</v>
      </c>
      <c r="AG2" s="3178">
        <v>68305.22</v>
      </c>
      <c r="AH2" s="3178">
        <v>1097</v>
      </c>
      <c r="AI2" s="3178">
        <v>1114.92</v>
      </c>
      <c r="AJ2" s="3178">
        <v>7987.84</v>
      </c>
      <c r="AK2" s="3179">
        <v>8118.36</v>
      </c>
      <c r="AL2" s="3178">
        <f t="shared" si="0"/>
        <v>16724</v>
      </c>
      <c r="AM2" s="3178" t="s">
        <v>2819</v>
      </c>
      <c r="AN2" s="3178">
        <v>1.63</v>
      </c>
      <c r="AO2" s="3178" t="s">
        <v>3035</v>
      </c>
      <c r="AP2" s="3178" t="s">
        <v>2819</v>
      </c>
      <c r="AQ2" s="3178" t="s">
        <v>2819</v>
      </c>
      <c r="AR2" s="3178" t="s">
        <v>2819</v>
      </c>
    </row>
    <row r="3" spans="1:44" s="3178" customFormat="1">
      <c r="A3" s="3178" t="s">
        <v>3168</v>
      </c>
      <c r="B3" s="3178" t="s">
        <v>3019</v>
      </c>
      <c r="C3" s="3178" t="s">
        <v>3020</v>
      </c>
      <c r="D3" s="3178" t="s">
        <v>3021</v>
      </c>
      <c r="E3" s="3178" t="s">
        <v>2819</v>
      </c>
      <c r="F3" s="3178" t="s">
        <v>3168</v>
      </c>
      <c r="G3" s="3178" t="s">
        <v>3023</v>
      </c>
      <c r="H3" s="3178" t="s">
        <v>3169</v>
      </c>
      <c r="I3" s="3178" t="s">
        <v>3052</v>
      </c>
      <c r="J3" s="3178">
        <v>110494</v>
      </c>
      <c r="K3" s="3178">
        <v>277339.90000000002</v>
      </c>
      <c r="L3" s="3178">
        <v>2.2000000000000002</v>
      </c>
      <c r="M3" s="3178" t="s">
        <v>2819</v>
      </c>
      <c r="N3" s="3178" t="s">
        <v>3171</v>
      </c>
      <c r="O3" s="3178" t="s">
        <v>2819</v>
      </c>
      <c r="P3" s="3178" t="s">
        <v>2819</v>
      </c>
      <c r="Q3" s="3178" t="s">
        <v>2819</v>
      </c>
      <c r="R3" s="3178" t="s">
        <v>2819</v>
      </c>
      <c r="S3" s="3178" t="s">
        <v>2819</v>
      </c>
      <c r="T3" s="3178" t="s">
        <v>3080</v>
      </c>
      <c r="U3" s="3178" t="s">
        <v>2819</v>
      </c>
      <c r="V3" s="3178" t="s">
        <v>2819</v>
      </c>
      <c r="W3" s="3178" t="s">
        <v>3081</v>
      </c>
      <c r="X3" s="3178" t="s">
        <v>3111</v>
      </c>
      <c r="Y3" s="3178" t="s">
        <v>3112</v>
      </c>
      <c r="Z3" s="3178" t="s">
        <v>3113</v>
      </c>
      <c r="AA3" s="3178" t="s">
        <v>3113</v>
      </c>
      <c r="AB3" s="3178" t="s">
        <v>3172</v>
      </c>
      <c r="AC3" s="3178" t="s">
        <v>3033</v>
      </c>
      <c r="AD3" s="3178" t="s">
        <v>3115</v>
      </c>
      <c r="AE3" s="3178">
        <v>63000</v>
      </c>
      <c r="AF3" s="3178">
        <v>207176</v>
      </c>
      <c r="AG3" s="3178">
        <v>210000</v>
      </c>
      <c r="AH3" s="3178">
        <v>1250</v>
      </c>
      <c r="AI3" s="3178">
        <v>1267.04</v>
      </c>
      <c r="AJ3" s="3178">
        <v>7470.11</v>
      </c>
      <c r="AK3" s="3179">
        <v>7571.93</v>
      </c>
      <c r="AL3" s="3178">
        <f t="shared" si="0"/>
        <v>19006</v>
      </c>
      <c r="AM3" s="3178" t="s">
        <v>2819</v>
      </c>
      <c r="AN3" s="3178">
        <v>1.36</v>
      </c>
      <c r="AO3" s="3178" t="s">
        <v>3035</v>
      </c>
      <c r="AP3" s="3178" t="s">
        <v>2819</v>
      </c>
      <c r="AQ3" s="3178" t="s">
        <v>2819</v>
      </c>
      <c r="AR3" s="3178" t="s">
        <v>2819</v>
      </c>
    </row>
    <row r="4" spans="1:44" s="2939" customFormat="1">
      <c r="A4" s="2939" t="s">
        <v>2975</v>
      </c>
      <c r="B4" s="2939" t="s">
        <v>2976</v>
      </c>
      <c r="C4" s="2939" t="s">
        <v>2977</v>
      </c>
      <c r="D4" s="2939" t="s">
        <v>2978</v>
      </c>
      <c r="E4" s="2939" t="s">
        <v>2979</v>
      </c>
      <c r="F4" s="2939" t="s">
        <v>2980</v>
      </c>
      <c r="G4" s="2939" t="s">
        <v>2981</v>
      </c>
      <c r="H4" s="2939" t="s">
        <v>2982</v>
      </c>
      <c r="I4" s="2939" t="s">
        <v>2983</v>
      </c>
      <c r="J4" s="2939" t="s">
        <v>2984</v>
      </c>
      <c r="K4" s="2939" t="s">
        <v>2985</v>
      </c>
      <c r="L4" s="2939" t="s">
        <v>2034</v>
      </c>
      <c r="M4" s="2939" t="s">
        <v>2986</v>
      </c>
      <c r="N4" s="2939" t="s">
        <v>2987</v>
      </c>
      <c r="O4" s="2939" t="s">
        <v>2988</v>
      </c>
      <c r="P4" s="2939" t="s">
        <v>2989</v>
      </c>
      <c r="Q4" s="2939" t="s">
        <v>2990</v>
      </c>
      <c r="R4" s="2939" t="s">
        <v>2991</v>
      </c>
      <c r="S4" s="2939" t="s">
        <v>2992</v>
      </c>
      <c r="T4" s="2939" t="s">
        <v>2993</v>
      </c>
      <c r="U4" s="2939" t="s">
        <v>2994</v>
      </c>
      <c r="V4" s="2939" t="s">
        <v>2995</v>
      </c>
      <c r="W4" s="2939" t="s">
        <v>2996</v>
      </c>
      <c r="X4" s="2939" t="s">
        <v>2997</v>
      </c>
      <c r="Y4" s="2939" t="s">
        <v>2998</v>
      </c>
      <c r="Z4" s="2939" t="s">
        <v>2999</v>
      </c>
      <c r="AA4" s="2939" t="s">
        <v>3000</v>
      </c>
      <c r="AB4" s="2939" t="s">
        <v>3001</v>
      </c>
      <c r="AC4" s="2939" t="s">
        <v>3002</v>
      </c>
      <c r="AD4" s="2939" t="s">
        <v>3003</v>
      </c>
      <c r="AE4" s="2939" t="s">
        <v>3004</v>
      </c>
      <c r="AF4" s="2939" t="s">
        <v>3005</v>
      </c>
      <c r="AG4" s="2939" t="s">
        <v>3006</v>
      </c>
      <c r="AH4" s="2939" t="s">
        <v>3007</v>
      </c>
      <c r="AI4" s="2939" t="s">
        <v>3008</v>
      </c>
      <c r="AJ4" s="2939" t="s">
        <v>3009</v>
      </c>
      <c r="AK4" s="2939" t="s">
        <v>3010</v>
      </c>
      <c r="AL4" s="3176" t="s">
        <v>3011</v>
      </c>
      <c r="AM4" s="2939" t="s">
        <v>3012</v>
      </c>
      <c r="AN4" s="2939" t="s">
        <v>3013</v>
      </c>
      <c r="AO4" s="2939" t="s">
        <v>3014</v>
      </c>
      <c r="AP4" s="2939" t="s">
        <v>3015</v>
      </c>
      <c r="AQ4" s="2939" t="s">
        <v>3016</v>
      </c>
      <c r="AR4" s="2939" t="s">
        <v>3017</v>
      </c>
    </row>
    <row r="5" spans="1:44" s="2939" customFormat="1">
      <c r="A5" s="2939" t="s">
        <v>3018</v>
      </c>
      <c r="B5" s="2939" t="s">
        <v>3019</v>
      </c>
      <c r="C5" s="2939" t="s">
        <v>3020</v>
      </c>
      <c r="D5" s="2939" t="s">
        <v>3021</v>
      </c>
      <c r="E5" s="2939" t="s">
        <v>2819</v>
      </c>
      <c r="F5" s="2939" t="s">
        <v>3022</v>
      </c>
      <c r="G5" s="2939" t="s">
        <v>3023</v>
      </c>
      <c r="H5" s="2939" t="s">
        <v>3024</v>
      </c>
      <c r="I5" s="2939" t="s">
        <v>3025</v>
      </c>
      <c r="J5" s="2939">
        <v>80593</v>
      </c>
      <c r="K5" s="2939">
        <v>145067.4</v>
      </c>
      <c r="L5" s="2939" t="s">
        <v>3026</v>
      </c>
      <c r="M5" s="2939" t="s">
        <v>2819</v>
      </c>
      <c r="N5" s="2939" t="s">
        <v>3027</v>
      </c>
      <c r="O5" s="2939" t="s">
        <v>2819</v>
      </c>
      <c r="P5" s="2939" t="s">
        <v>2819</v>
      </c>
      <c r="Q5" s="2939" t="s">
        <v>2819</v>
      </c>
      <c r="R5" s="2939" t="s">
        <v>2819</v>
      </c>
      <c r="S5" s="2939" t="s">
        <v>2819</v>
      </c>
      <c r="T5" s="2939" t="s">
        <v>2819</v>
      </c>
      <c r="U5" s="2939" t="s">
        <v>2819</v>
      </c>
      <c r="V5" s="2939" t="s">
        <v>2819</v>
      </c>
      <c r="W5" s="2939" t="s">
        <v>3028</v>
      </c>
      <c r="X5" s="2939" t="s">
        <v>3029</v>
      </c>
      <c r="Y5" s="2939" t="s">
        <v>3030</v>
      </c>
      <c r="Z5" s="2939" t="s">
        <v>3031</v>
      </c>
      <c r="AA5" s="2939" t="s">
        <v>3031</v>
      </c>
      <c r="AB5" s="2939" t="s">
        <v>3032</v>
      </c>
      <c r="AC5" s="2939" t="s">
        <v>3033</v>
      </c>
      <c r="AD5" s="2939" t="s">
        <v>3034</v>
      </c>
      <c r="AE5" s="2939">
        <v>54400</v>
      </c>
      <c r="AF5" s="2939">
        <v>136000</v>
      </c>
      <c r="AG5" s="2939">
        <v>140900</v>
      </c>
      <c r="AH5" s="2939">
        <v>1124.99</v>
      </c>
      <c r="AI5" s="2939">
        <v>1165.53</v>
      </c>
      <c r="AJ5" s="2939">
        <v>9374.9500000000007</v>
      </c>
      <c r="AK5" s="2939">
        <v>9712.7199999999993</v>
      </c>
      <c r="AL5" s="2939">
        <f>ROUND(AG5*10000/J5,0)</f>
        <v>17483</v>
      </c>
      <c r="AM5" s="2939" t="s">
        <v>2819</v>
      </c>
      <c r="AN5" s="2939">
        <v>3.6</v>
      </c>
      <c r="AO5" s="2939" t="s">
        <v>3035</v>
      </c>
      <c r="AP5" s="2939" t="s">
        <v>2819</v>
      </c>
      <c r="AQ5" s="2939" t="s">
        <v>2819</v>
      </c>
      <c r="AR5" s="2939" t="s">
        <v>2819</v>
      </c>
    </row>
    <row r="6" spans="1:44" s="2939" customFormat="1">
      <c r="A6" s="2939" t="s">
        <v>3036</v>
      </c>
      <c r="B6" s="2939" t="s">
        <v>3019</v>
      </c>
      <c r="C6" s="2939" t="s">
        <v>3020</v>
      </c>
      <c r="D6" s="2939" t="s">
        <v>3021</v>
      </c>
      <c r="E6" s="2939" t="s">
        <v>2819</v>
      </c>
      <c r="F6" s="2939" t="s">
        <v>3022</v>
      </c>
      <c r="G6" s="2939" t="s">
        <v>3023</v>
      </c>
      <c r="H6" s="2939" t="s">
        <v>3037</v>
      </c>
      <c r="I6" s="2939" t="s">
        <v>3025</v>
      </c>
      <c r="J6" s="2939">
        <v>24830</v>
      </c>
      <c r="K6" s="2939">
        <v>37245</v>
      </c>
      <c r="L6" s="2939" t="s">
        <v>3038</v>
      </c>
      <c r="M6" s="2939" t="s">
        <v>2819</v>
      </c>
      <c r="N6" s="2939" t="s">
        <v>3039</v>
      </c>
      <c r="O6" s="2939" t="s">
        <v>2819</v>
      </c>
      <c r="P6" s="2939" t="s">
        <v>2819</v>
      </c>
      <c r="Q6" s="2939" t="s">
        <v>2819</v>
      </c>
      <c r="R6" s="2939" t="s">
        <v>2819</v>
      </c>
      <c r="S6" s="2939" t="s">
        <v>2819</v>
      </c>
      <c r="T6" s="2939" t="s">
        <v>2819</v>
      </c>
      <c r="U6" s="2939" t="s">
        <v>2819</v>
      </c>
      <c r="V6" s="2939" t="s">
        <v>2819</v>
      </c>
      <c r="W6" s="2939" t="s">
        <v>3028</v>
      </c>
      <c r="X6" s="2939" t="s">
        <v>3029</v>
      </c>
      <c r="Y6" s="2939" t="s">
        <v>3030</v>
      </c>
      <c r="Z6" s="2939" t="s">
        <v>3031</v>
      </c>
      <c r="AA6" s="2939" t="s">
        <v>3031</v>
      </c>
      <c r="AB6" s="2939" t="s">
        <v>3040</v>
      </c>
      <c r="AC6" s="2939" t="s">
        <v>3033</v>
      </c>
      <c r="AD6" s="2939" t="s">
        <v>3041</v>
      </c>
      <c r="AE6" s="2939">
        <v>15000</v>
      </c>
      <c r="AF6" s="2939">
        <v>37200</v>
      </c>
      <c r="AG6" s="2939">
        <v>40600</v>
      </c>
      <c r="AH6" s="2939">
        <v>998.79</v>
      </c>
      <c r="AI6" s="2939">
        <v>1090.08</v>
      </c>
      <c r="AJ6" s="2939">
        <v>9987.91</v>
      </c>
      <c r="AK6" s="2939">
        <v>10900.79</v>
      </c>
      <c r="AL6" s="2939">
        <f t="shared" ref="AL6:AL54" si="1">ROUND(AG6*10000/J6,0)</f>
        <v>16351</v>
      </c>
      <c r="AM6" s="2939" t="s">
        <v>2819</v>
      </c>
      <c r="AN6" s="2939">
        <v>9.14</v>
      </c>
      <c r="AO6" s="2939" t="s">
        <v>3035</v>
      </c>
      <c r="AP6" s="2939" t="s">
        <v>2819</v>
      </c>
      <c r="AQ6" s="2939" t="s">
        <v>2819</v>
      </c>
      <c r="AR6" s="2939" t="s">
        <v>2819</v>
      </c>
    </row>
    <row r="7" spans="1:44" s="2939" customFormat="1">
      <c r="A7" s="2939" t="s">
        <v>3042</v>
      </c>
      <c r="B7" s="2939" t="s">
        <v>3019</v>
      </c>
      <c r="C7" s="2939" t="s">
        <v>3020</v>
      </c>
      <c r="D7" s="2939" t="s">
        <v>3021</v>
      </c>
      <c r="E7" s="2939" t="s">
        <v>2819</v>
      </c>
      <c r="F7" s="2939" t="s">
        <v>3043</v>
      </c>
      <c r="G7" s="2939" t="s">
        <v>3023</v>
      </c>
      <c r="H7" s="2939" t="s">
        <v>3044</v>
      </c>
      <c r="I7" s="2939" t="s">
        <v>3025</v>
      </c>
      <c r="J7" s="2939">
        <v>77582</v>
      </c>
      <c r="K7" s="2939">
        <v>155164</v>
      </c>
      <c r="L7" s="2939" t="s">
        <v>3045</v>
      </c>
      <c r="M7" s="2939" t="s">
        <v>2819</v>
      </c>
      <c r="N7" s="2939" t="s">
        <v>3027</v>
      </c>
      <c r="O7" s="2939" t="s">
        <v>3046</v>
      </c>
      <c r="P7" s="2939" t="s">
        <v>2819</v>
      </c>
      <c r="Q7" s="2939" t="s">
        <v>2819</v>
      </c>
      <c r="R7" s="2939" t="s">
        <v>2819</v>
      </c>
      <c r="S7" s="2939" t="s">
        <v>2819</v>
      </c>
      <c r="T7" s="2939" t="s">
        <v>2819</v>
      </c>
      <c r="U7" s="2939" t="s">
        <v>2819</v>
      </c>
      <c r="V7" s="2939" t="s">
        <v>2819</v>
      </c>
      <c r="W7" s="2939" t="s">
        <v>3028</v>
      </c>
      <c r="X7" s="2939" t="s">
        <v>3029</v>
      </c>
      <c r="Y7" s="2939" t="s">
        <v>3030</v>
      </c>
      <c r="Z7" s="2939" t="s">
        <v>3031</v>
      </c>
      <c r="AA7" s="2939" t="s">
        <v>3031</v>
      </c>
      <c r="AB7" s="2939" t="s">
        <v>3047</v>
      </c>
      <c r="AC7" s="2939" t="s">
        <v>3033</v>
      </c>
      <c r="AD7" s="2939" t="s">
        <v>3048</v>
      </c>
      <c r="AE7" s="2939">
        <v>34680</v>
      </c>
      <c r="AF7" s="2939">
        <v>86700</v>
      </c>
      <c r="AG7" s="2939">
        <v>97400</v>
      </c>
      <c r="AH7" s="2939">
        <v>745.02</v>
      </c>
      <c r="AI7" s="2939">
        <v>836.96</v>
      </c>
      <c r="AJ7" s="2939">
        <v>5587.63</v>
      </c>
      <c r="AK7" s="2939">
        <v>6277.22</v>
      </c>
      <c r="AL7" s="2939">
        <f t="shared" si="1"/>
        <v>12554</v>
      </c>
      <c r="AM7" s="2939" t="s">
        <v>2819</v>
      </c>
      <c r="AN7" s="2939">
        <v>12.34</v>
      </c>
      <c r="AO7" s="2939" t="s">
        <v>3035</v>
      </c>
      <c r="AP7" s="2939" t="s">
        <v>2819</v>
      </c>
      <c r="AQ7" s="2939" t="s">
        <v>2819</v>
      </c>
      <c r="AR7" s="2939" t="s">
        <v>2819</v>
      </c>
    </row>
    <row r="8" spans="1:44" s="2939" customFormat="1">
      <c r="A8" s="2939" t="s">
        <v>3049</v>
      </c>
      <c r="B8" s="2939" t="s">
        <v>3019</v>
      </c>
      <c r="C8" s="2939" t="s">
        <v>3020</v>
      </c>
      <c r="D8" s="2939" t="s">
        <v>3021</v>
      </c>
      <c r="E8" s="2939" t="s">
        <v>2819</v>
      </c>
      <c r="F8" s="2939" t="s">
        <v>3050</v>
      </c>
      <c r="G8" s="2939" t="s">
        <v>3023</v>
      </c>
      <c r="H8" s="2939" t="s">
        <v>3051</v>
      </c>
      <c r="I8" s="2939" t="s">
        <v>3052</v>
      </c>
      <c r="J8" s="2939">
        <v>80992</v>
      </c>
      <c r="K8" s="2939">
        <v>278612.5</v>
      </c>
      <c r="L8" s="2939" t="s">
        <v>3053</v>
      </c>
      <c r="M8" s="2939" t="s">
        <v>2819</v>
      </c>
      <c r="N8" s="2939" t="s">
        <v>2819</v>
      </c>
      <c r="O8" s="2939" t="s">
        <v>2819</v>
      </c>
      <c r="P8" s="2939" t="s">
        <v>2819</v>
      </c>
      <c r="Q8" s="2939" t="s">
        <v>2819</v>
      </c>
      <c r="R8" s="2939" t="s">
        <v>2819</v>
      </c>
      <c r="S8" s="2939" t="s">
        <v>2819</v>
      </c>
      <c r="T8" s="2939" t="s">
        <v>2819</v>
      </c>
      <c r="U8" s="2939" t="s">
        <v>2819</v>
      </c>
      <c r="V8" s="2939" t="s">
        <v>2819</v>
      </c>
      <c r="W8" s="2939" t="s">
        <v>3028</v>
      </c>
      <c r="X8" s="2939" t="s">
        <v>3054</v>
      </c>
      <c r="Y8" s="2939" t="s">
        <v>3029</v>
      </c>
      <c r="Z8" s="2939" t="s">
        <v>3055</v>
      </c>
      <c r="AA8" s="2939" t="s">
        <v>3055</v>
      </c>
      <c r="AB8" s="2939" t="s">
        <v>3056</v>
      </c>
      <c r="AC8" s="2939" t="s">
        <v>3033</v>
      </c>
      <c r="AD8" s="2939" t="s">
        <v>3057</v>
      </c>
      <c r="AE8" s="2939">
        <v>39000</v>
      </c>
      <c r="AF8" s="2939">
        <v>77332</v>
      </c>
      <c r="AG8" s="2939">
        <v>77332</v>
      </c>
      <c r="AH8" s="2939">
        <v>636.54</v>
      </c>
      <c r="AI8" s="2939">
        <v>636.54</v>
      </c>
      <c r="AJ8" s="2939">
        <v>2775.61</v>
      </c>
      <c r="AK8" s="2939">
        <v>2775.61</v>
      </c>
      <c r="AL8" s="2939">
        <f t="shared" si="1"/>
        <v>9548</v>
      </c>
      <c r="AM8" s="2939" t="s">
        <v>2819</v>
      </c>
      <c r="AN8" s="2939">
        <v>0</v>
      </c>
      <c r="AO8" s="2939" t="s">
        <v>3035</v>
      </c>
      <c r="AP8" s="2939" t="s">
        <v>2819</v>
      </c>
      <c r="AQ8" s="2939" t="s">
        <v>2819</v>
      </c>
      <c r="AR8" s="2939" t="s">
        <v>2819</v>
      </c>
    </row>
    <row r="9" spans="1:44" s="2939" customFormat="1">
      <c r="A9" s="2939" t="s">
        <v>3058</v>
      </c>
      <c r="B9" s="2939" t="s">
        <v>3019</v>
      </c>
      <c r="C9" s="2939" t="s">
        <v>3020</v>
      </c>
      <c r="D9" s="2939" t="s">
        <v>3021</v>
      </c>
      <c r="E9" s="2939" t="s">
        <v>2819</v>
      </c>
      <c r="F9" s="2939" t="s">
        <v>3050</v>
      </c>
      <c r="G9" s="2939" t="s">
        <v>3023</v>
      </c>
      <c r="H9" s="2939" t="s">
        <v>3059</v>
      </c>
      <c r="I9" s="2939" t="s">
        <v>3052</v>
      </c>
      <c r="J9" s="2939">
        <v>52998</v>
      </c>
      <c r="K9" s="2939">
        <v>144154.6</v>
      </c>
      <c r="L9" s="2939" t="s">
        <v>3060</v>
      </c>
      <c r="M9" s="2939" t="s">
        <v>2819</v>
      </c>
      <c r="N9" s="2939" t="s">
        <v>2819</v>
      </c>
      <c r="O9" s="2939" t="s">
        <v>2819</v>
      </c>
      <c r="P9" s="2939" t="s">
        <v>2819</v>
      </c>
      <c r="Q9" s="2939" t="s">
        <v>2819</v>
      </c>
      <c r="R9" s="2939" t="s">
        <v>2819</v>
      </c>
      <c r="S9" s="2939" t="s">
        <v>2819</v>
      </c>
      <c r="T9" s="2939" t="s">
        <v>2819</v>
      </c>
      <c r="U9" s="2939" t="s">
        <v>2819</v>
      </c>
      <c r="V9" s="2939" t="s">
        <v>2819</v>
      </c>
      <c r="W9" s="2939" t="s">
        <v>3028</v>
      </c>
      <c r="X9" s="2939" t="s">
        <v>3054</v>
      </c>
      <c r="Y9" s="2939" t="s">
        <v>3029</v>
      </c>
      <c r="Z9" s="2939" t="s">
        <v>3055</v>
      </c>
      <c r="AA9" s="2939" t="s">
        <v>3055</v>
      </c>
      <c r="AB9" s="2939" t="s">
        <v>3061</v>
      </c>
      <c r="AC9" s="2939" t="s">
        <v>3033</v>
      </c>
      <c r="AD9" s="2939" t="s">
        <v>3057</v>
      </c>
      <c r="AE9" s="2939">
        <v>20000</v>
      </c>
      <c r="AF9" s="2939">
        <v>40391</v>
      </c>
      <c r="AG9" s="2939">
        <v>40391</v>
      </c>
      <c r="AH9" s="2939">
        <v>508.08</v>
      </c>
      <c r="AI9" s="2939">
        <v>508.08</v>
      </c>
      <c r="AJ9" s="2939">
        <v>2801.92</v>
      </c>
      <c r="AK9" s="2939">
        <v>2801.92</v>
      </c>
      <c r="AL9" s="2939">
        <f t="shared" si="1"/>
        <v>7621</v>
      </c>
      <c r="AM9" s="2939" t="s">
        <v>2819</v>
      </c>
      <c r="AN9" s="2939">
        <v>0</v>
      </c>
      <c r="AO9" s="2939" t="s">
        <v>3035</v>
      </c>
      <c r="AP9" s="2939" t="s">
        <v>2819</v>
      </c>
      <c r="AQ9" s="2939" t="s">
        <v>2819</v>
      </c>
      <c r="AR9" s="2939" t="s">
        <v>2819</v>
      </c>
    </row>
    <row r="10" spans="1:44" s="2939" customFormat="1">
      <c r="A10" s="2939" t="s">
        <v>3062</v>
      </c>
      <c r="B10" s="2939" t="s">
        <v>3019</v>
      </c>
      <c r="C10" s="2939" t="s">
        <v>3020</v>
      </c>
      <c r="D10" s="2939" t="s">
        <v>3021</v>
      </c>
      <c r="E10" s="2939" t="s">
        <v>2819</v>
      </c>
      <c r="F10" s="2939" t="s">
        <v>3050</v>
      </c>
      <c r="G10" s="2939" t="s">
        <v>3023</v>
      </c>
      <c r="H10" s="2939" t="s">
        <v>3063</v>
      </c>
      <c r="I10" s="2939" t="s">
        <v>3052</v>
      </c>
      <c r="J10" s="2939">
        <v>66080</v>
      </c>
      <c r="K10" s="2939">
        <v>229958.39999999999</v>
      </c>
      <c r="L10" s="2939" t="s">
        <v>3064</v>
      </c>
      <c r="M10" s="2939" t="s">
        <v>2819</v>
      </c>
      <c r="N10" s="2939" t="s">
        <v>2819</v>
      </c>
      <c r="O10" s="2939" t="s">
        <v>2819</v>
      </c>
      <c r="P10" s="2939" t="s">
        <v>2819</v>
      </c>
      <c r="Q10" s="2939" t="s">
        <v>2819</v>
      </c>
      <c r="R10" s="2939" t="s">
        <v>2819</v>
      </c>
      <c r="S10" s="2939" t="s">
        <v>2819</v>
      </c>
      <c r="T10" s="2939" t="s">
        <v>2819</v>
      </c>
      <c r="U10" s="2939" t="s">
        <v>2819</v>
      </c>
      <c r="V10" s="2939" t="s">
        <v>2819</v>
      </c>
      <c r="W10" s="2939" t="s">
        <v>3028</v>
      </c>
      <c r="X10" s="2939" t="s">
        <v>3054</v>
      </c>
      <c r="Y10" s="2939" t="s">
        <v>3029</v>
      </c>
      <c r="Z10" s="2939" t="s">
        <v>3055</v>
      </c>
      <c r="AA10" s="2939" t="s">
        <v>3055</v>
      </c>
      <c r="AB10" s="2939" t="s">
        <v>3065</v>
      </c>
      <c r="AC10" s="2939" t="s">
        <v>3033</v>
      </c>
      <c r="AD10" s="2939" t="s">
        <v>3057</v>
      </c>
      <c r="AE10" s="2939">
        <v>31000</v>
      </c>
      <c r="AF10" s="2939">
        <v>63837</v>
      </c>
      <c r="AG10" s="2939">
        <v>63837</v>
      </c>
      <c r="AH10" s="2939">
        <v>644.04</v>
      </c>
      <c r="AI10" s="2939">
        <v>644.04</v>
      </c>
      <c r="AJ10" s="2939">
        <v>2776.02</v>
      </c>
      <c r="AK10" s="2939">
        <v>2776.01</v>
      </c>
      <c r="AL10" s="2939">
        <f t="shared" si="1"/>
        <v>9661</v>
      </c>
      <c r="AM10" s="2939" t="s">
        <v>2819</v>
      </c>
      <c r="AN10" s="2939">
        <v>0</v>
      </c>
      <c r="AO10" s="2939" t="s">
        <v>3035</v>
      </c>
      <c r="AP10" s="2939" t="s">
        <v>2819</v>
      </c>
      <c r="AQ10" s="2939" t="s">
        <v>2819</v>
      </c>
      <c r="AR10" s="2939" t="s">
        <v>2819</v>
      </c>
    </row>
    <row r="11" spans="1:44" s="2939" customFormat="1">
      <c r="A11" s="2939" t="s">
        <v>3066</v>
      </c>
      <c r="B11" s="2939" t="s">
        <v>3019</v>
      </c>
      <c r="C11" s="2939" t="s">
        <v>3020</v>
      </c>
      <c r="D11" s="2939" t="s">
        <v>3021</v>
      </c>
      <c r="E11" s="2939" t="s">
        <v>2819</v>
      </c>
      <c r="F11" s="2939" t="s">
        <v>3050</v>
      </c>
      <c r="G11" s="2939" t="s">
        <v>3023</v>
      </c>
      <c r="H11" s="2939" t="s">
        <v>3067</v>
      </c>
      <c r="I11" s="2939" t="s">
        <v>3052</v>
      </c>
      <c r="J11" s="2939">
        <v>75135</v>
      </c>
      <c r="K11" s="2939">
        <v>251702.3</v>
      </c>
      <c r="L11" s="2939" t="s">
        <v>3068</v>
      </c>
      <c r="M11" s="2939" t="s">
        <v>2819</v>
      </c>
      <c r="N11" s="2939" t="s">
        <v>2819</v>
      </c>
      <c r="O11" s="2939" t="s">
        <v>2819</v>
      </c>
      <c r="P11" s="2939" t="s">
        <v>2819</v>
      </c>
      <c r="Q11" s="2939" t="s">
        <v>2819</v>
      </c>
      <c r="R11" s="2939" t="s">
        <v>2819</v>
      </c>
      <c r="S11" s="2939" t="s">
        <v>2819</v>
      </c>
      <c r="T11" s="2939" t="s">
        <v>2819</v>
      </c>
      <c r="U11" s="2939" t="s">
        <v>2819</v>
      </c>
      <c r="V11" s="2939" t="s">
        <v>2819</v>
      </c>
      <c r="W11" s="2939" t="s">
        <v>3028</v>
      </c>
      <c r="X11" s="2939" t="s">
        <v>3054</v>
      </c>
      <c r="Y11" s="2939" t="s">
        <v>3029</v>
      </c>
      <c r="Z11" s="2939" t="s">
        <v>3055</v>
      </c>
      <c r="AA11" s="2939" t="s">
        <v>3055</v>
      </c>
      <c r="AB11" s="2939" t="s">
        <v>3069</v>
      </c>
      <c r="AC11" s="2939" t="s">
        <v>3033</v>
      </c>
      <c r="AD11" s="2939" t="s">
        <v>3057</v>
      </c>
      <c r="AE11" s="2939">
        <v>35000</v>
      </c>
      <c r="AF11" s="2939">
        <v>70560</v>
      </c>
      <c r="AG11" s="2939">
        <v>70560</v>
      </c>
      <c r="AH11" s="2939">
        <v>626.07000000000005</v>
      </c>
      <c r="AI11" s="2939">
        <v>626.07000000000005</v>
      </c>
      <c r="AJ11" s="2939">
        <v>2803.31</v>
      </c>
      <c r="AK11" s="2939">
        <v>2803.3</v>
      </c>
      <c r="AL11" s="2939">
        <f t="shared" si="1"/>
        <v>9391</v>
      </c>
      <c r="AM11" s="2939" t="s">
        <v>2819</v>
      </c>
      <c r="AN11" s="2939">
        <v>0</v>
      </c>
      <c r="AO11" s="2939" t="s">
        <v>3035</v>
      </c>
      <c r="AP11" s="2939" t="s">
        <v>2819</v>
      </c>
      <c r="AQ11" s="2939" t="s">
        <v>2819</v>
      </c>
      <c r="AR11" s="2939" t="s">
        <v>2819</v>
      </c>
    </row>
    <row r="12" spans="1:44" s="2939" customFormat="1">
      <c r="A12" s="2939" t="s">
        <v>3066</v>
      </c>
      <c r="B12" s="2939" t="s">
        <v>3019</v>
      </c>
      <c r="C12" s="2939" t="s">
        <v>3020</v>
      </c>
      <c r="D12" s="2939" t="s">
        <v>3021</v>
      </c>
      <c r="E12" s="2939" t="s">
        <v>2819</v>
      </c>
      <c r="F12" s="2939" t="s">
        <v>3050</v>
      </c>
      <c r="G12" s="2939" t="s">
        <v>3023</v>
      </c>
      <c r="H12" s="2939" t="s">
        <v>3070</v>
      </c>
      <c r="I12" s="2939" t="s">
        <v>3052</v>
      </c>
      <c r="J12" s="2939">
        <v>77005</v>
      </c>
      <c r="K12" s="2939">
        <v>241025.7</v>
      </c>
      <c r="L12" s="2939" t="s">
        <v>3071</v>
      </c>
      <c r="M12" s="2939" t="s">
        <v>2819</v>
      </c>
      <c r="N12" s="2939" t="s">
        <v>2819</v>
      </c>
      <c r="O12" s="2939" t="s">
        <v>2819</v>
      </c>
      <c r="P12" s="2939" t="s">
        <v>2819</v>
      </c>
      <c r="Q12" s="2939" t="s">
        <v>2819</v>
      </c>
      <c r="R12" s="2939" t="s">
        <v>2819</v>
      </c>
      <c r="S12" s="2939" t="s">
        <v>2819</v>
      </c>
      <c r="T12" s="2939" t="s">
        <v>2819</v>
      </c>
      <c r="U12" s="2939" t="s">
        <v>2819</v>
      </c>
      <c r="V12" s="2939" t="s">
        <v>2819</v>
      </c>
      <c r="W12" s="2939" t="s">
        <v>3028</v>
      </c>
      <c r="X12" s="2939" t="s">
        <v>3054</v>
      </c>
      <c r="Y12" s="2939" t="s">
        <v>3029</v>
      </c>
      <c r="Z12" s="2939" t="s">
        <v>3055</v>
      </c>
      <c r="AA12" s="2939" t="s">
        <v>3055</v>
      </c>
      <c r="AB12" s="2939" t="s">
        <v>3072</v>
      </c>
      <c r="AC12" s="2939" t="s">
        <v>3033</v>
      </c>
      <c r="AD12" s="2939" t="s">
        <v>3057</v>
      </c>
      <c r="AE12" s="2939">
        <v>35000</v>
      </c>
      <c r="AF12" s="2939">
        <v>70090</v>
      </c>
      <c r="AG12" s="2939">
        <v>70090</v>
      </c>
      <c r="AH12" s="2939">
        <v>606.79999999999995</v>
      </c>
      <c r="AI12" s="2939">
        <v>606.79999999999995</v>
      </c>
      <c r="AJ12" s="2939">
        <v>2907.98</v>
      </c>
      <c r="AK12" s="2939">
        <v>2907.98</v>
      </c>
      <c r="AL12" s="2939">
        <f t="shared" si="1"/>
        <v>9102</v>
      </c>
      <c r="AM12" s="2939" t="s">
        <v>2819</v>
      </c>
      <c r="AN12" s="2939">
        <v>0</v>
      </c>
      <c r="AO12" s="2939" t="s">
        <v>3035</v>
      </c>
      <c r="AP12" s="2939" t="s">
        <v>2819</v>
      </c>
      <c r="AQ12" s="2939" t="s">
        <v>2819</v>
      </c>
      <c r="AR12" s="2939" t="s">
        <v>2819</v>
      </c>
    </row>
    <row r="13" spans="1:44" s="2939" customFormat="1">
      <c r="A13" s="2939" t="s">
        <v>3073</v>
      </c>
      <c r="B13" s="2939" t="s">
        <v>3019</v>
      </c>
      <c r="C13" s="2939" t="s">
        <v>3020</v>
      </c>
      <c r="D13" s="2939" t="s">
        <v>3021</v>
      </c>
      <c r="E13" s="2939" t="s">
        <v>2819</v>
      </c>
      <c r="F13" s="2939" t="s">
        <v>3050</v>
      </c>
      <c r="G13" s="2939" t="s">
        <v>3023</v>
      </c>
      <c r="H13" s="2939" t="s">
        <v>3074</v>
      </c>
      <c r="I13" s="2939" t="s">
        <v>3052</v>
      </c>
      <c r="J13" s="2939">
        <v>77960</v>
      </c>
      <c r="K13" s="2939">
        <v>242455.6</v>
      </c>
      <c r="L13" s="2939" t="s">
        <v>3075</v>
      </c>
      <c r="M13" s="2939" t="s">
        <v>2819</v>
      </c>
      <c r="N13" s="2939" t="s">
        <v>2819</v>
      </c>
      <c r="O13" s="2939" t="s">
        <v>2819</v>
      </c>
      <c r="P13" s="2939" t="s">
        <v>2819</v>
      </c>
      <c r="Q13" s="2939" t="s">
        <v>2819</v>
      </c>
      <c r="R13" s="2939" t="s">
        <v>2819</v>
      </c>
      <c r="S13" s="2939" t="s">
        <v>2819</v>
      </c>
      <c r="T13" s="2939" t="s">
        <v>2819</v>
      </c>
      <c r="U13" s="2939" t="s">
        <v>2819</v>
      </c>
      <c r="V13" s="2939" t="s">
        <v>2819</v>
      </c>
      <c r="W13" s="2939" t="s">
        <v>3028</v>
      </c>
      <c r="X13" s="2939" t="s">
        <v>3054</v>
      </c>
      <c r="Y13" s="2939" t="s">
        <v>3029</v>
      </c>
      <c r="Z13" s="2939" t="s">
        <v>3055</v>
      </c>
      <c r="AA13" s="2939" t="s">
        <v>3055</v>
      </c>
      <c r="AB13" s="2939" t="s">
        <v>3076</v>
      </c>
      <c r="AC13" s="2939" t="s">
        <v>3033</v>
      </c>
      <c r="AD13" s="2939" t="s">
        <v>3057</v>
      </c>
      <c r="AE13" s="2939">
        <v>35000</v>
      </c>
      <c r="AF13" s="2939">
        <v>70544</v>
      </c>
      <c r="AG13" s="2939">
        <v>70544</v>
      </c>
      <c r="AH13" s="2939">
        <v>603.25</v>
      </c>
      <c r="AI13" s="2939">
        <v>603.25</v>
      </c>
      <c r="AJ13" s="2939">
        <v>2909.56</v>
      </c>
      <c r="AK13" s="2939">
        <v>2909.55</v>
      </c>
      <c r="AL13" s="2939">
        <f t="shared" si="1"/>
        <v>9049</v>
      </c>
      <c r="AM13" s="2939" t="s">
        <v>2819</v>
      </c>
      <c r="AN13" s="2939">
        <v>0</v>
      </c>
      <c r="AO13" s="2939" t="s">
        <v>3035</v>
      </c>
      <c r="AP13" s="2939" t="s">
        <v>2819</v>
      </c>
      <c r="AQ13" s="2939" t="s">
        <v>2819</v>
      </c>
      <c r="AR13" s="2939" t="s">
        <v>2819</v>
      </c>
    </row>
    <row r="14" spans="1:44" s="3177" customFormat="1">
      <c r="A14" s="3177" t="s">
        <v>3077</v>
      </c>
      <c r="B14" s="3177" t="s">
        <v>3019</v>
      </c>
      <c r="C14" s="3177" t="s">
        <v>3020</v>
      </c>
      <c r="D14" s="3177" t="s">
        <v>3021</v>
      </c>
      <c r="E14" s="3177" t="s">
        <v>2819</v>
      </c>
      <c r="F14" s="3177" t="s">
        <v>3077</v>
      </c>
      <c r="G14" s="3177" t="s">
        <v>3023</v>
      </c>
      <c r="H14" s="3177" t="s">
        <v>3078</v>
      </c>
      <c r="I14" s="3177" t="s">
        <v>3052</v>
      </c>
      <c r="J14" s="3177">
        <v>109522</v>
      </c>
      <c r="K14" s="3177">
        <v>317613.8</v>
      </c>
      <c r="L14" s="3177" t="s">
        <v>3079</v>
      </c>
      <c r="M14" s="3177" t="s">
        <v>2819</v>
      </c>
      <c r="N14" s="3177" t="s">
        <v>2819</v>
      </c>
      <c r="O14" s="3177" t="s">
        <v>2819</v>
      </c>
      <c r="P14" s="3177" t="s">
        <v>2819</v>
      </c>
      <c r="Q14" s="3177" t="s">
        <v>2819</v>
      </c>
      <c r="R14" s="3177" t="s">
        <v>2819</v>
      </c>
      <c r="S14" s="3177" t="s">
        <v>2819</v>
      </c>
      <c r="T14" s="3177" t="s">
        <v>3080</v>
      </c>
      <c r="U14" s="3177" t="s">
        <v>2819</v>
      </c>
      <c r="V14" s="3177" t="s">
        <v>2819</v>
      </c>
      <c r="W14" s="3177" t="s">
        <v>3081</v>
      </c>
      <c r="X14" s="3177" t="s">
        <v>3082</v>
      </c>
      <c r="Y14" s="3177" t="s">
        <v>3083</v>
      </c>
      <c r="Z14" s="3177" t="s">
        <v>3084</v>
      </c>
      <c r="AA14" s="3177" t="s">
        <v>3084</v>
      </c>
      <c r="AB14" s="3177" t="s">
        <v>3085</v>
      </c>
      <c r="AC14" s="3177" t="s">
        <v>3033</v>
      </c>
      <c r="AD14" s="3177" t="s">
        <v>3086</v>
      </c>
      <c r="AE14" s="3177">
        <v>41000</v>
      </c>
      <c r="AF14" s="3177">
        <v>102000</v>
      </c>
      <c r="AG14" s="3177">
        <v>142000</v>
      </c>
      <c r="AH14" s="3177">
        <v>620.88</v>
      </c>
      <c r="AI14" s="3177">
        <v>864.36</v>
      </c>
      <c r="AJ14" s="3177">
        <v>3211.44</v>
      </c>
      <c r="AK14" s="3177">
        <v>4470.84</v>
      </c>
      <c r="AL14" s="2939">
        <f t="shared" si="1"/>
        <v>12965</v>
      </c>
      <c r="AM14" s="3177" t="s">
        <v>2819</v>
      </c>
      <c r="AN14" s="3177">
        <v>39.22</v>
      </c>
      <c r="AO14" s="3177" t="s">
        <v>3035</v>
      </c>
      <c r="AP14" s="3177" t="s">
        <v>2819</v>
      </c>
      <c r="AQ14" s="3177" t="s">
        <v>2819</v>
      </c>
      <c r="AR14" s="3177" t="s">
        <v>2819</v>
      </c>
    </row>
    <row r="15" spans="1:44" s="3177" customFormat="1">
      <c r="A15" s="3177" t="s">
        <v>3087</v>
      </c>
      <c r="B15" s="3177" t="s">
        <v>3019</v>
      </c>
      <c r="C15" s="3177" t="s">
        <v>3020</v>
      </c>
      <c r="D15" s="3177" t="s">
        <v>3021</v>
      </c>
      <c r="E15" s="3177" t="s">
        <v>2819</v>
      </c>
      <c r="F15" s="3177" t="s">
        <v>3087</v>
      </c>
      <c r="G15" s="3177" t="s">
        <v>3023</v>
      </c>
      <c r="H15" s="3177" t="s">
        <v>3088</v>
      </c>
      <c r="I15" s="3177" t="s">
        <v>3052</v>
      </c>
      <c r="J15" s="3177">
        <v>46814</v>
      </c>
      <c r="K15" s="3177">
        <v>121716.4</v>
      </c>
      <c r="L15" s="3177" t="s">
        <v>3089</v>
      </c>
      <c r="M15" s="3177" t="s">
        <v>2819</v>
      </c>
      <c r="N15" s="3177" t="s">
        <v>2819</v>
      </c>
      <c r="O15" s="3177" t="s">
        <v>2819</v>
      </c>
      <c r="P15" s="3177" t="s">
        <v>2819</v>
      </c>
      <c r="Q15" s="3177" t="s">
        <v>2819</v>
      </c>
      <c r="R15" s="3177" t="s">
        <v>2819</v>
      </c>
      <c r="S15" s="3177" t="s">
        <v>2819</v>
      </c>
      <c r="T15" s="3177" t="s">
        <v>3080</v>
      </c>
      <c r="U15" s="3177" t="s">
        <v>2819</v>
      </c>
      <c r="V15" s="3177" t="s">
        <v>2819</v>
      </c>
      <c r="W15" s="3177" t="s">
        <v>3081</v>
      </c>
      <c r="X15" s="3177" t="s">
        <v>3082</v>
      </c>
      <c r="Y15" s="3177" t="s">
        <v>3083</v>
      </c>
      <c r="Z15" s="3177" t="s">
        <v>3084</v>
      </c>
      <c r="AA15" s="3177" t="s">
        <v>3084</v>
      </c>
      <c r="AB15" s="3177" t="s">
        <v>3090</v>
      </c>
      <c r="AC15" s="3177" t="s">
        <v>3033</v>
      </c>
      <c r="AD15" s="3177" t="s">
        <v>3091</v>
      </c>
      <c r="AE15" s="3177">
        <v>35000</v>
      </c>
      <c r="AF15" s="3177">
        <v>87800</v>
      </c>
      <c r="AG15" s="3177">
        <v>87800</v>
      </c>
      <c r="AH15" s="3177">
        <v>1250.3399999999999</v>
      </c>
      <c r="AI15" s="3177">
        <v>1250.3399999999999</v>
      </c>
      <c r="AJ15" s="3177">
        <v>7213.48</v>
      </c>
      <c r="AK15" s="3177">
        <v>7213.48</v>
      </c>
      <c r="AL15" s="2939">
        <f t="shared" si="1"/>
        <v>18755</v>
      </c>
      <c r="AM15" s="3177" t="s">
        <v>2819</v>
      </c>
      <c r="AN15" s="3177">
        <v>0</v>
      </c>
      <c r="AO15" s="3177" t="s">
        <v>3035</v>
      </c>
      <c r="AP15" s="3177" t="s">
        <v>2819</v>
      </c>
      <c r="AQ15" s="3177" t="s">
        <v>2819</v>
      </c>
      <c r="AR15" s="3177" t="s">
        <v>2819</v>
      </c>
    </row>
    <row r="16" spans="1:44" s="3177" customFormat="1">
      <c r="A16" s="3177" t="s">
        <v>3092</v>
      </c>
      <c r="B16" s="3177" t="s">
        <v>3019</v>
      </c>
      <c r="C16" s="3177" t="s">
        <v>3020</v>
      </c>
      <c r="D16" s="3177" t="s">
        <v>3021</v>
      </c>
      <c r="E16" s="3177" t="s">
        <v>2819</v>
      </c>
      <c r="F16" s="3177" t="s">
        <v>3092</v>
      </c>
      <c r="G16" s="3177" t="s">
        <v>3023</v>
      </c>
      <c r="H16" s="3177" t="s">
        <v>3093</v>
      </c>
      <c r="I16" s="3177" t="s">
        <v>3052</v>
      </c>
      <c r="J16" s="3177">
        <v>105645</v>
      </c>
      <c r="K16" s="3177">
        <v>232419</v>
      </c>
      <c r="L16" s="3177" t="s">
        <v>3094</v>
      </c>
      <c r="M16" s="3177" t="s">
        <v>2819</v>
      </c>
      <c r="N16" s="3177" t="s">
        <v>2819</v>
      </c>
      <c r="O16" s="3177" t="s">
        <v>2819</v>
      </c>
      <c r="P16" s="3177" t="s">
        <v>2819</v>
      </c>
      <c r="Q16" s="3177" t="s">
        <v>2819</v>
      </c>
      <c r="R16" s="3177" t="s">
        <v>2819</v>
      </c>
      <c r="S16" s="3177" t="s">
        <v>2819</v>
      </c>
      <c r="T16" s="3177" t="s">
        <v>3080</v>
      </c>
      <c r="U16" s="3177" t="s">
        <v>2819</v>
      </c>
      <c r="V16" s="3177" t="s">
        <v>2819</v>
      </c>
      <c r="W16" s="3177" t="s">
        <v>3081</v>
      </c>
      <c r="X16" s="3177" t="s">
        <v>3082</v>
      </c>
      <c r="Y16" s="3177" t="s">
        <v>3083</v>
      </c>
      <c r="Z16" s="3177" t="s">
        <v>3084</v>
      </c>
      <c r="AA16" s="3177" t="s">
        <v>3084</v>
      </c>
      <c r="AB16" s="3177" t="s">
        <v>3095</v>
      </c>
      <c r="AC16" s="3177" t="s">
        <v>3033</v>
      </c>
      <c r="AD16" s="3177" t="s">
        <v>3096</v>
      </c>
      <c r="AE16" s="3177">
        <v>49000</v>
      </c>
      <c r="AF16" s="3177">
        <v>121000</v>
      </c>
      <c r="AG16" s="3177">
        <v>201663.2</v>
      </c>
      <c r="AH16" s="3177">
        <v>763.56</v>
      </c>
      <c r="AI16" s="3177">
        <v>1272.58</v>
      </c>
      <c r="AJ16" s="3177">
        <v>5206.1099999999997</v>
      </c>
      <c r="AK16" s="3177">
        <v>8676.7000000000007</v>
      </c>
      <c r="AL16" s="2939">
        <f t="shared" si="1"/>
        <v>19089</v>
      </c>
      <c r="AM16" s="3177" t="s">
        <v>2819</v>
      </c>
      <c r="AN16" s="3177">
        <v>66.66</v>
      </c>
      <c r="AO16" s="3177" t="s">
        <v>3035</v>
      </c>
      <c r="AP16" s="3177" t="s">
        <v>2819</v>
      </c>
      <c r="AQ16" s="3177" t="s">
        <v>2819</v>
      </c>
      <c r="AR16" s="3177" t="s">
        <v>2819</v>
      </c>
    </row>
    <row r="17" spans="1:44" s="3177" customFormat="1">
      <c r="A17" s="3177" t="s">
        <v>3097</v>
      </c>
      <c r="B17" s="3177" t="s">
        <v>3019</v>
      </c>
      <c r="C17" s="3177" t="s">
        <v>3020</v>
      </c>
      <c r="D17" s="3177" t="s">
        <v>3021</v>
      </c>
      <c r="E17" s="3177" t="s">
        <v>2819</v>
      </c>
      <c r="F17" s="3177" t="s">
        <v>3097</v>
      </c>
      <c r="G17" s="3177" t="s">
        <v>3023</v>
      </c>
      <c r="H17" s="3177" t="s">
        <v>3098</v>
      </c>
      <c r="I17" s="3177" t="s">
        <v>3052</v>
      </c>
      <c r="J17" s="3177">
        <v>53608</v>
      </c>
      <c r="K17" s="3177">
        <v>139380.79999999999</v>
      </c>
      <c r="L17" s="3177" t="s">
        <v>3089</v>
      </c>
      <c r="M17" s="3177" t="s">
        <v>2819</v>
      </c>
      <c r="N17" s="3177" t="s">
        <v>2819</v>
      </c>
      <c r="O17" s="3177" t="s">
        <v>2819</v>
      </c>
      <c r="P17" s="3177" t="s">
        <v>2819</v>
      </c>
      <c r="Q17" s="3177" t="s">
        <v>2819</v>
      </c>
      <c r="R17" s="3177" t="s">
        <v>2819</v>
      </c>
      <c r="S17" s="3177" t="s">
        <v>2819</v>
      </c>
      <c r="T17" s="3177" t="s">
        <v>3080</v>
      </c>
      <c r="U17" s="3177" t="s">
        <v>2819</v>
      </c>
      <c r="V17" s="3177" t="s">
        <v>2819</v>
      </c>
      <c r="W17" s="3177" t="s">
        <v>3081</v>
      </c>
      <c r="X17" s="3177" t="s">
        <v>3082</v>
      </c>
      <c r="Y17" s="3177" t="s">
        <v>3083</v>
      </c>
      <c r="Z17" s="3177" t="s">
        <v>3084</v>
      </c>
      <c r="AA17" s="3177" t="s">
        <v>3084</v>
      </c>
      <c r="AB17" s="3177" t="s">
        <v>3099</v>
      </c>
      <c r="AC17" s="3177" t="s">
        <v>3033</v>
      </c>
      <c r="AD17" s="3177" t="s">
        <v>3091</v>
      </c>
      <c r="AE17" s="3177">
        <v>40000</v>
      </c>
      <c r="AF17" s="3177">
        <v>100500</v>
      </c>
      <c r="AG17" s="3177">
        <v>100500</v>
      </c>
      <c r="AH17" s="3177">
        <v>1249.81</v>
      </c>
      <c r="AI17" s="3177">
        <v>1249.81</v>
      </c>
      <c r="AJ17" s="3177">
        <v>7210.46</v>
      </c>
      <c r="AK17" s="3177">
        <v>7210.46</v>
      </c>
      <c r="AL17" s="2939">
        <f t="shared" si="1"/>
        <v>18747</v>
      </c>
      <c r="AM17" s="3177" t="s">
        <v>2819</v>
      </c>
      <c r="AN17" s="3177">
        <v>0</v>
      </c>
      <c r="AO17" s="3177" t="s">
        <v>3035</v>
      </c>
      <c r="AP17" s="3177" t="s">
        <v>2819</v>
      </c>
      <c r="AQ17" s="3177" t="s">
        <v>2819</v>
      </c>
      <c r="AR17" s="3177" t="s">
        <v>2819</v>
      </c>
    </row>
    <row r="18" spans="1:44" s="3177" customFormat="1">
      <c r="A18" s="3177" t="s">
        <v>3100</v>
      </c>
      <c r="B18" s="3177" t="s">
        <v>3019</v>
      </c>
      <c r="C18" s="3177" t="s">
        <v>3020</v>
      </c>
      <c r="D18" s="3177" t="s">
        <v>3021</v>
      </c>
      <c r="E18" s="3177" t="s">
        <v>2819</v>
      </c>
      <c r="F18" s="3177" t="s">
        <v>3100</v>
      </c>
      <c r="G18" s="3177" t="s">
        <v>3023</v>
      </c>
      <c r="H18" s="3177" t="s">
        <v>3101</v>
      </c>
      <c r="I18" s="3177" t="s">
        <v>3052</v>
      </c>
      <c r="J18" s="3177">
        <v>37259</v>
      </c>
      <c r="K18" s="3177">
        <v>89421.6</v>
      </c>
      <c r="L18" s="3177" t="s">
        <v>3102</v>
      </c>
      <c r="M18" s="3177" t="s">
        <v>2819</v>
      </c>
      <c r="N18" s="3177" t="s">
        <v>2819</v>
      </c>
      <c r="O18" s="3177" t="s">
        <v>2819</v>
      </c>
      <c r="P18" s="3177" t="s">
        <v>2819</v>
      </c>
      <c r="Q18" s="3177" t="s">
        <v>2819</v>
      </c>
      <c r="R18" s="3177" t="s">
        <v>2819</v>
      </c>
      <c r="S18" s="3177" t="s">
        <v>2819</v>
      </c>
      <c r="T18" s="3177" t="s">
        <v>3080</v>
      </c>
      <c r="U18" s="3177" t="s">
        <v>2819</v>
      </c>
      <c r="V18" s="3177" t="s">
        <v>2819</v>
      </c>
      <c r="W18" s="3177" t="s">
        <v>3081</v>
      </c>
      <c r="X18" s="3177" t="s">
        <v>3082</v>
      </c>
      <c r="Y18" s="3177" t="s">
        <v>3083</v>
      </c>
      <c r="Z18" s="3177" t="s">
        <v>3084</v>
      </c>
      <c r="AA18" s="3177" t="s">
        <v>3084</v>
      </c>
      <c r="AB18" s="3177" t="s">
        <v>3103</v>
      </c>
      <c r="AC18" s="3177" t="s">
        <v>3033</v>
      </c>
      <c r="AD18" s="3177" t="s">
        <v>3091</v>
      </c>
      <c r="AE18" s="3177">
        <v>26000</v>
      </c>
      <c r="AF18" s="3177">
        <v>65000</v>
      </c>
      <c r="AG18" s="3177">
        <v>65000</v>
      </c>
      <c r="AH18" s="3177">
        <v>1163.03</v>
      </c>
      <c r="AI18" s="3177">
        <v>1163.03</v>
      </c>
      <c r="AJ18" s="3177">
        <v>7268.93</v>
      </c>
      <c r="AK18" s="3177">
        <v>7268.93</v>
      </c>
      <c r="AL18" s="2939">
        <f t="shared" si="1"/>
        <v>17445</v>
      </c>
      <c r="AM18" s="3177" t="s">
        <v>2819</v>
      </c>
      <c r="AN18" s="3177">
        <v>0</v>
      </c>
      <c r="AO18" s="3177" t="s">
        <v>3035</v>
      </c>
      <c r="AP18" s="3177" t="s">
        <v>2819</v>
      </c>
      <c r="AQ18" s="3177" t="s">
        <v>2819</v>
      </c>
      <c r="AR18" s="3177" t="s">
        <v>2819</v>
      </c>
    </row>
    <row r="19" spans="1:44" s="3177" customFormat="1">
      <c r="A19" s="3177" t="s">
        <v>3104</v>
      </c>
      <c r="B19" s="3177" t="s">
        <v>3019</v>
      </c>
      <c r="C19" s="3177" t="s">
        <v>3020</v>
      </c>
      <c r="D19" s="3177" t="s">
        <v>3021</v>
      </c>
      <c r="E19" s="3177" t="s">
        <v>2819</v>
      </c>
      <c r="F19" s="3177" t="s">
        <v>3104</v>
      </c>
      <c r="G19" s="3177" t="s">
        <v>3023</v>
      </c>
      <c r="H19" s="3177" t="s">
        <v>3105</v>
      </c>
      <c r="I19" s="3177" t="s">
        <v>3052</v>
      </c>
      <c r="J19" s="3177">
        <v>22480</v>
      </c>
      <c r="K19" s="3177">
        <v>53952</v>
      </c>
      <c r="L19" s="3177" t="s">
        <v>3102</v>
      </c>
      <c r="M19" s="3177" t="s">
        <v>2819</v>
      </c>
      <c r="N19" s="3177" t="s">
        <v>2819</v>
      </c>
      <c r="O19" s="3177" t="s">
        <v>2819</v>
      </c>
      <c r="P19" s="3177" t="s">
        <v>2819</v>
      </c>
      <c r="Q19" s="3177" t="s">
        <v>2819</v>
      </c>
      <c r="R19" s="3177" t="s">
        <v>2819</v>
      </c>
      <c r="S19" s="3177" t="s">
        <v>2819</v>
      </c>
      <c r="T19" s="3177" t="s">
        <v>3080</v>
      </c>
      <c r="U19" s="3177" t="s">
        <v>2819</v>
      </c>
      <c r="V19" s="3177" t="s">
        <v>2819</v>
      </c>
      <c r="W19" s="3177" t="s">
        <v>3081</v>
      </c>
      <c r="X19" s="3177" t="s">
        <v>3082</v>
      </c>
      <c r="Y19" s="3177" t="s">
        <v>3083</v>
      </c>
      <c r="Z19" s="3177" t="s">
        <v>3084</v>
      </c>
      <c r="AA19" s="3177" t="s">
        <v>3084</v>
      </c>
      <c r="AB19" s="3177" t="s">
        <v>3106</v>
      </c>
      <c r="AC19" s="3177" t="s">
        <v>3033</v>
      </c>
      <c r="AD19" s="3177" t="s">
        <v>3091</v>
      </c>
      <c r="AE19" s="3177">
        <v>16000</v>
      </c>
      <c r="AF19" s="3177">
        <v>38900</v>
      </c>
      <c r="AG19" s="3177">
        <v>38900</v>
      </c>
      <c r="AH19" s="3177">
        <v>1153.6199999999999</v>
      </c>
      <c r="AI19" s="3177">
        <v>1153.6199999999999</v>
      </c>
      <c r="AJ19" s="3177">
        <v>7210.11</v>
      </c>
      <c r="AK19" s="3177">
        <v>7210.1</v>
      </c>
      <c r="AL19" s="2939">
        <f t="shared" si="1"/>
        <v>17304</v>
      </c>
      <c r="AM19" s="3177" t="s">
        <v>2819</v>
      </c>
      <c r="AN19" s="3177">
        <v>0</v>
      </c>
      <c r="AO19" s="3177" t="s">
        <v>3035</v>
      </c>
      <c r="AP19" s="3177" t="s">
        <v>2819</v>
      </c>
      <c r="AQ19" s="3177" t="s">
        <v>2819</v>
      </c>
      <c r="AR19" s="3177" t="s">
        <v>2819</v>
      </c>
    </row>
    <row r="20" spans="1:44" s="3178" customFormat="1">
      <c r="A20" s="3178" t="s">
        <v>3107</v>
      </c>
      <c r="B20" s="3178" t="s">
        <v>3019</v>
      </c>
      <c r="C20" s="3178" t="s">
        <v>3020</v>
      </c>
      <c r="D20" s="3178" t="s">
        <v>3021</v>
      </c>
      <c r="E20" s="3178" t="s">
        <v>2819</v>
      </c>
      <c r="F20" s="3178" t="s">
        <v>3107</v>
      </c>
      <c r="G20" s="3178" t="s">
        <v>3023</v>
      </c>
      <c r="H20" s="3178" t="s">
        <v>3108</v>
      </c>
      <c r="I20" s="3178" t="s">
        <v>3052</v>
      </c>
      <c r="J20" s="3178">
        <v>51597</v>
      </c>
      <c r="K20" s="3178">
        <v>130024.4</v>
      </c>
      <c r="L20" s="3178" t="s">
        <v>3109</v>
      </c>
      <c r="M20" s="3178" t="s">
        <v>2819</v>
      </c>
      <c r="N20" s="3178" t="s">
        <v>3110</v>
      </c>
      <c r="O20" s="3178" t="s">
        <v>2819</v>
      </c>
      <c r="P20" s="3178" t="s">
        <v>2819</v>
      </c>
      <c r="Q20" s="3178" t="s">
        <v>2819</v>
      </c>
      <c r="R20" s="3178" t="s">
        <v>2819</v>
      </c>
      <c r="S20" s="3178" t="s">
        <v>2819</v>
      </c>
      <c r="T20" s="3178" t="s">
        <v>3080</v>
      </c>
      <c r="U20" s="3178" t="s">
        <v>2819</v>
      </c>
      <c r="V20" s="3178" t="s">
        <v>2819</v>
      </c>
      <c r="W20" s="3178" t="s">
        <v>3081</v>
      </c>
      <c r="X20" s="3178" t="s">
        <v>3111</v>
      </c>
      <c r="Y20" s="3178" t="s">
        <v>3112</v>
      </c>
      <c r="Z20" s="3178" t="s">
        <v>3113</v>
      </c>
      <c r="AA20" s="3178" t="s">
        <v>3113</v>
      </c>
      <c r="AB20" s="3178" t="s">
        <v>3114</v>
      </c>
      <c r="AC20" s="3178" t="s">
        <v>3033</v>
      </c>
      <c r="AD20" s="3178" t="s">
        <v>3115</v>
      </c>
      <c r="AE20" s="3178">
        <v>28000</v>
      </c>
      <c r="AF20" s="3178">
        <v>92875</v>
      </c>
      <c r="AG20" s="3178">
        <v>97234.11</v>
      </c>
      <c r="AH20" s="3178">
        <v>1200.01</v>
      </c>
      <c r="AI20" s="3178">
        <v>1256.33</v>
      </c>
      <c r="AJ20" s="3178">
        <v>7142.89</v>
      </c>
      <c r="AK20" s="3178">
        <v>7478.14</v>
      </c>
      <c r="AL20" s="3178">
        <f t="shared" si="1"/>
        <v>18845</v>
      </c>
      <c r="AM20" s="3178" t="s">
        <v>2819</v>
      </c>
      <c r="AN20" s="3178">
        <v>4.6900000000000004</v>
      </c>
      <c r="AO20" s="3178" t="s">
        <v>3035</v>
      </c>
      <c r="AP20" s="3178" t="s">
        <v>2819</v>
      </c>
      <c r="AQ20" s="3178" t="s">
        <v>2819</v>
      </c>
      <c r="AR20" s="3178" t="s">
        <v>2819</v>
      </c>
    </row>
    <row r="21" spans="1:44" s="3178" customFormat="1">
      <c r="A21" s="3178" t="s">
        <v>3116</v>
      </c>
      <c r="B21" s="3178" t="s">
        <v>3019</v>
      </c>
      <c r="C21" s="3178" t="s">
        <v>3020</v>
      </c>
      <c r="D21" s="3178" t="s">
        <v>3021</v>
      </c>
      <c r="E21" s="3178" t="s">
        <v>2819</v>
      </c>
      <c r="F21" s="3178" t="s">
        <v>3116</v>
      </c>
      <c r="G21" s="3178" t="s">
        <v>3023</v>
      </c>
      <c r="H21" s="3178" t="s">
        <v>3117</v>
      </c>
      <c r="I21" s="3178" t="s">
        <v>3052</v>
      </c>
      <c r="J21" s="3178">
        <v>29473</v>
      </c>
      <c r="K21" s="3178">
        <v>35957.06</v>
      </c>
      <c r="L21" s="3178" t="s">
        <v>3118</v>
      </c>
      <c r="M21" s="3178" t="s">
        <v>2819</v>
      </c>
      <c r="N21" s="3178" t="s">
        <v>3119</v>
      </c>
      <c r="O21" s="3178" t="s">
        <v>2819</v>
      </c>
      <c r="P21" s="3178" t="s">
        <v>3120</v>
      </c>
      <c r="Q21" s="3178" t="s">
        <v>2819</v>
      </c>
      <c r="R21" s="3178">
        <v>3200</v>
      </c>
      <c r="S21" s="3178" t="s">
        <v>2819</v>
      </c>
      <c r="T21" s="3178" t="s">
        <v>3080</v>
      </c>
      <c r="U21" s="3178" t="s">
        <v>3121</v>
      </c>
      <c r="V21" s="3178" t="s">
        <v>2819</v>
      </c>
      <c r="W21" s="3178" t="s">
        <v>3081</v>
      </c>
      <c r="X21" s="3178" t="s">
        <v>3111</v>
      </c>
      <c r="Y21" s="3178" t="s">
        <v>3112</v>
      </c>
      <c r="Z21" s="3178" t="s">
        <v>3113</v>
      </c>
      <c r="AA21" s="3178" t="s">
        <v>3113</v>
      </c>
      <c r="AB21" s="3178" t="s">
        <v>3122</v>
      </c>
      <c r="AC21" s="3178" t="s">
        <v>3033</v>
      </c>
      <c r="AD21" s="3178" t="s">
        <v>3115</v>
      </c>
      <c r="AE21" s="3178">
        <v>10000</v>
      </c>
      <c r="AF21" s="3178">
        <v>33157</v>
      </c>
      <c r="AG21" s="3178">
        <v>51800</v>
      </c>
      <c r="AH21" s="3178">
        <v>750</v>
      </c>
      <c r="AI21" s="3178">
        <v>1171.69</v>
      </c>
      <c r="AJ21" s="3178">
        <v>9221.27</v>
      </c>
      <c r="AK21" s="3178">
        <v>14406.06</v>
      </c>
      <c r="AL21" s="3178">
        <f t="shared" si="1"/>
        <v>17575</v>
      </c>
      <c r="AM21" s="3178">
        <v>15813</v>
      </c>
      <c r="AN21" s="3178">
        <v>56.23</v>
      </c>
      <c r="AO21" s="3178" t="s">
        <v>3035</v>
      </c>
      <c r="AP21" s="3178" t="s">
        <v>2819</v>
      </c>
      <c r="AQ21" s="3178" t="s">
        <v>2819</v>
      </c>
      <c r="AR21" s="3178" t="s">
        <v>2819</v>
      </c>
    </row>
    <row r="22" spans="1:44" s="3178" customFormat="1">
      <c r="A22" s="3178" t="s">
        <v>3123</v>
      </c>
      <c r="B22" s="3178" t="s">
        <v>3019</v>
      </c>
      <c r="C22" s="3178" t="s">
        <v>3020</v>
      </c>
      <c r="D22" s="3178" t="s">
        <v>3021</v>
      </c>
      <c r="E22" s="3178" t="s">
        <v>2819</v>
      </c>
      <c r="F22" s="3178" t="s">
        <v>3123</v>
      </c>
      <c r="G22" s="3178" t="s">
        <v>3023</v>
      </c>
      <c r="H22" s="3178" t="s">
        <v>3124</v>
      </c>
      <c r="I22" s="3178" t="s">
        <v>3052</v>
      </c>
      <c r="J22" s="3178">
        <v>57785</v>
      </c>
      <c r="K22" s="3178">
        <v>200514</v>
      </c>
      <c r="L22" s="3178" t="s">
        <v>3125</v>
      </c>
      <c r="M22" s="3178" t="s">
        <v>2819</v>
      </c>
      <c r="N22" s="3178" t="s">
        <v>3126</v>
      </c>
      <c r="O22" s="3178" t="s">
        <v>2819</v>
      </c>
      <c r="P22" s="3178" t="s">
        <v>2819</v>
      </c>
      <c r="Q22" s="3178" t="s">
        <v>2819</v>
      </c>
      <c r="R22" s="3178" t="s">
        <v>2819</v>
      </c>
      <c r="S22" s="3178" t="s">
        <v>2819</v>
      </c>
      <c r="T22" s="3178" t="s">
        <v>3080</v>
      </c>
      <c r="U22" s="3178" t="s">
        <v>2819</v>
      </c>
      <c r="V22" s="3178" t="s">
        <v>2819</v>
      </c>
      <c r="W22" s="3178" t="s">
        <v>3081</v>
      </c>
      <c r="X22" s="3178" t="s">
        <v>3111</v>
      </c>
      <c r="Y22" s="3178" t="s">
        <v>3112</v>
      </c>
      <c r="Z22" s="3178" t="s">
        <v>3113</v>
      </c>
      <c r="AA22" s="3178" t="s">
        <v>3113</v>
      </c>
      <c r="AB22" s="3178" t="s">
        <v>3127</v>
      </c>
      <c r="AC22" s="3178" t="s">
        <v>3033</v>
      </c>
      <c r="AD22" s="3178" t="s">
        <v>3128</v>
      </c>
      <c r="AE22" s="3178">
        <v>33000</v>
      </c>
      <c r="AF22" s="3178">
        <v>108347</v>
      </c>
      <c r="AG22" s="3178">
        <v>110996.1</v>
      </c>
      <c r="AH22" s="3178">
        <v>1250</v>
      </c>
      <c r="AI22" s="3178">
        <v>1280.56</v>
      </c>
      <c r="AJ22" s="3178">
        <v>5403.46</v>
      </c>
      <c r="AK22" s="3178">
        <v>5535.57</v>
      </c>
      <c r="AL22" s="3179">
        <f t="shared" si="1"/>
        <v>19208</v>
      </c>
      <c r="AM22" s="3178" t="s">
        <v>2819</v>
      </c>
      <c r="AN22" s="3178">
        <v>2.4500000000000002</v>
      </c>
      <c r="AO22" s="3178" t="s">
        <v>3035</v>
      </c>
      <c r="AP22" s="3178" t="s">
        <v>2819</v>
      </c>
      <c r="AQ22" s="3178" t="s">
        <v>2819</v>
      </c>
      <c r="AR22" s="3178" t="s">
        <v>2819</v>
      </c>
    </row>
    <row r="23" spans="1:44" s="3178" customFormat="1">
      <c r="A23" s="3178" t="s">
        <v>3129</v>
      </c>
      <c r="B23" s="3178" t="s">
        <v>3019</v>
      </c>
      <c r="C23" s="3178" t="s">
        <v>3020</v>
      </c>
      <c r="D23" s="3178" t="s">
        <v>3021</v>
      </c>
      <c r="E23" s="3178" t="s">
        <v>2819</v>
      </c>
      <c r="F23" s="3178" t="s">
        <v>3129</v>
      </c>
      <c r="G23" s="3178" t="s">
        <v>3023</v>
      </c>
      <c r="H23" s="3178" t="s">
        <v>3130</v>
      </c>
      <c r="I23" s="3178" t="s">
        <v>3052</v>
      </c>
      <c r="J23" s="3178">
        <v>40843</v>
      </c>
      <c r="K23" s="3178">
        <v>84136.58</v>
      </c>
      <c r="L23" s="3178" t="s">
        <v>3131</v>
      </c>
      <c r="M23" s="3178" t="s">
        <v>2819</v>
      </c>
      <c r="N23" s="3178" t="s">
        <v>3132</v>
      </c>
      <c r="O23" s="3178" t="s">
        <v>2819</v>
      </c>
      <c r="P23" s="3178" t="s">
        <v>2819</v>
      </c>
      <c r="Q23" s="3178" t="s">
        <v>2819</v>
      </c>
      <c r="R23" s="3178" t="s">
        <v>2819</v>
      </c>
      <c r="S23" s="3178" t="s">
        <v>2819</v>
      </c>
      <c r="T23" s="3178" t="s">
        <v>3080</v>
      </c>
      <c r="U23" s="3178" t="s">
        <v>2819</v>
      </c>
      <c r="V23" s="3178" t="s">
        <v>2819</v>
      </c>
      <c r="W23" s="3178" t="s">
        <v>3081</v>
      </c>
      <c r="X23" s="3178" t="s">
        <v>3111</v>
      </c>
      <c r="Y23" s="3178" t="s">
        <v>3112</v>
      </c>
      <c r="Z23" s="3178" t="s">
        <v>3113</v>
      </c>
      <c r="AA23" s="3178" t="s">
        <v>3113</v>
      </c>
      <c r="AB23" s="3178" t="s">
        <v>3133</v>
      </c>
      <c r="AC23" s="3178" t="s">
        <v>3033</v>
      </c>
      <c r="AD23" s="3178" t="s">
        <v>3115</v>
      </c>
      <c r="AE23" s="3178">
        <v>21000</v>
      </c>
      <c r="AF23" s="3178">
        <v>67207</v>
      </c>
      <c r="AG23" s="3178">
        <v>68305.22</v>
      </c>
      <c r="AH23" s="3178">
        <v>1097</v>
      </c>
      <c r="AI23" s="3178">
        <v>1114.92</v>
      </c>
      <c r="AJ23" s="3178">
        <v>7987.84</v>
      </c>
      <c r="AK23" s="3178">
        <v>8118.36</v>
      </c>
      <c r="AL23" s="3178">
        <f t="shared" si="1"/>
        <v>16724</v>
      </c>
      <c r="AM23" s="3178" t="s">
        <v>2819</v>
      </c>
      <c r="AN23" s="3178">
        <v>1.63</v>
      </c>
      <c r="AO23" s="3178" t="s">
        <v>3035</v>
      </c>
      <c r="AP23" s="3178" t="s">
        <v>2819</v>
      </c>
      <c r="AQ23" s="3178" t="s">
        <v>2819</v>
      </c>
      <c r="AR23" s="3178" t="s">
        <v>2819</v>
      </c>
    </row>
    <row r="24" spans="1:44" s="3178" customFormat="1">
      <c r="A24" s="3178" t="s">
        <v>3134</v>
      </c>
      <c r="B24" s="3178" t="s">
        <v>3019</v>
      </c>
      <c r="C24" s="3178" t="s">
        <v>3020</v>
      </c>
      <c r="D24" s="3178" t="s">
        <v>3021</v>
      </c>
      <c r="E24" s="3178" t="s">
        <v>2819</v>
      </c>
      <c r="F24" s="3178" t="s">
        <v>3134</v>
      </c>
      <c r="G24" s="3178" t="s">
        <v>3023</v>
      </c>
      <c r="H24" s="3178" t="s">
        <v>3135</v>
      </c>
      <c r="I24" s="3178" t="s">
        <v>3052</v>
      </c>
      <c r="J24" s="3178">
        <v>84949</v>
      </c>
      <c r="K24" s="3178">
        <v>196232.2</v>
      </c>
      <c r="L24" s="3178" t="s">
        <v>3136</v>
      </c>
      <c r="M24" s="3178" t="s">
        <v>2819</v>
      </c>
      <c r="N24" s="3178" t="s">
        <v>3137</v>
      </c>
      <c r="O24" s="3178" t="s">
        <v>2819</v>
      </c>
      <c r="P24" s="3178" t="s">
        <v>2819</v>
      </c>
      <c r="Q24" s="3178" t="s">
        <v>2819</v>
      </c>
      <c r="R24" s="3178" t="s">
        <v>2819</v>
      </c>
      <c r="S24" s="3178" t="s">
        <v>2819</v>
      </c>
      <c r="T24" s="3178" t="s">
        <v>3080</v>
      </c>
      <c r="U24" s="3178" t="s">
        <v>2819</v>
      </c>
      <c r="V24" s="3178" t="s">
        <v>2819</v>
      </c>
      <c r="W24" s="3178" t="s">
        <v>3081</v>
      </c>
      <c r="X24" s="3178" t="s">
        <v>3111</v>
      </c>
      <c r="Y24" s="3178" t="s">
        <v>3112</v>
      </c>
      <c r="Z24" s="3178" t="s">
        <v>3113</v>
      </c>
      <c r="AA24" s="3178" t="s">
        <v>3113</v>
      </c>
      <c r="AB24" s="3178" t="s">
        <v>3138</v>
      </c>
      <c r="AC24" s="3178" t="s">
        <v>3033</v>
      </c>
      <c r="AD24" s="3178" t="s">
        <v>3115</v>
      </c>
      <c r="AE24" s="3178">
        <v>46000</v>
      </c>
      <c r="AF24" s="3178">
        <v>152908</v>
      </c>
      <c r="AG24" s="3178">
        <v>168000</v>
      </c>
      <c r="AH24" s="3178">
        <v>1200</v>
      </c>
      <c r="AI24" s="3178">
        <v>1318.44</v>
      </c>
      <c r="AJ24" s="3178">
        <v>7792.19</v>
      </c>
      <c r="AK24" s="3178">
        <v>8561.2900000000009</v>
      </c>
      <c r="AL24" s="3178">
        <f t="shared" si="1"/>
        <v>19777</v>
      </c>
      <c r="AM24" s="3178" t="s">
        <v>2819</v>
      </c>
      <c r="AN24" s="3178">
        <v>9.8699999999999992</v>
      </c>
      <c r="AO24" s="3178" t="s">
        <v>3035</v>
      </c>
      <c r="AP24" s="3178" t="s">
        <v>2819</v>
      </c>
      <c r="AQ24" s="3178" t="s">
        <v>2819</v>
      </c>
      <c r="AR24" s="3178" t="s">
        <v>2819</v>
      </c>
    </row>
    <row r="25" spans="1:44" s="3178" customFormat="1">
      <c r="A25" s="3178" t="s">
        <v>3139</v>
      </c>
      <c r="B25" s="3178" t="s">
        <v>3019</v>
      </c>
      <c r="C25" s="3178" t="s">
        <v>3020</v>
      </c>
      <c r="D25" s="3178" t="s">
        <v>3021</v>
      </c>
      <c r="E25" s="3178" t="s">
        <v>2819</v>
      </c>
      <c r="F25" s="3178" t="s">
        <v>3139</v>
      </c>
      <c r="G25" s="3178" t="s">
        <v>3023</v>
      </c>
      <c r="H25" s="3178" t="s">
        <v>3140</v>
      </c>
      <c r="I25" s="3178" t="s">
        <v>3052</v>
      </c>
      <c r="J25" s="3178">
        <v>64214</v>
      </c>
      <c r="K25" s="3178">
        <v>114300.9</v>
      </c>
      <c r="L25" s="3178" t="s">
        <v>3141</v>
      </c>
      <c r="M25" s="3178" t="s">
        <v>2819</v>
      </c>
      <c r="N25" s="3178" t="s">
        <v>3142</v>
      </c>
      <c r="O25" s="3178" t="s">
        <v>2819</v>
      </c>
      <c r="P25" s="3178" t="s">
        <v>2819</v>
      </c>
      <c r="Q25" s="3178" t="s">
        <v>2819</v>
      </c>
      <c r="R25" s="3178" t="s">
        <v>2819</v>
      </c>
      <c r="S25" s="3178" t="s">
        <v>2819</v>
      </c>
      <c r="T25" s="3178" t="s">
        <v>3080</v>
      </c>
      <c r="U25" s="3178" t="s">
        <v>2819</v>
      </c>
      <c r="V25" s="3178" t="s">
        <v>2819</v>
      </c>
      <c r="W25" s="3178" t="s">
        <v>3081</v>
      </c>
      <c r="X25" s="3178" t="s">
        <v>3111</v>
      </c>
      <c r="Y25" s="3178" t="s">
        <v>3112</v>
      </c>
      <c r="Z25" s="3178" t="s">
        <v>3113</v>
      </c>
      <c r="AA25" s="3178" t="s">
        <v>3113</v>
      </c>
      <c r="AB25" s="3178" t="s">
        <v>3143</v>
      </c>
      <c r="AC25" s="3178" t="s">
        <v>3033</v>
      </c>
      <c r="AD25" s="3178" t="s">
        <v>3144</v>
      </c>
      <c r="AE25" s="3178">
        <v>28000</v>
      </c>
      <c r="AF25" s="3178">
        <v>91505</v>
      </c>
      <c r="AG25" s="3178">
        <v>134600</v>
      </c>
      <c r="AH25" s="3178">
        <v>950</v>
      </c>
      <c r="AI25" s="3178">
        <v>1397.41</v>
      </c>
      <c r="AJ25" s="3178">
        <v>8005.62</v>
      </c>
      <c r="AK25" s="3178">
        <v>11775.94</v>
      </c>
      <c r="AL25" s="3178">
        <f t="shared" si="1"/>
        <v>20961</v>
      </c>
      <c r="AM25" s="3178" t="s">
        <v>2819</v>
      </c>
      <c r="AN25" s="3178">
        <v>47.1</v>
      </c>
      <c r="AO25" s="3178" t="s">
        <v>3035</v>
      </c>
      <c r="AP25" s="3178" t="s">
        <v>2819</v>
      </c>
      <c r="AQ25" s="3178" t="s">
        <v>2819</v>
      </c>
      <c r="AR25" s="3178" t="s">
        <v>2819</v>
      </c>
    </row>
    <row r="26" spans="1:44" s="3178" customFormat="1">
      <c r="A26" s="3178" t="s">
        <v>3145</v>
      </c>
      <c r="B26" s="3178" t="s">
        <v>3019</v>
      </c>
      <c r="C26" s="3178" t="s">
        <v>3020</v>
      </c>
      <c r="D26" s="3178" t="s">
        <v>3021</v>
      </c>
      <c r="E26" s="3178" t="s">
        <v>2819</v>
      </c>
      <c r="F26" s="3178" t="s">
        <v>3145</v>
      </c>
      <c r="G26" s="3178" t="s">
        <v>3023</v>
      </c>
      <c r="H26" s="3178" t="s">
        <v>3146</v>
      </c>
      <c r="I26" s="3178" t="s">
        <v>3052</v>
      </c>
      <c r="J26" s="3178">
        <v>46541</v>
      </c>
      <c r="K26" s="3178">
        <v>100528.6</v>
      </c>
      <c r="L26" s="3178" t="s">
        <v>3147</v>
      </c>
      <c r="M26" s="3178" t="s">
        <v>2819</v>
      </c>
      <c r="N26" s="3178" t="s">
        <v>3148</v>
      </c>
      <c r="O26" s="3178" t="s">
        <v>2819</v>
      </c>
      <c r="P26" s="3178" t="s">
        <v>2819</v>
      </c>
      <c r="Q26" s="3178" t="s">
        <v>2819</v>
      </c>
      <c r="R26" s="3178" t="s">
        <v>2819</v>
      </c>
      <c r="S26" s="3178" t="s">
        <v>2819</v>
      </c>
      <c r="T26" s="3178" t="s">
        <v>3080</v>
      </c>
      <c r="U26" s="3178" t="s">
        <v>2819</v>
      </c>
      <c r="V26" s="3178" t="s">
        <v>2819</v>
      </c>
      <c r="W26" s="3178" t="s">
        <v>3081</v>
      </c>
      <c r="X26" s="3178" t="s">
        <v>3111</v>
      </c>
      <c r="Y26" s="3178" t="s">
        <v>3112</v>
      </c>
      <c r="Z26" s="3178" t="s">
        <v>3113</v>
      </c>
      <c r="AA26" s="3178" t="s">
        <v>3113</v>
      </c>
      <c r="AB26" s="3178" t="s">
        <v>3149</v>
      </c>
      <c r="AC26" s="3178" t="s">
        <v>3033</v>
      </c>
      <c r="AD26" s="3178" t="s">
        <v>3115</v>
      </c>
      <c r="AE26" s="3178">
        <v>25000</v>
      </c>
      <c r="AF26" s="3178">
        <v>80283</v>
      </c>
      <c r="AG26" s="3178">
        <v>81594.77</v>
      </c>
      <c r="AH26" s="3178">
        <v>1150</v>
      </c>
      <c r="AI26" s="3178">
        <v>1168.79</v>
      </c>
      <c r="AJ26" s="3178">
        <v>7986.08</v>
      </c>
      <c r="AK26" s="3178">
        <v>8116.56</v>
      </c>
      <c r="AL26" s="3178">
        <f t="shared" si="1"/>
        <v>17532</v>
      </c>
      <c r="AM26" s="3178" t="s">
        <v>2819</v>
      </c>
      <c r="AN26" s="3178">
        <v>1.63</v>
      </c>
      <c r="AO26" s="3178" t="s">
        <v>3035</v>
      </c>
      <c r="AP26" s="3178" t="s">
        <v>2819</v>
      </c>
      <c r="AQ26" s="3178" t="s">
        <v>2819</v>
      </c>
      <c r="AR26" s="3178" t="s">
        <v>2819</v>
      </c>
    </row>
    <row r="27" spans="1:44" s="3178" customFormat="1">
      <c r="A27" s="3178" t="s">
        <v>3150</v>
      </c>
      <c r="B27" s="3178" t="s">
        <v>3019</v>
      </c>
      <c r="C27" s="3178" t="s">
        <v>3020</v>
      </c>
      <c r="D27" s="3178" t="s">
        <v>3021</v>
      </c>
      <c r="E27" s="3178" t="s">
        <v>2819</v>
      </c>
      <c r="F27" s="3178" t="s">
        <v>3150</v>
      </c>
      <c r="G27" s="3178" t="s">
        <v>3023</v>
      </c>
      <c r="H27" s="3178" t="s">
        <v>3151</v>
      </c>
      <c r="I27" s="3178" t="s">
        <v>3052</v>
      </c>
      <c r="J27" s="3178">
        <v>23013</v>
      </c>
      <c r="K27" s="3178">
        <v>72951.210000000006</v>
      </c>
      <c r="L27" s="3178" t="s">
        <v>3152</v>
      </c>
      <c r="M27" s="3178" t="s">
        <v>2819</v>
      </c>
      <c r="N27" s="3178" t="s">
        <v>3153</v>
      </c>
      <c r="O27" s="3178" t="s">
        <v>2819</v>
      </c>
      <c r="P27" s="3178" t="s">
        <v>2819</v>
      </c>
      <c r="Q27" s="3178" t="s">
        <v>2819</v>
      </c>
      <c r="R27" s="3178" t="s">
        <v>2819</v>
      </c>
      <c r="S27" s="3178" t="s">
        <v>2819</v>
      </c>
      <c r="T27" s="3178" t="s">
        <v>3080</v>
      </c>
      <c r="U27" s="3178" t="s">
        <v>2819</v>
      </c>
      <c r="V27" s="3178" t="s">
        <v>2819</v>
      </c>
      <c r="W27" s="3178" t="s">
        <v>3081</v>
      </c>
      <c r="X27" s="3178" t="s">
        <v>3111</v>
      </c>
      <c r="Y27" s="3178" t="s">
        <v>3112</v>
      </c>
      <c r="Z27" s="3178" t="s">
        <v>3113</v>
      </c>
      <c r="AA27" s="3178" t="s">
        <v>3113</v>
      </c>
      <c r="AB27" s="3178" t="s">
        <v>3154</v>
      </c>
      <c r="AC27" s="3178" t="s">
        <v>3033</v>
      </c>
      <c r="AD27" s="3178" t="s">
        <v>3128</v>
      </c>
      <c r="AE27" s="3178">
        <v>13000</v>
      </c>
      <c r="AF27" s="3178">
        <v>43149</v>
      </c>
      <c r="AG27" s="3178">
        <v>44203.9</v>
      </c>
      <c r="AH27" s="3178">
        <v>1249.99</v>
      </c>
      <c r="AI27" s="3178">
        <v>1280.55</v>
      </c>
      <c r="AJ27" s="3178">
        <v>5914.77</v>
      </c>
      <c r="AK27" s="3178">
        <v>6059.38</v>
      </c>
      <c r="AL27" s="3179">
        <f t="shared" si="1"/>
        <v>19208</v>
      </c>
      <c r="AM27" s="3178" t="s">
        <v>2819</v>
      </c>
      <c r="AN27" s="3178">
        <v>2.44</v>
      </c>
      <c r="AO27" s="3178" t="s">
        <v>3035</v>
      </c>
      <c r="AP27" s="3178" t="s">
        <v>2819</v>
      </c>
      <c r="AQ27" s="3178" t="s">
        <v>2819</v>
      </c>
      <c r="AR27" s="3178" t="s">
        <v>2819</v>
      </c>
    </row>
    <row r="28" spans="1:44" s="3177" customFormat="1">
      <c r="A28" s="3177" t="s">
        <v>3155</v>
      </c>
      <c r="B28" s="3177" t="s">
        <v>3019</v>
      </c>
      <c r="C28" s="3177" t="s">
        <v>3020</v>
      </c>
      <c r="D28" s="3177" t="s">
        <v>3021</v>
      </c>
      <c r="E28" s="3177" t="s">
        <v>2819</v>
      </c>
      <c r="F28" s="3177" t="s">
        <v>3155</v>
      </c>
      <c r="G28" s="3177" t="s">
        <v>3023</v>
      </c>
      <c r="H28" s="3177" t="s">
        <v>3156</v>
      </c>
      <c r="I28" s="3177" t="s">
        <v>3052</v>
      </c>
      <c r="J28" s="3177">
        <v>23191</v>
      </c>
      <c r="K28" s="3177">
        <v>88125.8</v>
      </c>
      <c r="L28" s="3177" t="s">
        <v>3157</v>
      </c>
      <c r="M28" s="3177" t="s">
        <v>2819</v>
      </c>
      <c r="N28" s="3177" t="s">
        <v>3119</v>
      </c>
      <c r="O28" s="3177" t="s">
        <v>2819</v>
      </c>
      <c r="P28" s="3177" t="s">
        <v>2819</v>
      </c>
      <c r="Q28" s="3177" t="s">
        <v>2819</v>
      </c>
      <c r="R28" s="3177" t="s">
        <v>2819</v>
      </c>
      <c r="S28" s="3177" t="s">
        <v>2819</v>
      </c>
      <c r="T28" s="3177" t="s">
        <v>3080</v>
      </c>
      <c r="U28" s="3177" t="s">
        <v>2819</v>
      </c>
      <c r="V28" s="3177" t="s">
        <v>2819</v>
      </c>
      <c r="W28" s="3177" t="s">
        <v>3081</v>
      </c>
      <c r="X28" s="3177" t="s">
        <v>3111</v>
      </c>
      <c r="Y28" s="3177" t="s">
        <v>3112</v>
      </c>
      <c r="Z28" s="3177" t="s">
        <v>3113</v>
      </c>
      <c r="AA28" s="3177" t="s">
        <v>3113</v>
      </c>
      <c r="AB28" s="3177" t="s">
        <v>3158</v>
      </c>
      <c r="AC28" s="3177" t="s">
        <v>3033</v>
      </c>
      <c r="AD28" s="3177" t="s">
        <v>3159</v>
      </c>
      <c r="AE28" s="3177">
        <v>20000</v>
      </c>
      <c r="AF28" s="3177">
        <v>48000</v>
      </c>
      <c r="AG28" s="3177">
        <v>88854.58</v>
      </c>
      <c r="AH28" s="3177">
        <v>1379.85</v>
      </c>
      <c r="AI28" s="3177">
        <v>2554.2800000000002</v>
      </c>
      <c r="AJ28" s="3177">
        <v>5446.75</v>
      </c>
      <c r="AK28" s="3177">
        <v>10082.700000000001</v>
      </c>
      <c r="AL28" s="2939">
        <f t="shared" si="1"/>
        <v>38314</v>
      </c>
      <c r="AM28" s="3177" t="s">
        <v>2819</v>
      </c>
      <c r="AN28" s="3177">
        <v>85.11</v>
      </c>
      <c r="AO28" s="3177" t="s">
        <v>3035</v>
      </c>
      <c r="AP28" s="3177" t="s">
        <v>2819</v>
      </c>
      <c r="AQ28" s="3177" t="s">
        <v>2819</v>
      </c>
      <c r="AR28" s="3177" t="s">
        <v>2819</v>
      </c>
    </row>
    <row r="29" spans="1:44" s="3178" customFormat="1">
      <c r="A29" s="3178" t="s">
        <v>3160</v>
      </c>
      <c r="B29" s="3178" t="s">
        <v>3019</v>
      </c>
      <c r="C29" s="3178" t="s">
        <v>3020</v>
      </c>
      <c r="D29" s="3178" t="s">
        <v>3021</v>
      </c>
      <c r="E29" s="3178" t="s">
        <v>2819</v>
      </c>
      <c r="F29" s="3178" t="s">
        <v>3160</v>
      </c>
      <c r="G29" s="3178" t="s">
        <v>3023</v>
      </c>
      <c r="H29" s="3178" t="s">
        <v>3161</v>
      </c>
      <c r="I29" s="3178" t="s">
        <v>3052</v>
      </c>
      <c r="J29" s="3178">
        <v>51614</v>
      </c>
      <c r="K29" s="3178">
        <v>130067.3</v>
      </c>
      <c r="L29" s="3178" t="s">
        <v>3109</v>
      </c>
      <c r="M29" s="3178" t="s">
        <v>2819</v>
      </c>
      <c r="N29" s="3178" t="s">
        <v>3110</v>
      </c>
      <c r="O29" s="3178" t="s">
        <v>2819</v>
      </c>
      <c r="P29" s="3178" t="s">
        <v>2819</v>
      </c>
      <c r="Q29" s="3178" t="s">
        <v>2819</v>
      </c>
      <c r="R29" s="3178" t="s">
        <v>2819</v>
      </c>
      <c r="S29" s="3178" t="s">
        <v>2819</v>
      </c>
      <c r="T29" s="3178" t="s">
        <v>3080</v>
      </c>
      <c r="U29" s="3178" t="s">
        <v>2819</v>
      </c>
      <c r="V29" s="3178" t="s">
        <v>2819</v>
      </c>
      <c r="W29" s="3178" t="s">
        <v>3081</v>
      </c>
      <c r="X29" s="3178" t="s">
        <v>3111</v>
      </c>
      <c r="Y29" s="3178" t="s">
        <v>3112</v>
      </c>
      <c r="Z29" s="3178" t="s">
        <v>3113</v>
      </c>
      <c r="AA29" s="3178" t="s">
        <v>3113</v>
      </c>
      <c r="AB29" s="3178" t="s">
        <v>3162</v>
      </c>
      <c r="AC29" s="3178" t="s">
        <v>3033</v>
      </c>
      <c r="AD29" s="3178" t="s">
        <v>3115</v>
      </c>
      <c r="AE29" s="3178">
        <v>28000</v>
      </c>
      <c r="AF29" s="3178">
        <v>92905</v>
      </c>
      <c r="AG29" s="3178">
        <v>97265.88</v>
      </c>
      <c r="AH29" s="3178">
        <v>1200</v>
      </c>
      <c r="AI29" s="3178">
        <v>1256.32</v>
      </c>
      <c r="AJ29" s="3178">
        <v>7142.84</v>
      </c>
      <c r="AK29" s="3178">
        <v>7478.11</v>
      </c>
      <c r="AL29" s="3178">
        <f t="shared" si="1"/>
        <v>18845</v>
      </c>
      <c r="AM29" s="3178" t="s">
        <v>2819</v>
      </c>
      <c r="AN29" s="3178">
        <v>4.6900000000000004</v>
      </c>
      <c r="AO29" s="3178" t="s">
        <v>3035</v>
      </c>
      <c r="AP29" s="3178" t="s">
        <v>2819</v>
      </c>
      <c r="AQ29" s="3178" t="s">
        <v>2819</v>
      </c>
      <c r="AR29" s="3178" t="s">
        <v>2819</v>
      </c>
    </row>
    <row r="30" spans="1:44" s="3178" customFormat="1">
      <c r="A30" s="3178" t="s">
        <v>3163</v>
      </c>
      <c r="B30" s="3178" t="s">
        <v>3019</v>
      </c>
      <c r="C30" s="3178" t="s">
        <v>3020</v>
      </c>
      <c r="D30" s="3178" t="s">
        <v>3021</v>
      </c>
      <c r="E30" s="3178" t="s">
        <v>2819</v>
      </c>
      <c r="F30" s="3178" t="s">
        <v>3163</v>
      </c>
      <c r="G30" s="3178" t="s">
        <v>3023</v>
      </c>
      <c r="H30" s="3178" t="s">
        <v>3164</v>
      </c>
      <c r="I30" s="3178" t="s">
        <v>3052</v>
      </c>
      <c r="J30" s="3178">
        <v>104341</v>
      </c>
      <c r="K30" s="3178">
        <v>164858.79999999999</v>
      </c>
      <c r="L30" s="3178" t="s">
        <v>3165</v>
      </c>
      <c r="M30" s="3178" t="s">
        <v>2819</v>
      </c>
      <c r="N30" s="3178" t="s">
        <v>3166</v>
      </c>
      <c r="O30" s="3178" t="s">
        <v>2819</v>
      </c>
      <c r="P30" s="3178" t="s">
        <v>2819</v>
      </c>
      <c r="Q30" s="3178" t="s">
        <v>2819</v>
      </c>
      <c r="R30" s="3178" t="s">
        <v>2819</v>
      </c>
      <c r="S30" s="3178" t="s">
        <v>2819</v>
      </c>
      <c r="T30" s="3178" t="s">
        <v>3080</v>
      </c>
      <c r="U30" s="3178" t="s">
        <v>2819</v>
      </c>
      <c r="V30" s="3178" t="s">
        <v>2819</v>
      </c>
      <c r="W30" s="3178" t="s">
        <v>3081</v>
      </c>
      <c r="X30" s="3178" t="s">
        <v>3111</v>
      </c>
      <c r="Y30" s="3178" t="s">
        <v>3112</v>
      </c>
      <c r="Z30" s="3178" t="s">
        <v>3113</v>
      </c>
      <c r="AA30" s="3178" t="s">
        <v>3113</v>
      </c>
      <c r="AB30" s="3178" t="s">
        <v>3167</v>
      </c>
      <c r="AC30" s="3178" t="s">
        <v>3033</v>
      </c>
      <c r="AD30" s="3178" t="s">
        <v>3115</v>
      </c>
      <c r="AE30" s="3178">
        <v>42000</v>
      </c>
      <c r="AF30" s="3178">
        <v>137730</v>
      </c>
      <c r="AG30" s="3178">
        <v>203400</v>
      </c>
      <c r="AH30" s="3178">
        <v>880</v>
      </c>
      <c r="AI30" s="3178">
        <v>1299.5899999999999</v>
      </c>
      <c r="AJ30" s="3178">
        <v>8354.42</v>
      </c>
      <c r="AK30" s="3178">
        <v>12337.82</v>
      </c>
      <c r="AL30" s="3178">
        <f t="shared" si="1"/>
        <v>19494</v>
      </c>
      <c r="AM30" s="3178" t="s">
        <v>2819</v>
      </c>
      <c r="AN30" s="3178">
        <v>47.68</v>
      </c>
      <c r="AO30" s="3178" t="s">
        <v>3035</v>
      </c>
      <c r="AP30" s="3178" t="s">
        <v>2819</v>
      </c>
      <c r="AQ30" s="3178" t="s">
        <v>2819</v>
      </c>
      <c r="AR30" s="3178" t="s">
        <v>2819</v>
      </c>
    </row>
    <row r="31" spans="1:44" s="3178" customFormat="1">
      <c r="A31" s="3178" t="s">
        <v>3168</v>
      </c>
      <c r="B31" s="3178" t="s">
        <v>3019</v>
      </c>
      <c r="C31" s="3178" t="s">
        <v>3020</v>
      </c>
      <c r="D31" s="3178" t="s">
        <v>3021</v>
      </c>
      <c r="E31" s="3178" t="s">
        <v>2819</v>
      </c>
      <c r="F31" s="3178" t="s">
        <v>3168</v>
      </c>
      <c r="G31" s="3178" t="s">
        <v>3023</v>
      </c>
      <c r="H31" s="3178" t="s">
        <v>3169</v>
      </c>
      <c r="I31" s="3178" t="s">
        <v>3052</v>
      </c>
      <c r="J31" s="3178">
        <v>110494</v>
      </c>
      <c r="K31" s="3178">
        <v>277339.90000000002</v>
      </c>
      <c r="L31" s="3178" t="s">
        <v>3170</v>
      </c>
      <c r="M31" s="3178" t="s">
        <v>2819</v>
      </c>
      <c r="N31" s="3178" t="s">
        <v>3171</v>
      </c>
      <c r="O31" s="3178" t="s">
        <v>2819</v>
      </c>
      <c r="P31" s="3178" t="s">
        <v>2819</v>
      </c>
      <c r="Q31" s="3178" t="s">
        <v>2819</v>
      </c>
      <c r="R31" s="3178" t="s">
        <v>2819</v>
      </c>
      <c r="S31" s="3178" t="s">
        <v>2819</v>
      </c>
      <c r="T31" s="3178" t="s">
        <v>3080</v>
      </c>
      <c r="U31" s="3178" t="s">
        <v>2819</v>
      </c>
      <c r="V31" s="3178" t="s">
        <v>2819</v>
      </c>
      <c r="W31" s="3178" t="s">
        <v>3081</v>
      </c>
      <c r="X31" s="3178" t="s">
        <v>3111</v>
      </c>
      <c r="Y31" s="3178" t="s">
        <v>3112</v>
      </c>
      <c r="Z31" s="3178" t="s">
        <v>3113</v>
      </c>
      <c r="AA31" s="3178" t="s">
        <v>3113</v>
      </c>
      <c r="AB31" s="3178" t="s">
        <v>3172</v>
      </c>
      <c r="AC31" s="3178" t="s">
        <v>3033</v>
      </c>
      <c r="AD31" s="3178" t="s">
        <v>3115</v>
      </c>
      <c r="AE31" s="3178">
        <v>63000</v>
      </c>
      <c r="AF31" s="3178">
        <v>207176</v>
      </c>
      <c r="AG31" s="3178">
        <v>210000</v>
      </c>
      <c r="AH31" s="3178">
        <v>1250</v>
      </c>
      <c r="AI31" s="3178">
        <v>1267.04</v>
      </c>
      <c r="AJ31" s="3178">
        <v>7470.11</v>
      </c>
      <c r="AK31" s="3178">
        <v>7571.93</v>
      </c>
      <c r="AL31" s="3178">
        <f t="shared" si="1"/>
        <v>19006</v>
      </c>
      <c r="AM31" s="3178" t="s">
        <v>2819</v>
      </c>
      <c r="AN31" s="3178">
        <v>1.36</v>
      </c>
      <c r="AO31" s="3178" t="s">
        <v>3035</v>
      </c>
      <c r="AP31" s="3178" t="s">
        <v>2819</v>
      </c>
      <c r="AQ31" s="3178" t="s">
        <v>2819</v>
      </c>
      <c r="AR31" s="3178" t="s">
        <v>2819</v>
      </c>
    </row>
    <row r="32" spans="1:44" s="2939" customFormat="1">
      <c r="A32" s="2939" t="s">
        <v>3173</v>
      </c>
      <c r="B32" s="2939" t="s">
        <v>3019</v>
      </c>
      <c r="C32" s="2939" t="s">
        <v>3020</v>
      </c>
      <c r="D32" s="2939" t="s">
        <v>3021</v>
      </c>
      <c r="E32" s="2939" t="s">
        <v>2819</v>
      </c>
      <c r="F32" s="2939" t="s">
        <v>3173</v>
      </c>
      <c r="G32" s="2939" t="s">
        <v>3023</v>
      </c>
      <c r="H32" s="2939" t="s">
        <v>3174</v>
      </c>
      <c r="I32" s="2939" t="s">
        <v>3052</v>
      </c>
      <c r="J32" s="2939">
        <v>55333</v>
      </c>
      <c r="K32" s="2939">
        <v>71932.899999999994</v>
      </c>
      <c r="L32" s="2939" t="s">
        <v>3175</v>
      </c>
      <c r="M32" s="2939" t="s">
        <v>2819</v>
      </c>
      <c r="N32" s="2939" t="s">
        <v>3119</v>
      </c>
      <c r="O32" s="2939" t="s">
        <v>2819</v>
      </c>
      <c r="P32" s="2939" t="s">
        <v>2819</v>
      </c>
      <c r="Q32" s="2939" t="s">
        <v>2819</v>
      </c>
      <c r="R32" s="2939" t="s">
        <v>2819</v>
      </c>
      <c r="S32" s="2939" t="s">
        <v>2819</v>
      </c>
      <c r="T32" s="2939" t="s">
        <v>2819</v>
      </c>
      <c r="U32" s="2939" t="s">
        <v>2819</v>
      </c>
      <c r="V32" s="2939" t="s">
        <v>2819</v>
      </c>
      <c r="W32" s="2939" t="s">
        <v>3081</v>
      </c>
      <c r="X32" s="2939" t="s">
        <v>3176</v>
      </c>
      <c r="Y32" s="2939" t="s">
        <v>3177</v>
      </c>
      <c r="Z32" s="2939" t="s">
        <v>3178</v>
      </c>
      <c r="AA32" s="2939" t="s">
        <v>3178</v>
      </c>
      <c r="AB32" s="2939" t="s">
        <v>3179</v>
      </c>
      <c r="AC32" s="2939" t="s">
        <v>3033</v>
      </c>
      <c r="AD32" s="2939" t="s">
        <v>3180</v>
      </c>
      <c r="AE32" s="2939">
        <v>38000</v>
      </c>
      <c r="AF32" s="2939">
        <v>94000</v>
      </c>
      <c r="AG32" s="2939">
        <v>94000</v>
      </c>
      <c r="AH32" s="2939">
        <v>1132.54</v>
      </c>
      <c r="AI32" s="2939">
        <v>1132.54</v>
      </c>
      <c r="AJ32" s="2939">
        <v>13067.73</v>
      </c>
      <c r="AK32" s="2939">
        <v>13067.72</v>
      </c>
      <c r="AL32" s="2939">
        <f t="shared" si="1"/>
        <v>16988</v>
      </c>
      <c r="AM32" s="2939" t="s">
        <v>2819</v>
      </c>
      <c r="AN32" s="2939">
        <v>0</v>
      </c>
      <c r="AO32" s="2939" t="s">
        <v>3035</v>
      </c>
      <c r="AP32" s="2939" t="s">
        <v>2819</v>
      </c>
      <c r="AQ32" s="2939" t="s">
        <v>2819</v>
      </c>
      <c r="AR32" s="2939" t="s">
        <v>2819</v>
      </c>
    </row>
    <row r="33" spans="1:44" s="2939" customFormat="1">
      <c r="A33" s="2939" t="s">
        <v>3173</v>
      </c>
      <c r="B33" s="2939" t="s">
        <v>3019</v>
      </c>
      <c r="C33" s="2939" t="s">
        <v>3020</v>
      </c>
      <c r="D33" s="2939" t="s">
        <v>3021</v>
      </c>
      <c r="E33" s="2939" t="s">
        <v>2819</v>
      </c>
      <c r="F33" s="2939" t="s">
        <v>3173</v>
      </c>
      <c r="G33" s="2939" t="s">
        <v>3023</v>
      </c>
      <c r="H33" s="2939" t="s">
        <v>3181</v>
      </c>
      <c r="I33" s="2939" t="s">
        <v>3052</v>
      </c>
      <c r="J33" s="2939">
        <v>15265</v>
      </c>
      <c r="K33" s="2939">
        <v>27477</v>
      </c>
      <c r="L33" s="2939" t="s">
        <v>3182</v>
      </c>
      <c r="M33" s="2939" t="s">
        <v>2819</v>
      </c>
      <c r="N33" s="2939" t="s">
        <v>3119</v>
      </c>
      <c r="O33" s="2939" t="s">
        <v>2819</v>
      </c>
      <c r="P33" s="2939" t="s">
        <v>3120</v>
      </c>
      <c r="Q33" s="2939" t="s">
        <v>2819</v>
      </c>
      <c r="R33" s="2939">
        <v>6900</v>
      </c>
      <c r="S33" s="2939" t="s">
        <v>2819</v>
      </c>
      <c r="T33" s="2939" t="s">
        <v>2819</v>
      </c>
      <c r="U33" s="2939" t="s">
        <v>2819</v>
      </c>
      <c r="V33" s="2939" t="s">
        <v>2819</v>
      </c>
      <c r="W33" s="2939" t="s">
        <v>3081</v>
      </c>
      <c r="X33" s="2939" t="s">
        <v>3176</v>
      </c>
      <c r="Y33" s="2939" t="s">
        <v>3177</v>
      </c>
      <c r="Z33" s="2939" t="s">
        <v>3178</v>
      </c>
      <c r="AA33" s="2939" t="s">
        <v>3178</v>
      </c>
      <c r="AB33" s="2939" t="s">
        <v>3183</v>
      </c>
      <c r="AC33" s="2939" t="s">
        <v>3033</v>
      </c>
      <c r="AD33" s="2939" t="s">
        <v>3184</v>
      </c>
      <c r="AE33" s="2939">
        <v>13000</v>
      </c>
      <c r="AF33" s="2939">
        <v>32000</v>
      </c>
      <c r="AG33" s="2939">
        <v>39500</v>
      </c>
      <c r="AH33" s="2939">
        <v>1397.53</v>
      </c>
      <c r="AI33" s="2939">
        <v>1725.08</v>
      </c>
      <c r="AJ33" s="2939">
        <v>11646.1</v>
      </c>
      <c r="AK33" s="2939">
        <v>14375.65</v>
      </c>
      <c r="AL33" s="2939">
        <f t="shared" si="1"/>
        <v>25876</v>
      </c>
      <c r="AM33" s="2939">
        <v>19196</v>
      </c>
      <c r="AN33" s="2939">
        <v>23.44</v>
      </c>
      <c r="AO33" s="2939" t="s">
        <v>3035</v>
      </c>
      <c r="AP33" s="2939" t="s">
        <v>2819</v>
      </c>
      <c r="AQ33" s="2939" t="s">
        <v>2819</v>
      </c>
      <c r="AR33" s="2939" t="s">
        <v>2819</v>
      </c>
    </row>
    <row r="34" spans="1:44" s="2939" customFormat="1">
      <c r="A34" s="2939" t="s">
        <v>3185</v>
      </c>
      <c r="B34" s="2939" t="s">
        <v>3019</v>
      </c>
      <c r="C34" s="2939" t="s">
        <v>3020</v>
      </c>
      <c r="D34" s="2939" t="s">
        <v>3021</v>
      </c>
      <c r="E34" s="2939" t="s">
        <v>2819</v>
      </c>
      <c r="F34" s="2939" t="s">
        <v>3185</v>
      </c>
      <c r="G34" s="2939" t="s">
        <v>3023</v>
      </c>
      <c r="H34" s="2939" t="s">
        <v>3186</v>
      </c>
      <c r="I34" s="2939" t="s">
        <v>3052</v>
      </c>
      <c r="J34" s="2939">
        <v>29239</v>
      </c>
      <c r="K34" s="2939">
        <v>46782.400000000001</v>
      </c>
      <c r="L34" s="2939" t="s">
        <v>3187</v>
      </c>
      <c r="M34" s="2939" t="s">
        <v>2819</v>
      </c>
      <c r="N34" s="2939" t="s">
        <v>3119</v>
      </c>
      <c r="O34" s="2939" t="s">
        <v>2819</v>
      </c>
      <c r="P34" s="2939" t="s">
        <v>2819</v>
      </c>
      <c r="Q34" s="2939" t="s">
        <v>2819</v>
      </c>
      <c r="R34" s="2939" t="s">
        <v>2819</v>
      </c>
      <c r="S34" s="2939" t="s">
        <v>2819</v>
      </c>
      <c r="T34" s="2939" t="s">
        <v>2819</v>
      </c>
      <c r="U34" s="2939" t="s">
        <v>2819</v>
      </c>
      <c r="V34" s="2939" t="s">
        <v>2819</v>
      </c>
      <c r="W34" s="2939" t="s">
        <v>3081</v>
      </c>
      <c r="X34" s="2939" t="s">
        <v>3176</v>
      </c>
      <c r="Y34" s="2939" t="s">
        <v>3177</v>
      </c>
      <c r="Z34" s="2939" t="s">
        <v>3178</v>
      </c>
      <c r="AA34" s="2939" t="s">
        <v>3178</v>
      </c>
      <c r="AB34" s="2939" t="s">
        <v>3188</v>
      </c>
      <c r="AC34" s="2939" t="s">
        <v>3033</v>
      </c>
      <c r="AD34" s="2939" t="s">
        <v>3189</v>
      </c>
      <c r="AE34" s="2939">
        <v>21000</v>
      </c>
      <c r="AF34" s="2939">
        <v>51000</v>
      </c>
      <c r="AG34" s="2939">
        <v>51545</v>
      </c>
      <c r="AH34" s="2939">
        <v>1162.83</v>
      </c>
      <c r="AI34" s="2939">
        <v>1175.26</v>
      </c>
      <c r="AJ34" s="2939">
        <v>10901.53</v>
      </c>
      <c r="AK34" s="2939">
        <v>11018.03</v>
      </c>
      <c r="AL34" s="2939">
        <f t="shared" si="1"/>
        <v>17629</v>
      </c>
      <c r="AM34" s="2939" t="s">
        <v>2819</v>
      </c>
      <c r="AN34" s="2939">
        <v>1.07</v>
      </c>
      <c r="AO34" s="2939" t="s">
        <v>3035</v>
      </c>
      <c r="AP34" s="2939" t="s">
        <v>2819</v>
      </c>
      <c r="AQ34" s="2939" t="s">
        <v>2819</v>
      </c>
      <c r="AR34" s="2939" t="s">
        <v>2819</v>
      </c>
    </row>
    <row r="35" spans="1:44" s="2939" customFormat="1">
      <c r="A35" s="2939" t="s">
        <v>3185</v>
      </c>
      <c r="B35" s="2939" t="s">
        <v>3019</v>
      </c>
      <c r="C35" s="2939" t="s">
        <v>3020</v>
      </c>
      <c r="D35" s="2939" t="s">
        <v>3021</v>
      </c>
      <c r="E35" s="2939" t="s">
        <v>2819</v>
      </c>
      <c r="F35" s="2939" t="s">
        <v>3185</v>
      </c>
      <c r="G35" s="2939" t="s">
        <v>3023</v>
      </c>
      <c r="H35" s="2939" t="s">
        <v>3190</v>
      </c>
      <c r="I35" s="2939" t="s">
        <v>3052</v>
      </c>
      <c r="J35" s="2939">
        <v>39550</v>
      </c>
      <c r="K35" s="2939">
        <v>51415</v>
      </c>
      <c r="L35" s="2939" t="s">
        <v>3175</v>
      </c>
      <c r="M35" s="2939" t="s">
        <v>2819</v>
      </c>
      <c r="N35" s="2939" t="s">
        <v>3119</v>
      </c>
      <c r="O35" s="2939" t="s">
        <v>2819</v>
      </c>
      <c r="P35" s="2939" t="s">
        <v>2819</v>
      </c>
      <c r="Q35" s="2939" t="s">
        <v>2819</v>
      </c>
      <c r="R35" s="2939" t="s">
        <v>2819</v>
      </c>
      <c r="S35" s="2939" t="s">
        <v>2819</v>
      </c>
      <c r="T35" s="2939" t="s">
        <v>2819</v>
      </c>
      <c r="U35" s="2939" t="s">
        <v>2819</v>
      </c>
      <c r="V35" s="2939" t="s">
        <v>2819</v>
      </c>
      <c r="W35" s="2939" t="s">
        <v>3081</v>
      </c>
      <c r="X35" s="2939" t="s">
        <v>3176</v>
      </c>
      <c r="Y35" s="2939" t="s">
        <v>3177</v>
      </c>
      <c r="Z35" s="2939" t="s">
        <v>3178</v>
      </c>
      <c r="AA35" s="2939" t="s">
        <v>3178</v>
      </c>
      <c r="AB35" s="2939" t="s">
        <v>3191</v>
      </c>
      <c r="AC35" s="2939" t="s">
        <v>3033</v>
      </c>
      <c r="AD35" s="2939" t="s">
        <v>3189</v>
      </c>
      <c r="AE35" s="2939">
        <v>28000</v>
      </c>
      <c r="AF35" s="2939">
        <v>67000</v>
      </c>
      <c r="AG35" s="2939">
        <v>67715.97</v>
      </c>
      <c r="AH35" s="2939">
        <v>1129.3699999999999</v>
      </c>
      <c r="AI35" s="2939">
        <v>1141.44</v>
      </c>
      <c r="AJ35" s="2939">
        <v>13031.21</v>
      </c>
      <c r="AK35" s="2939">
        <v>13170.46</v>
      </c>
      <c r="AL35" s="2939">
        <f t="shared" si="1"/>
        <v>17122</v>
      </c>
      <c r="AM35" s="2939" t="s">
        <v>2819</v>
      </c>
      <c r="AN35" s="2939">
        <v>1.07</v>
      </c>
      <c r="AO35" s="2939" t="s">
        <v>3035</v>
      </c>
      <c r="AP35" s="2939" t="s">
        <v>2819</v>
      </c>
      <c r="AQ35" s="2939" t="s">
        <v>2819</v>
      </c>
      <c r="AR35" s="2939" t="s">
        <v>2819</v>
      </c>
    </row>
    <row r="36" spans="1:44" s="2939" customFormat="1">
      <c r="A36" s="2939" t="s">
        <v>3185</v>
      </c>
      <c r="B36" s="2939" t="s">
        <v>3019</v>
      </c>
      <c r="C36" s="2939" t="s">
        <v>3020</v>
      </c>
      <c r="D36" s="2939" t="s">
        <v>3021</v>
      </c>
      <c r="E36" s="2939" t="s">
        <v>2819</v>
      </c>
      <c r="F36" s="2939" t="s">
        <v>3185</v>
      </c>
      <c r="G36" s="2939" t="s">
        <v>3023</v>
      </c>
      <c r="H36" s="2939" t="s">
        <v>3192</v>
      </c>
      <c r="I36" s="2939" t="s">
        <v>3052</v>
      </c>
      <c r="J36" s="2939">
        <v>12259</v>
      </c>
      <c r="K36" s="2939">
        <v>22066.2</v>
      </c>
      <c r="L36" s="2939" t="s">
        <v>3182</v>
      </c>
      <c r="M36" s="2939" t="s">
        <v>2819</v>
      </c>
      <c r="N36" s="2939" t="s">
        <v>3119</v>
      </c>
      <c r="O36" s="2939" t="s">
        <v>2819</v>
      </c>
      <c r="P36" s="2939" t="s">
        <v>3120</v>
      </c>
      <c r="Q36" s="2939" t="s">
        <v>2819</v>
      </c>
      <c r="R36" s="2939">
        <v>4001</v>
      </c>
      <c r="S36" s="2939" t="s">
        <v>2819</v>
      </c>
      <c r="T36" s="2939" t="s">
        <v>2819</v>
      </c>
      <c r="U36" s="2939" t="s">
        <v>2819</v>
      </c>
      <c r="V36" s="2939" t="s">
        <v>2819</v>
      </c>
      <c r="W36" s="2939" t="s">
        <v>3081</v>
      </c>
      <c r="X36" s="2939" t="s">
        <v>3176</v>
      </c>
      <c r="Y36" s="2939" t="s">
        <v>3177</v>
      </c>
      <c r="Z36" s="2939" t="s">
        <v>3178</v>
      </c>
      <c r="AA36" s="2939" t="s">
        <v>3178</v>
      </c>
      <c r="AB36" s="2939" t="s">
        <v>3193</v>
      </c>
      <c r="AC36" s="2939" t="s">
        <v>3033</v>
      </c>
      <c r="AD36" s="2939" t="s">
        <v>3194</v>
      </c>
      <c r="AE36" s="2939">
        <v>11000</v>
      </c>
      <c r="AF36" s="2939">
        <v>26000</v>
      </c>
      <c r="AG36" s="2939">
        <v>31500</v>
      </c>
      <c r="AH36" s="2939">
        <v>1413.93</v>
      </c>
      <c r="AI36" s="2939">
        <v>1713.03</v>
      </c>
      <c r="AJ36" s="2939">
        <v>11782.72</v>
      </c>
      <c r="AK36" s="2939">
        <v>14275.22</v>
      </c>
      <c r="AL36" s="2939">
        <f t="shared" si="1"/>
        <v>25695</v>
      </c>
      <c r="AM36" s="2939">
        <v>17437</v>
      </c>
      <c r="AN36" s="2939">
        <v>21.15</v>
      </c>
      <c r="AO36" s="2939" t="s">
        <v>3035</v>
      </c>
      <c r="AP36" s="2939" t="s">
        <v>2819</v>
      </c>
      <c r="AQ36" s="2939" t="s">
        <v>2819</v>
      </c>
      <c r="AR36" s="2939" t="s">
        <v>2819</v>
      </c>
    </row>
    <row r="37" spans="1:44" s="2939" customFormat="1">
      <c r="A37" s="2939" t="s">
        <v>3173</v>
      </c>
      <c r="B37" s="2939" t="s">
        <v>3019</v>
      </c>
      <c r="C37" s="2939" t="s">
        <v>3020</v>
      </c>
      <c r="D37" s="2939" t="s">
        <v>3021</v>
      </c>
      <c r="E37" s="2939" t="s">
        <v>2819</v>
      </c>
      <c r="F37" s="2939" t="s">
        <v>3173</v>
      </c>
      <c r="G37" s="2939" t="s">
        <v>3023</v>
      </c>
      <c r="H37" s="2939" t="s">
        <v>3195</v>
      </c>
      <c r="I37" s="2939" t="s">
        <v>3052</v>
      </c>
      <c r="J37" s="2939">
        <v>10229</v>
      </c>
      <c r="K37" s="2939">
        <v>16366.4</v>
      </c>
      <c r="L37" s="2939" t="s">
        <v>3187</v>
      </c>
      <c r="M37" s="2939" t="s">
        <v>2819</v>
      </c>
      <c r="N37" s="2939" t="s">
        <v>3119</v>
      </c>
      <c r="O37" s="2939" t="s">
        <v>2819</v>
      </c>
      <c r="P37" s="2939" t="s">
        <v>2819</v>
      </c>
      <c r="Q37" s="2939" t="s">
        <v>2819</v>
      </c>
      <c r="R37" s="2939" t="s">
        <v>2819</v>
      </c>
      <c r="S37" s="2939" t="s">
        <v>2819</v>
      </c>
      <c r="T37" s="2939" t="s">
        <v>2819</v>
      </c>
      <c r="U37" s="2939" t="s">
        <v>2819</v>
      </c>
      <c r="V37" s="2939" t="s">
        <v>2819</v>
      </c>
      <c r="W37" s="2939" t="s">
        <v>3081</v>
      </c>
      <c r="X37" s="2939" t="s">
        <v>3176</v>
      </c>
      <c r="Y37" s="2939" t="s">
        <v>3177</v>
      </c>
      <c r="Z37" s="2939" t="s">
        <v>3178</v>
      </c>
      <c r="AA37" s="2939" t="s">
        <v>3178</v>
      </c>
      <c r="AB37" s="2939" t="s">
        <v>3196</v>
      </c>
      <c r="AC37" s="2939" t="s">
        <v>3033</v>
      </c>
      <c r="AD37" s="2939" t="s">
        <v>3180</v>
      </c>
      <c r="AE37" s="2939">
        <v>8000</v>
      </c>
      <c r="AF37" s="2939">
        <v>8000</v>
      </c>
      <c r="AG37" s="2939">
        <v>20000</v>
      </c>
      <c r="AH37" s="2939">
        <v>521.39</v>
      </c>
      <c r="AI37" s="2939">
        <v>1303.48</v>
      </c>
      <c r="AJ37" s="2939">
        <v>4888.0600000000004</v>
      </c>
      <c r="AK37" s="2939">
        <v>12220.15</v>
      </c>
      <c r="AL37" s="2939">
        <f t="shared" si="1"/>
        <v>19552</v>
      </c>
      <c r="AM37" s="2939" t="s">
        <v>2819</v>
      </c>
      <c r="AN37" s="2939">
        <v>150</v>
      </c>
      <c r="AO37" s="2939" t="s">
        <v>3035</v>
      </c>
      <c r="AP37" s="2939" t="s">
        <v>2819</v>
      </c>
      <c r="AQ37" s="2939" t="s">
        <v>2819</v>
      </c>
      <c r="AR37" s="2939" t="s">
        <v>2819</v>
      </c>
    </row>
    <row r="38" spans="1:44" s="2939" customFormat="1">
      <c r="A38" s="2939" t="s">
        <v>3173</v>
      </c>
      <c r="B38" s="2939" t="s">
        <v>3019</v>
      </c>
      <c r="C38" s="2939" t="s">
        <v>3020</v>
      </c>
      <c r="D38" s="2939" t="s">
        <v>3021</v>
      </c>
      <c r="E38" s="2939" t="s">
        <v>2819</v>
      </c>
      <c r="F38" s="2939" t="s">
        <v>3173</v>
      </c>
      <c r="G38" s="2939" t="s">
        <v>3023</v>
      </c>
      <c r="H38" s="2939" t="s">
        <v>3197</v>
      </c>
      <c r="I38" s="2939" t="s">
        <v>3052</v>
      </c>
      <c r="J38" s="2939">
        <v>22416</v>
      </c>
      <c r="K38" s="2939">
        <v>32503.200000000001</v>
      </c>
      <c r="L38" s="2939" t="s">
        <v>3198</v>
      </c>
      <c r="M38" s="2939" t="s">
        <v>2819</v>
      </c>
      <c r="N38" s="2939" t="s">
        <v>3119</v>
      </c>
      <c r="O38" s="2939" t="s">
        <v>2819</v>
      </c>
      <c r="P38" s="2939" t="s">
        <v>2819</v>
      </c>
      <c r="Q38" s="2939" t="s">
        <v>2819</v>
      </c>
      <c r="R38" s="2939" t="s">
        <v>2819</v>
      </c>
      <c r="S38" s="2939" t="s">
        <v>2819</v>
      </c>
      <c r="T38" s="2939" t="s">
        <v>2819</v>
      </c>
      <c r="U38" s="2939" t="s">
        <v>2819</v>
      </c>
      <c r="V38" s="2939" t="s">
        <v>2819</v>
      </c>
      <c r="W38" s="2939" t="s">
        <v>3081</v>
      </c>
      <c r="X38" s="2939" t="s">
        <v>3176</v>
      </c>
      <c r="Y38" s="2939" t="s">
        <v>3177</v>
      </c>
      <c r="Z38" s="2939" t="s">
        <v>3178</v>
      </c>
      <c r="AA38" s="2939" t="s">
        <v>3178</v>
      </c>
      <c r="AB38" s="2939" t="s">
        <v>3199</v>
      </c>
      <c r="AC38" s="2939" t="s">
        <v>3033</v>
      </c>
      <c r="AD38" s="2939" t="s">
        <v>3200</v>
      </c>
      <c r="AE38" s="2939">
        <v>18000</v>
      </c>
      <c r="AF38" s="2939">
        <v>18000</v>
      </c>
      <c r="AG38" s="2939">
        <v>41427.760000000002</v>
      </c>
      <c r="AH38" s="2939">
        <v>535.33000000000004</v>
      </c>
      <c r="AI38" s="2939">
        <v>1232.0899999999999</v>
      </c>
      <c r="AJ38" s="2939">
        <v>5537.91</v>
      </c>
      <c r="AK38" s="2939">
        <v>12745.75</v>
      </c>
      <c r="AL38" s="2939">
        <f t="shared" si="1"/>
        <v>18481</v>
      </c>
      <c r="AM38" s="2939" t="s">
        <v>2819</v>
      </c>
      <c r="AN38" s="2939">
        <v>130.15</v>
      </c>
      <c r="AO38" s="2939" t="s">
        <v>3035</v>
      </c>
      <c r="AP38" s="2939" t="s">
        <v>2819</v>
      </c>
      <c r="AQ38" s="2939" t="s">
        <v>2819</v>
      </c>
      <c r="AR38" s="2939" t="s">
        <v>2819</v>
      </c>
    </row>
    <row r="39" spans="1:44" s="2939" customFormat="1">
      <c r="A39" s="2939" t="s">
        <v>3173</v>
      </c>
      <c r="B39" s="2939" t="s">
        <v>3019</v>
      </c>
      <c r="C39" s="2939" t="s">
        <v>3020</v>
      </c>
      <c r="D39" s="2939" t="s">
        <v>3021</v>
      </c>
      <c r="E39" s="2939" t="s">
        <v>2819</v>
      </c>
      <c r="F39" s="2939" t="s">
        <v>3173</v>
      </c>
      <c r="G39" s="2939" t="s">
        <v>3023</v>
      </c>
      <c r="H39" s="2939" t="s">
        <v>3201</v>
      </c>
      <c r="I39" s="2939" t="s">
        <v>3052</v>
      </c>
      <c r="J39" s="2939">
        <v>15708</v>
      </c>
      <c r="K39" s="2939">
        <v>28274.400000000001</v>
      </c>
      <c r="L39" s="2939" t="s">
        <v>3182</v>
      </c>
      <c r="M39" s="2939" t="s">
        <v>2819</v>
      </c>
      <c r="N39" s="2939" t="s">
        <v>3119</v>
      </c>
      <c r="O39" s="2939" t="s">
        <v>2819</v>
      </c>
      <c r="P39" s="2939" t="s">
        <v>3120</v>
      </c>
      <c r="Q39" s="2939" t="s">
        <v>2819</v>
      </c>
      <c r="R39" s="2939">
        <v>7000</v>
      </c>
      <c r="S39" s="2939" t="s">
        <v>2819</v>
      </c>
      <c r="T39" s="2939" t="s">
        <v>2819</v>
      </c>
      <c r="U39" s="2939" t="s">
        <v>2819</v>
      </c>
      <c r="V39" s="2939" t="s">
        <v>2819</v>
      </c>
      <c r="W39" s="2939" t="s">
        <v>3081</v>
      </c>
      <c r="X39" s="2939" t="s">
        <v>3176</v>
      </c>
      <c r="Y39" s="2939" t="s">
        <v>3177</v>
      </c>
      <c r="Z39" s="2939" t="s">
        <v>3178</v>
      </c>
      <c r="AA39" s="2939" t="s">
        <v>3178</v>
      </c>
      <c r="AB39" s="2939" t="s">
        <v>3202</v>
      </c>
      <c r="AC39" s="2939" t="s">
        <v>3033</v>
      </c>
      <c r="AD39" s="2939" t="s">
        <v>3184</v>
      </c>
      <c r="AE39" s="2939">
        <v>14000</v>
      </c>
      <c r="AF39" s="2939">
        <v>33000</v>
      </c>
      <c r="AG39" s="2939">
        <v>40500</v>
      </c>
      <c r="AH39" s="2939">
        <v>1400.56</v>
      </c>
      <c r="AI39" s="2939">
        <v>1718.87</v>
      </c>
      <c r="AJ39" s="2939">
        <v>11671.33</v>
      </c>
      <c r="AK39" s="2939">
        <v>14323.9</v>
      </c>
      <c r="AL39" s="2939">
        <f t="shared" si="1"/>
        <v>25783</v>
      </c>
      <c r="AM39" s="2939">
        <v>19037</v>
      </c>
      <c r="AN39" s="2939">
        <v>22.73</v>
      </c>
      <c r="AO39" s="2939" t="s">
        <v>3035</v>
      </c>
      <c r="AP39" s="2939" t="s">
        <v>2819</v>
      </c>
      <c r="AQ39" s="2939" t="s">
        <v>2819</v>
      </c>
      <c r="AR39" s="2939" t="s">
        <v>2819</v>
      </c>
    </row>
    <row r="40" spans="1:44" s="2939" customFormat="1">
      <c r="A40" s="2939" t="s">
        <v>3185</v>
      </c>
      <c r="B40" s="2939" t="s">
        <v>3019</v>
      </c>
      <c r="C40" s="2939" t="s">
        <v>3020</v>
      </c>
      <c r="D40" s="2939" t="s">
        <v>3021</v>
      </c>
      <c r="E40" s="2939" t="s">
        <v>2819</v>
      </c>
      <c r="F40" s="2939" t="s">
        <v>3185</v>
      </c>
      <c r="G40" s="2939" t="s">
        <v>3023</v>
      </c>
      <c r="H40" s="2939" t="s">
        <v>3203</v>
      </c>
      <c r="I40" s="2939" t="s">
        <v>3052</v>
      </c>
      <c r="J40" s="2939">
        <v>11781</v>
      </c>
      <c r="K40" s="2939">
        <v>18260.55</v>
      </c>
      <c r="L40" s="2939" t="s">
        <v>3204</v>
      </c>
      <c r="M40" s="2939" t="s">
        <v>2819</v>
      </c>
      <c r="N40" s="2939" t="s">
        <v>3119</v>
      </c>
      <c r="O40" s="2939" t="s">
        <v>2819</v>
      </c>
      <c r="P40" s="2939" t="s">
        <v>3120</v>
      </c>
      <c r="Q40" s="2939" t="s">
        <v>2819</v>
      </c>
      <c r="R40" s="2939">
        <v>3200</v>
      </c>
      <c r="S40" s="2939" t="s">
        <v>2819</v>
      </c>
      <c r="T40" s="2939" t="s">
        <v>2819</v>
      </c>
      <c r="U40" s="2939" t="s">
        <v>2819</v>
      </c>
      <c r="V40" s="2939" t="s">
        <v>2819</v>
      </c>
      <c r="W40" s="2939" t="s">
        <v>3081</v>
      </c>
      <c r="X40" s="2939" t="s">
        <v>3176</v>
      </c>
      <c r="Y40" s="2939" t="s">
        <v>3177</v>
      </c>
      <c r="Z40" s="2939" t="s">
        <v>3178</v>
      </c>
      <c r="AA40" s="2939" t="s">
        <v>3178</v>
      </c>
      <c r="AB40" s="2939" t="s">
        <v>3205</v>
      </c>
      <c r="AC40" s="2939" t="s">
        <v>3033</v>
      </c>
      <c r="AD40" s="2939" t="s">
        <v>3184</v>
      </c>
      <c r="AE40" s="2939">
        <v>10000</v>
      </c>
      <c r="AF40" s="2939">
        <v>23000</v>
      </c>
      <c r="AG40" s="2939">
        <v>26000</v>
      </c>
      <c r="AH40" s="2939">
        <v>1301.53</v>
      </c>
      <c r="AI40" s="2939">
        <v>1471.3</v>
      </c>
      <c r="AJ40" s="2939">
        <v>12595.45</v>
      </c>
      <c r="AK40" s="2939">
        <v>14238.34</v>
      </c>
      <c r="AL40" s="2939">
        <f t="shared" si="1"/>
        <v>22069</v>
      </c>
      <c r="AM40" s="2939">
        <v>17264</v>
      </c>
      <c r="AN40" s="2939">
        <v>13.04</v>
      </c>
      <c r="AO40" s="2939" t="s">
        <v>3035</v>
      </c>
      <c r="AP40" s="2939" t="s">
        <v>2819</v>
      </c>
      <c r="AQ40" s="2939" t="s">
        <v>2819</v>
      </c>
      <c r="AR40" s="2939" t="s">
        <v>2819</v>
      </c>
    </row>
    <row r="41" spans="1:44" s="2939" customFormat="1">
      <c r="A41" s="2939" t="s">
        <v>3206</v>
      </c>
      <c r="B41" s="2939" t="s">
        <v>3019</v>
      </c>
      <c r="C41" s="2939" t="s">
        <v>3020</v>
      </c>
      <c r="D41" s="2939" t="s">
        <v>3021</v>
      </c>
      <c r="E41" s="2939" t="s">
        <v>2819</v>
      </c>
      <c r="F41" s="2939" t="s">
        <v>3206</v>
      </c>
      <c r="G41" s="2939" t="s">
        <v>3023</v>
      </c>
      <c r="H41" s="2939" t="s">
        <v>3207</v>
      </c>
      <c r="I41" s="2939" t="s">
        <v>3052</v>
      </c>
      <c r="J41" s="2939">
        <v>26405</v>
      </c>
      <c r="K41" s="2939">
        <v>79215</v>
      </c>
      <c r="L41" s="2939" t="s">
        <v>3208</v>
      </c>
      <c r="M41" s="2939" t="s">
        <v>2819</v>
      </c>
      <c r="N41" s="2939" t="s">
        <v>3119</v>
      </c>
      <c r="O41" s="2939" t="s">
        <v>2819</v>
      </c>
      <c r="P41" s="2939" t="s">
        <v>3120</v>
      </c>
      <c r="Q41" s="2939" t="s">
        <v>2819</v>
      </c>
      <c r="R41" s="2939">
        <v>11017</v>
      </c>
      <c r="S41" s="2939" t="s">
        <v>2819</v>
      </c>
      <c r="T41" s="2939" t="s">
        <v>2819</v>
      </c>
      <c r="U41" s="2939" t="s">
        <v>2819</v>
      </c>
      <c r="V41" s="2939" t="s">
        <v>2819</v>
      </c>
      <c r="W41" s="2939" t="s">
        <v>3081</v>
      </c>
      <c r="X41" s="2939" t="s">
        <v>3176</v>
      </c>
      <c r="Y41" s="2939" t="s">
        <v>3177</v>
      </c>
      <c r="Z41" s="2939" t="s">
        <v>3178</v>
      </c>
      <c r="AA41" s="2939" t="s">
        <v>3178</v>
      </c>
      <c r="AB41" s="2939" t="s">
        <v>3209</v>
      </c>
      <c r="AC41" s="2939" t="s">
        <v>3033</v>
      </c>
      <c r="AD41" s="2939" t="s">
        <v>3210</v>
      </c>
      <c r="AE41" s="2939">
        <v>28000</v>
      </c>
      <c r="AF41" s="2939">
        <v>70000</v>
      </c>
      <c r="AG41" s="2939">
        <v>102000</v>
      </c>
      <c r="AH41" s="2939">
        <v>1767.34</v>
      </c>
      <c r="AI41" s="2939">
        <v>2575.27</v>
      </c>
      <c r="AJ41" s="2939">
        <v>8836.7000000000007</v>
      </c>
      <c r="AK41" s="2939">
        <v>12876.35</v>
      </c>
      <c r="AL41" s="2939">
        <f t="shared" si="1"/>
        <v>38629</v>
      </c>
      <c r="AM41" s="2939">
        <v>14956</v>
      </c>
      <c r="AN41" s="2939">
        <v>45.71</v>
      </c>
      <c r="AO41" s="2939" t="s">
        <v>3035</v>
      </c>
      <c r="AP41" s="2939" t="s">
        <v>2819</v>
      </c>
      <c r="AQ41" s="2939" t="s">
        <v>2819</v>
      </c>
      <c r="AR41" s="2939" t="s">
        <v>2819</v>
      </c>
    </row>
    <row r="42" spans="1:44" s="2939" customFormat="1">
      <c r="A42" s="2939" t="s">
        <v>3211</v>
      </c>
      <c r="B42" s="2939" t="s">
        <v>3019</v>
      </c>
      <c r="C42" s="2939" t="s">
        <v>3020</v>
      </c>
      <c r="D42" s="2939" t="s">
        <v>3021</v>
      </c>
      <c r="E42" s="2939" t="s">
        <v>2819</v>
      </c>
      <c r="F42" s="2939" t="s">
        <v>3211</v>
      </c>
      <c r="G42" s="2939" t="s">
        <v>3023</v>
      </c>
      <c r="H42" s="2939" t="s">
        <v>3212</v>
      </c>
      <c r="I42" s="2939" t="s">
        <v>3052</v>
      </c>
      <c r="J42" s="2939">
        <v>50258</v>
      </c>
      <c r="K42" s="2939">
        <v>120619.2</v>
      </c>
      <c r="L42" s="2939" t="s">
        <v>3102</v>
      </c>
      <c r="M42" s="2939" t="s">
        <v>2819</v>
      </c>
      <c r="N42" s="2939" t="s">
        <v>3119</v>
      </c>
      <c r="O42" s="2939" t="s">
        <v>2819</v>
      </c>
      <c r="P42" s="2939" t="s">
        <v>3120</v>
      </c>
      <c r="Q42" s="2939" t="s">
        <v>2819</v>
      </c>
      <c r="R42" s="2939">
        <v>12000</v>
      </c>
      <c r="S42" s="2939" t="s">
        <v>2819</v>
      </c>
      <c r="T42" s="2939" t="s">
        <v>2819</v>
      </c>
      <c r="U42" s="2939" t="s">
        <v>2819</v>
      </c>
      <c r="V42" s="2939" t="s">
        <v>2819</v>
      </c>
      <c r="W42" s="2939" t="s">
        <v>3081</v>
      </c>
      <c r="X42" s="2939" t="s">
        <v>3176</v>
      </c>
      <c r="Y42" s="2939" t="s">
        <v>3177</v>
      </c>
      <c r="Z42" s="2939" t="s">
        <v>3178</v>
      </c>
      <c r="AA42" s="2939" t="s">
        <v>3178</v>
      </c>
      <c r="AB42" s="2939" t="s">
        <v>3213</v>
      </c>
      <c r="AC42" s="2939" t="s">
        <v>3033</v>
      </c>
      <c r="AD42" s="2939" t="s">
        <v>3184</v>
      </c>
      <c r="AE42" s="2939">
        <v>48000</v>
      </c>
      <c r="AF42" s="2939">
        <v>120000</v>
      </c>
      <c r="AG42" s="2939">
        <v>174000</v>
      </c>
      <c r="AH42" s="2939">
        <v>1591.79</v>
      </c>
      <c r="AI42" s="2939">
        <v>2308.09</v>
      </c>
      <c r="AJ42" s="2939">
        <v>9948.66</v>
      </c>
      <c r="AK42" s="2939">
        <v>14425.55</v>
      </c>
      <c r="AL42" s="2939">
        <f t="shared" si="1"/>
        <v>34621</v>
      </c>
      <c r="AM42" s="2939">
        <v>16019</v>
      </c>
      <c r="AN42" s="2939">
        <v>45</v>
      </c>
      <c r="AO42" s="2939" t="s">
        <v>3035</v>
      </c>
      <c r="AP42" s="2939" t="s">
        <v>2819</v>
      </c>
      <c r="AQ42" s="2939" t="s">
        <v>2819</v>
      </c>
      <c r="AR42" s="2939" t="s">
        <v>2819</v>
      </c>
    </row>
    <row r="43" spans="1:44" s="2939" customFormat="1">
      <c r="A43" s="2939" t="s">
        <v>3214</v>
      </c>
      <c r="B43" s="2939" t="s">
        <v>3019</v>
      </c>
      <c r="C43" s="2939" t="s">
        <v>3020</v>
      </c>
      <c r="D43" s="2939" t="s">
        <v>3021</v>
      </c>
      <c r="E43" s="2939" t="s">
        <v>2819</v>
      </c>
      <c r="F43" s="2939" t="s">
        <v>3214</v>
      </c>
      <c r="G43" s="2939" t="s">
        <v>3023</v>
      </c>
      <c r="H43" s="2939" t="s">
        <v>3215</v>
      </c>
      <c r="I43" s="2939" t="s">
        <v>3052</v>
      </c>
      <c r="J43" s="2939">
        <v>126244</v>
      </c>
      <c r="K43" s="2939">
        <v>265112.40000000002</v>
      </c>
      <c r="L43" s="2939" t="s">
        <v>3216</v>
      </c>
      <c r="M43" s="2939" t="s">
        <v>2819</v>
      </c>
      <c r="N43" s="2939" t="s">
        <v>3132</v>
      </c>
      <c r="O43" s="2939" t="s">
        <v>2819</v>
      </c>
      <c r="P43" s="2939" t="s">
        <v>3120</v>
      </c>
      <c r="Q43" s="2939" t="s">
        <v>2819</v>
      </c>
      <c r="R43" s="2939">
        <v>54945</v>
      </c>
      <c r="S43" s="2939" t="s">
        <v>2819</v>
      </c>
      <c r="T43" s="2939" t="s">
        <v>2819</v>
      </c>
      <c r="U43" s="2939" t="s">
        <v>2819</v>
      </c>
      <c r="V43" s="2939" t="s">
        <v>2819</v>
      </c>
      <c r="W43" s="2939" t="s">
        <v>3081</v>
      </c>
      <c r="X43" s="2939" t="s">
        <v>3217</v>
      </c>
      <c r="Y43" s="2939" t="s">
        <v>3218</v>
      </c>
      <c r="Z43" s="2939" t="s">
        <v>3219</v>
      </c>
      <c r="AA43" s="2939" t="s">
        <v>3219</v>
      </c>
      <c r="AB43" s="2939" t="s">
        <v>3220</v>
      </c>
      <c r="AC43" s="2939" t="s">
        <v>3033</v>
      </c>
      <c r="AD43" s="2939" t="s">
        <v>3221</v>
      </c>
      <c r="AE43" s="2939">
        <v>59000</v>
      </c>
      <c r="AF43" s="2939">
        <v>145815</v>
      </c>
      <c r="AG43" s="2939">
        <v>260000</v>
      </c>
      <c r="AH43" s="2939">
        <v>770.02</v>
      </c>
      <c r="AI43" s="2939">
        <v>1373</v>
      </c>
      <c r="AJ43" s="2939">
        <v>5500.11</v>
      </c>
      <c r="AK43" s="2939">
        <v>9807.15</v>
      </c>
      <c r="AL43" s="2939">
        <f t="shared" si="1"/>
        <v>20595</v>
      </c>
      <c r="AM43" s="2939">
        <v>12371</v>
      </c>
      <c r="AN43" s="2939">
        <v>78.31</v>
      </c>
      <c r="AO43" s="2939" t="s">
        <v>3035</v>
      </c>
      <c r="AP43" s="2939" t="s">
        <v>2819</v>
      </c>
      <c r="AQ43" s="2939" t="s">
        <v>2819</v>
      </c>
      <c r="AR43" s="2939" t="s">
        <v>2819</v>
      </c>
    </row>
    <row r="44" spans="1:44" s="2939" customFormat="1">
      <c r="A44" s="2939" t="s">
        <v>3222</v>
      </c>
      <c r="B44" s="2939" t="s">
        <v>3019</v>
      </c>
      <c r="C44" s="2939" t="s">
        <v>3020</v>
      </c>
      <c r="D44" s="2939" t="s">
        <v>3021</v>
      </c>
      <c r="E44" s="2939" t="s">
        <v>2819</v>
      </c>
      <c r="F44" s="2939" t="s">
        <v>3222</v>
      </c>
      <c r="G44" s="2939" t="s">
        <v>3023</v>
      </c>
      <c r="H44" s="2939" t="s">
        <v>3223</v>
      </c>
      <c r="I44" s="2939" t="s">
        <v>3052</v>
      </c>
      <c r="J44" s="2939">
        <v>81777</v>
      </c>
      <c r="K44" s="2939">
        <v>114487.8</v>
      </c>
      <c r="L44" s="2939" t="s">
        <v>3224</v>
      </c>
      <c r="M44" s="2939" t="s">
        <v>2819</v>
      </c>
      <c r="N44" s="2939" t="s">
        <v>3132</v>
      </c>
      <c r="O44" s="2939" t="s">
        <v>2819</v>
      </c>
      <c r="P44" s="2939" t="s">
        <v>3120</v>
      </c>
      <c r="Q44" s="2939" t="s">
        <v>2819</v>
      </c>
      <c r="R44" s="2939">
        <v>88005</v>
      </c>
      <c r="S44" s="2939" t="s">
        <v>2819</v>
      </c>
      <c r="T44" s="2939" t="s">
        <v>2819</v>
      </c>
      <c r="U44" s="2939" t="s">
        <v>2819</v>
      </c>
      <c r="V44" s="2939" t="s">
        <v>2819</v>
      </c>
      <c r="W44" s="2939" t="s">
        <v>3081</v>
      </c>
      <c r="X44" s="2939" t="s">
        <v>3217</v>
      </c>
      <c r="Y44" s="2939" t="s">
        <v>3218</v>
      </c>
      <c r="Z44" s="2939" t="s">
        <v>3219</v>
      </c>
      <c r="AA44" s="2939" t="s">
        <v>3219</v>
      </c>
      <c r="AB44" s="2939" t="s">
        <v>3225</v>
      </c>
      <c r="AC44" s="2939" t="s">
        <v>3033</v>
      </c>
      <c r="AD44" s="2939" t="s">
        <v>3226</v>
      </c>
      <c r="AE44" s="2939">
        <v>30000</v>
      </c>
      <c r="AF44" s="2939">
        <v>73596</v>
      </c>
      <c r="AG44" s="2939">
        <v>154722.1</v>
      </c>
      <c r="AH44" s="2939">
        <v>599.97</v>
      </c>
      <c r="AI44" s="2939">
        <v>1261.33</v>
      </c>
      <c r="AJ44" s="2939">
        <v>6428.28</v>
      </c>
      <c r="AK44" s="2939">
        <v>13514.29</v>
      </c>
      <c r="AL44" s="2939">
        <f t="shared" si="1"/>
        <v>18920</v>
      </c>
      <c r="AM44" s="2939">
        <v>58424</v>
      </c>
      <c r="AN44" s="2939">
        <v>110.23</v>
      </c>
      <c r="AO44" s="2939" t="s">
        <v>3035</v>
      </c>
      <c r="AP44" s="2939" t="s">
        <v>2819</v>
      </c>
      <c r="AQ44" s="2939" t="s">
        <v>2819</v>
      </c>
      <c r="AR44" s="2939" t="s">
        <v>2819</v>
      </c>
    </row>
    <row r="45" spans="1:44" s="2939" customFormat="1">
      <c r="A45" s="2939" t="s">
        <v>3227</v>
      </c>
      <c r="B45" s="2939" t="s">
        <v>3019</v>
      </c>
      <c r="C45" s="2939" t="s">
        <v>3020</v>
      </c>
      <c r="D45" s="2939" t="s">
        <v>3021</v>
      </c>
      <c r="E45" s="2939" t="s">
        <v>2819</v>
      </c>
      <c r="F45" s="2939" t="s">
        <v>3227</v>
      </c>
      <c r="G45" s="2939" t="s">
        <v>3023</v>
      </c>
      <c r="H45" s="2939" t="s">
        <v>3228</v>
      </c>
      <c r="I45" s="2939" t="s">
        <v>3052</v>
      </c>
      <c r="J45" s="2939">
        <v>30343.4</v>
      </c>
      <c r="K45" s="2939">
        <v>72824.160000000003</v>
      </c>
      <c r="L45" s="2939" t="s">
        <v>3102</v>
      </c>
      <c r="M45" s="2939" t="s">
        <v>2819</v>
      </c>
      <c r="N45" s="2939" t="s">
        <v>3229</v>
      </c>
      <c r="O45" s="2939" t="s">
        <v>2819</v>
      </c>
      <c r="P45" s="2939" t="s">
        <v>2819</v>
      </c>
      <c r="Q45" s="2939" t="s">
        <v>2819</v>
      </c>
      <c r="R45" s="2939" t="s">
        <v>2819</v>
      </c>
      <c r="S45" s="2939" t="s">
        <v>2819</v>
      </c>
      <c r="T45" s="2939" t="s">
        <v>2819</v>
      </c>
      <c r="U45" s="2939" t="s">
        <v>2819</v>
      </c>
      <c r="V45" s="2939" t="s">
        <v>2819</v>
      </c>
      <c r="W45" s="2939" t="s">
        <v>3081</v>
      </c>
      <c r="X45" s="2939" t="s">
        <v>3217</v>
      </c>
      <c r="Y45" s="2939" t="s">
        <v>3218</v>
      </c>
      <c r="Z45" s="2939" t="s">
        <v>3219</v>
      </c>
      <c r="AA45" s="2939" t="s">
        <v>3219</v>
      </c>
      <c r="AB45" s="2939" t="s">
        <v>3230</v>
      </c>
      <c r="AC45" s="2939" t="s">
        <v>3033</v>
      </c>
      <c r="AD45" s="2939" t="s">
        <v>3231</v>
      </c>
      <c r="AE45" s="2939">
        <v>15000</v>
      </c>
      <c r="AF45" s="2939">
        <v>36416</v>
      </c>
      <c r="AG45" s="2939">
        <v>88000</v>
      </c>
      <c r="AH45" s="2939">
        <v>800.09</v>
      </c>
      <c r="AI45" s="2939">
        <v>1933.42</v>
      </c>
      <c r="AJ45" s="2939">
        <v>5000.53</v>
      </c>
      <c r="AK45" s="2939">
        <v>12083.89</v>
      </c>
      <c r="AL45" s="2939">
        <f t="shared" si="1"/>
        <v>29001</v>
      </c>
      <c r="AM45" s="2939" t="s">
        <v>2819</v>
      </c>
      <c r="AN45" s="2939">
        <v>141.65</v>
      </c>
      <c r="AO45" s="2939" t="s">
        <v>3035</v>
      </c>
      <c r="AP45" s="2939" t="s">
        <v>2819</v>
      </c>
      <c r="AQ45" s="2939" t="s">
        <v>2819</v>
      </c>
      <c r="AR45" s="2939" t="s">
        <v>2819</v>
      </c>
    </row>
    <row r="46" spans="1:44" s="2939" customFormat="1">
      <c r="A46" s="2939" t="s">
        <v>3232</v>
      </c>
      <c r="B46" s="2939" t="s">
        <v>3019</v>
      </c>
      <c r="C46" s="2939" t="s">
        <v>3020</v>
      </c>
      <c r="D46" s="2939" t="s">
        <v>3021</v>
      </c>
      <c r="E46" s="2939" t="s">
        <v>2819</v>
      </c>
      <c r="F46" s="2939" t="s">
        <v>3232</v>
      </c>
      <c r="G46" s="2939" t="s">
        <v>3023</v>
      </c>
      <c r="H46" s="2939" t="s">
        <v>3233</v>
      </c>
      <c r="I46" s="2939" t="s">
        <v>3052</v>
      </c>
      <c r="J46" s="2939">
        <v>100470</v>
      </c>
      <c r="K46" s="2939">
        <v>221034</v>
      </c>
      <c r="L46" s="2939" t="s">
        <v>3094</v>
      </c>
      <c r="M46" s="2939" t="s">
        <v>2819</v>
      </c>
      <c r="N46" s="2939" t="s">
        <v>3234</v>
      </c>
      <c r="O46" s="2939" t="s">
        <v>2819</v>
      </c>
      <c r="P46" s="2939" t="s">
        <v>2819</v>
      </c>
      <c r="Q46" s="2939" t="s">
        <v>2819</v>
      </c>
      <c r="R46" s="2939" t="s">
        <v>2819</v>
      </c>
      <c r="S46" s="2939" t="s">
        <v>2819</v>
      </c>
      <c r="T46" s="2939" t="s">
        <v>2819</v>
      </c>
      <c r="U46" s="2939" t="s">
        <v>2819</v>
      </c>
      <c r="V46" s="2939" t="s">
        <v>2819</v>
      </c>
      <c r="W46" s="2939" t="s">
        <v>3081</v>
      </c>
      <c r="X46" s="2939" t="s">
        <v>3217</v>
      </c>
      <c r="Y46" s="2939" t="s">
        <v>3218</v>
      </c>
      <c r="Z46" s="2939" t="s">
        <v>3219</v>
      </c>
      <c r="AA46" s="2939" t="s">
        <v>3219</v>
      </c>
      <c r="AB46" s="2939" t="s">
        <v>3235</v>
      </c>
      <c r="AC46" s="2939" t="s">
        <v>3033</v>
      </c>
      <c r="AD46" s="2939" t="s">
        <v>3221</v>
      </c>
      <c r="AE46" s="2939">
        <v>48000</v>
      </c>
      <c r="AF46" s="2939">
        <v>120560</v>
      </c>
      <c r="AG46" s="2939">
        <v>125406.3</v>
      </c>
      <c r="AH46" s="2939">
        <v>799.97</v>
      </c>
      <c r="AI46" s="2939">
        <v>832.13</v>
      </c>
      <c r="AJ46" s="2939">
        <v>5454.36</v>
      </c>
      <c r="AK46" s="2939">
        <v>5673.61</v>
      </c>
      <c r="AL46" s="2939">
        <f t="shared" si="1"/>
        <v>12482</v>
      </c>
      <c r="AM46" s="2939" t="s">
        <v>2819</v>
      </c>
      <c r="AN46" s="2939">
        <v>4.0199999999999996</v>
      </c>
      <c r="AO46" s="2939" t="s">
        <v>3035</v>
      </c>
      <c r="AP46" s="2939" t="s">
        <v>2819</v>
      </c>
      <c r="AQ46" s="2939" t="s">
        <v>2819</v>
      </c>
      <c r="AR46" s="2939" t="s">
        <v>2819</v>
      </c>
    </row>
    <row r="47" spans="1:44" s="2939" customFormat="1">
      <c r="A47" s="2939" t="s">
        <v>3236</v>
      </c>
      <c r="B47" s="2939" t="s">
        <v>3019</v>
      </c>
      <c r="C47" s="2939" t="s">
        <v>3020</v>
      </c>
      <c r="D47" s="2939" t="s">
        <v>3021</v>
      </c>
      <c r="E47" s="2939" t="s">
        <v>2819</v>
      </c>
      <c r="F47" s="2939" t="s">
        <v>3236</v>
      </c>
      <c r="G47" s="2939" t="s">
        <v>3023</v>
      </c>
      <c r="H47" s="2939" t="s">
        <v>3237</v>
      </c>
      <c r="I47" s="2939" t="s">
        <v>3052</v>
      </c>
      <c r="J47" s="2939">
        <v>118932.6</v>
      </c>
      <c r="K47" s="2939">
        <v>261651.7</v>
      </c>
      <c r="L47" s="2939" t="s">
        <v>3094</v>
      </c>
      <c r="M47" s="2939" t="s">
        <v>2819</v>
      </c>
      <c r="N47" s="2939" t="s">
        <v>3132</v>
      </c>
      <c r="O47" s="2939" t="s">
        <v>2819</v>
      </c>
      <c r="P47" s="2939" t="s">
        <v>3120</v>
      </c>
      <c r="Q47" s="2939" t="s">
        <v>2819</v>
      </c>
      <c r="R47" s="2939">
        <v>60048</v>
      </c>
      <c r="S47" s="2939" t="s">
        <v>2819</v>
      </c>
      <c r="T47" s="2939" t="s">
        <v>2819</v>
      </c>
      <c r="U47" s="2939" t="s">
        <v>2819</v>
      </c>
      <c r="V47" s="2939" t="s">
        <v>2819</v>
      </c>
      <c r="W47" s="2939" t="s">
        <v>3081</v>
      </c>
      <c r="X47" s="2939" t="s">
        <v>3217</v>
      </c>
      <c r="Y47" s="2939" t="s">
        <v>3218</v>
      </c>
      <c r="Z47" s="2939" t="s">
        <v>3219</v>
      </c>
      <c r="AA47" s="2939" t="s">
        <v>3219</v>
      </c>
      <c r="AB47" s="2939" t="s">
        <v>3238</v>
      </c>
      <c r="AC47" s="2939" t="s">
        <v>3033</v>
      </c>
      <c r="AD47" s="2939" t="s">
        <v>3194</v>
      </c>
      <c r="AE47" s="2939">
        <v>55000</v>
      </c>
      <c r="AF47" s="2939">
        <v>133800</v>
      </c>
      <c r="AG47" s="2939">
        <v>260000</v>
      </c>
      <c r="AH47" s="2939">
        <v>750</v>
      </c>
      <c r="AI47" s="2939">
        <v>1457.41</v>
      </c>
      <c r="AJ47" s="2939">
        <v>5113.66</v>
      </c>
      <c r="AK47" s="2939">
        <v>9936.8700000000008</v>
      </c>
      <c r="AL47" s="2939">
        <f t="shared" si="1"/>
        <v>21861</v>
      </c>
      <c r="AM47" s="2939">
        <v>12897</v>
      </c>
      <c r="AN47" s="2939">
        <v>94.32</v>
      </c>
      <c r="AO47" s="2939" t="s">
        <v>3035</v>
      </c>
      <c r="AP47" s="2939" t="s">
        <v>2819</v>
      </c>
      <c r="AQ47" s="2939" t="s">
        <v>2819</v>
      </c>
      <c r="AR47" s="2939" t="s">
        <v>2819</v>
      </c>
    </row>
    <row r="48" spans="1:44" s="2939" customFormat="1">
      <c r="A48" s="2939" t="s">
        <v>3222</v>
      </c>
      <c r="B48" s="2939" t="s">
        <v>3019</v>
      </c>
      <c r="C48" s="2939" t="s">
        <v>3020</v>
      </c>
      <c r="D48" s="2939" t="s">
        <v>3021</v>
      </c>
      <c r="E48" s="2939" t="s">
        <v>2819</v>
      </c>
      <c r="F48" s="2939" t="s">
        <v>3222</v>
      </c>
      <c r="G48" s="2939" t="s">
        <v>3023</v>
      </c>
      <c r="H48" s="2939" t="s">
        <v>3239</v>
      </c>
      <c r="I48" s="2939" t="s">
        <v>3052</v>
      </c>
      <c r="J48" s="2939">
        <v>78949</v>
      </c>
      <c r="K48" s="2939">
        <v>189477.6</v>
      </c>
      <c r="L48" s="2939" t="s">
        <v>3102</v>
      </c>
      <c r="M48" s="2939" t="s">
        <v>2819</v>
      </c>
      <c r="N48" s="2939" t="s">
        <v>3229</v>
      </c>
      <c r="O48" s="2939" t="s">
        <v>2819</v>
      </c>
      <c r="P48" s="2939" t="s">
        <v>2819</v>
      </c>
      <c r="Q48" s="2939" t="s">
        <v>2819</v>
      </c>
      <c r="R48" s="2939" t="s">
        <v>2819</v>
      </c>
      <c r="S48" s="2939" t="s">
        <v>2819</v>
      </c>
      <c r="T48" s="2939" t="s">
        <v>2819</v>
      </c>
      <c r="U48" s="2939" t="s">
        <v>2819</v>
      </c>
      <c r="V48" s="2939" t="s">
        <v>2819</v>
      </c>
      <c r="W48" s="2939" t="s">
        <v>3081</v>
      </c>
      <c r="X48" s="2939" t="s">
        <v>3217</v>
      </c>
      <c r="Y48" s="2939" t="s">
        <v>3218</v>
      </c>
      <c r="Z48" s="2939" t="s">
        <v>3219</v>
      </c>
      <c r="AA48" s="2939" t="s">
        <v>3219</v>
      </c>
      <c r="AB48" s="2939" t="s">
        <v>3240</v>
      </c>
      <c r="AC48" s="2939" t="s">
        <v>3033</v>
      </c>
      <c r="AD48" s="2939" t="s">
        <v>3241</v>
      </c>
      <c r="AE48" s="2939">
        <v>38000</v>
      </c>
      <c r="AF48" s="2939">
        <v>94736</v>
      </c>
      <c r="AG48" s="2939">
        <v>94736</v>
      </c>
      <c r="AH48" s="2939">
        <v>799.98</v>
      </c>
      <c r="AI48" s="2939">
        <v>799.98</v>
      </c>
      <c r="AJ48" s="2939">
        <v>4999.8500000000004</v>
      </c>
      <c r="AK48" s="2939">
        <v>4999.8500000000004</v>
      </c>
      <c r="AL48" s="2939">
        <f t="shared" si="1"/>
        <v>12000</v>
      </c>
      <c r="AM48" s="2939" t="s">
        <v>2819</v>
      </c>
      <c r="AN48" s="2939">
        <v>0</v>
      </c>
      <c r="AO48" s="2939" t="s">
        <v>3035</v>
      </c>
      <c r="AP48" s="2939" t="s">
        <v>2819</v>
      </c>
      <c r="AQ48" s="2939" t="s">
        <v>2819</v>
      </c>
      <c r="AR48" s="2939" t="s">
        <v>2819</v>
      </c>
    </row>
    <row r="49" spans="1:44" s="2939" customFormat="1">
      <c r="A49" s="2939" t="s">
        <v>3236</v>
      </c>
      <c r="B49" s="2939" t="s">
        <v>3019</v>
      </c>
      <c r="C49" s="2939" t="s">
        <v>3020</v>
      </c>
      <c r="D49" s="2939" t="s">
        <v>3021</v>
      </c>
      <c r="E49" s="2939" t="s">
        <v>2819</v>
      </c>
      <c r="F49" s="2939" t="s">
        <v>3236</v>
      </c>
      <c r="G49" s="2939" t="s">
        <v>3023</v>
      </c>
      <c r="H49" s="2939" t="s">
        <v>3242</v>
      </c>
      <c r="I49" s="2939" t="s">
        <v>3052</v>
      </c>
      <c r="J49" s="2939">
        <v>103671.5</v>
      </c>
      <c r="K49" s="2939">
        <v>248811.6</v>
      </c>
      <c r="L49" s="2939" t="s">
        <v>3102</v>
      </c>
      <c r="M49" s="2939" t="s">
        <v>2819</v>
      </c>
      <c r="N49" s="2939" t="s">
        <v>3132</v>
      </c>
      <c r="O49" s="2939" t="s">
        <v>2819</v>
      </c>
      <c r="P49" s="2939" t="s">
        <v>3120</v>
      </c>
      <c r="Q49" s="2939" t="s">
        <v>2819</v>
      </c>
      <c r="R49" s="2939">
        <v>54615</v>
      </c>
      <c r="S49" s="2939" t="s">
        <v>2819</v>
      </c>
      <c r="T49" s="2939" t="s">
        <v>2819</v>
      </c>
      <c r="U49" s="2939" t="s">
        <v>2819</v>
      </c>
      <c r="V49" s="2939" t="s">
        <v>2819</v>
      </c>
      <c r="W49" s="2939" t="s">
        <v>3081</v>
      </c>
      <c r="X49" s="2939" t="s">
        <v>3217</v>
      </c>
      <c r="Y49" s="2939" t="s">
        <v>3218</v>
      </c>
      <c r="Z49" s="2939" t="s">
        <v>3219</v>
      </c>
      <c r="AA49" s="2939" t="s">
        <v>3219</v>
      </c>
      <c r="AB49" s="2939" t="s">
        <v>3243</v>
      </c>
      <c r="AC49" s="2939" t="s">
        <v>3033</v>
      </c>
      <c r="AD49" s="2939" t="s">
        <v>3244</v>
      </c>
      <c r="AE49" s="2939">
        <v>50000</v>
      </c>
      <c r="AF49" s="2939">
        <v>124408</v>
      </c>
      <c r="AG49" s="2939">
        <v>260005.89</v>
      </c>
      <c r="AH49" s="2939">
        <v>800.01</v>
      </c>
      <c r="AI49" s="2939">
        <v>1671.99</v>
      </c>
      <c r="AJ49" s="2939">
        <v>5000.08</v>
      </c>
      <c r="AK49" s="2939">
        <v>10449.9</v>
      </c>
      <c r="AL49" s="2939">
        <f t="shared" si="1"/>
        <v>25080</v>
      </c>
      <c r="AM49" s="2939">
        <v>13389</v>
      </c>
      <c r="AN49" s="2939">
        <v>108.99</v>
      </c>
      <c r="AO49" s="2939" t="s">
        <v>3035</v>
      </c>
      <c r="AP49" s="2939" t="s">
        <v>2819</v>
      </c>
      <c r="AQ49" s="2939" t="s">
        <v>2819</v>
      </c>
      <c r="AR49" s="2939" t="s">
        <v>2819</v>
      </c>
    </row>
    <row r="50" spans="1:44" s="2939" customFormat="1">
      <c r="A50" s="2939" t="s">
        <v>3222</v>
      </c>
      <c r="B50" s="2939" t="s">
        <v>3019</v>
      </c>
      <c r="C50" s="2939" t="s">
        <v>3020</v>
      </c>
      <c r="D50" s="2939" t="s">
        <v>3021</v>
      </c>
      <c r="E50" s="2939" t="s">
        <v>2819</v>
      </c>
      <c r="F50" s="2939" t="s">
        <v>3222</v>
      </c>
      <c r="G50" s="2939" t="s">
        <v>3023</v>
      </c>
      <c r="H50" s="2939" t="s">
        <v>3245</v>
      </c>
      <c r="I50" s="2939" t="s">
        <v>3052</v>
      </c>
      <c r="J50" s="2939">
        <v>102988</v>
      </c>
      <c r="K50" s="2939">
        <v>247171.20000000001</v>
      </c>
      <c r="L50" s="2939" t="s">
        <v>3102</v>
      </c>
      <c r="M50" s="2939" t="s">
        <v>2819</v>
      </c>
      <c r="N50" s="2939" t="s">
        <v>3234</v>
      </c>
      <c r="O50" s="2939" t="s">
        <v>2819</v>
      </c>
      <c r="P50" s="2939" t="s">
        <v>3120</v>
      </c>
      <c r="Q50" s="2939" t="s">
        <v>2819</v>
      </c>
      <c r="R50" s="2939" t="s">
        <v>2819</v>
      </c>
      <c r="S50" s="2939" t="s">
        <v>2819</v>
      </c>
      <c r="T50" s="2939" t="s">
        <v>2819</v>
      </c>
      <c r="U50" s="2939" t="s">
        <v>2819</v>
      </c>
      <c r="V50" s="2939" t="s">
        <v>2819</v>
      </c>
      <c r="W50" s="2939" t="s">
        <v>3081</v>
      </c>
      <c r="X50" s="2939" t="s">
        <v>3217</v>
      </c>
      <c r="Y50" s="2939" t="s">
        <v>3218</v>
      </c>
      <c r="Z50" s="2939" t="s">
        <v>3219</v>
      </c>
      <c r="AA50" s="2939" t="s">
        <v>3219</v>
      </c>
      <c r="AB50" s="2939" t="s">
        <v>3246</v>
      </c>
      <c r="AC50" s="2939" t="s">
        <v>3033</v>
      </c>
      <c r="AD50" s="2939" t="s">
        <v>3226</v>
      </c>
      <c r="AE50" s="2939">
        <v>50000</v>
      </c>
      <c r="AF50" s="2939">
        <v>123586</v>
      </c>
      <c r="AG50" s="2939">
        <v>259798.6</v>
      </c>
      <c r="AH50" s="2939">
        <v>800</v>
      </c>
      <c r="AI50" s="2939">
        <v>1681.74</v>
      </c>
      <c r="AJ50" s="2939">
        <v>5000.01</v>
      </c>
      <c r="AK50" s="2939">
        <v>10510.87</v>
      </c>
      <c r="AL50" s="2939">
        <f t="shared" si="1"/>
        <v>25226</v>
      </c>
      <c r="AM50" s="2939" t="s">
        <v>2819</v>
      </c>
      <c r="AN50" s="2939">
        <v>110.22</v>
      </c>
      <c r="AO50" s="2939" t="s">
        <v>3035</v>
      </c>
      <c r="AP50" s="2939" t="s">
        <v>2819</v>
      </c>
      <c r="AQ50" s="2939" t="s">
        <v>2819</v>
      </c>
      <c r="AR50" s="2939" t="s">
        <v>2819</v>
      </c>
    </row>
    <row r="51" spans="1:44" s="2939" customFormat="1">
      <c r="A51" s="2939" t="s">
        <v>3247</v>
      </c>
      <c r="B51" s="2939" t="s">
        <v>3019</v>
      </c>
      <c r="C51" s="2939" t="s">
        <v>3020</v>
      </c>
      <c r="D51" s="2939" t="s">
        <v>3021</v>
      </c>
      <c r="E51" s="2939" t="s">
        <v>2819</v>
      </c>
      <c r="F51" s="2939" t="s">
        <v>3247</v>
      </c>
      <c r="G51" s="2939" t="s">
        <v>3023</v>
      </c>
      <c r="H51" s="2939" t="s">
        <v>3248</v>
      </c>
      <c r="I51" s="2939" t="s">
        <v>3052</v>
      </c>
      <c r="J51" s="2939">
        <v>69618</v>
      </c>
      <c r="K51" s="2939">
        <v>222081.4</v>
      </c>
      <c r="L51" s="2939" t="s">
        <v>3249</v>
      </c>
      <c r="M51" s="2939" t="s">
        <v>2819</v>
      </c>
      <c r="N51" s="2939" t="s">
        <v>2819</v>
      </c>
      <c r="O51" s="2939" t="s">
        <v>2819</v>
      </c>
      <c r="P51" s="2939" t="s">
        <v>2819</v>
      </c>
      <c r="Q51" s="2939" t="s">
        <v>2819</v>
      </c>
      <c r="R51" s="2939" t="s">
        <v>2819</v>
      </c>
      <c r="S51" s="2939" t="s">
        <v>2819</v>
      </c>
      <c r="T51" s="2939" t="s">
        <v>2819</v>
      </c>
      <c r="U51" s="2939" t="s">
        <v>2819</v>
      </c>
      <c r="V51" s="2939" t="s">
        <v>2819</v>
      </c>
      <c r="W51" s="2939" t="s">
        <v>3081</v>
      </c>
      <c r="X51" s="2939" t="s">
        <v>3250</v>
      </c>
      <c r="Y51" s="2939" t="s">
        <v>3251</v>
      </c>
      <c r="Z51" s="2939" t="s">
        <v>3176</v>
      </c>
      <c r="AA51" s="2939" t="s">
        <v>3176</v>
      </c>
      <c r="AB51" s="2939" t="s">
        <v>3252</v>
      </c>
      <c r="AC51" s="2939" t="s">
        <v>3033</v>
      </c>
      <c r="AD51" s="2939" t="s">
        <v>3253</v>
      </c>
      <c r="AE51" s="2939">
        <v>32000</v>
      </c>
      <c r="AF51" s="2939">
        <v>64053</v>
      </c>
      <c r="AG51" s="2939">
        <v>64053</v>
      </c>
      <c r="AH51" s="2939">
        <v>613.38</v>
      </c>
      <c r="AI51" s="2939">
        <v>613.38</v>
      </c>
      <c r="AJ51" s="2939">
        <v>2884.21</v>
      </c>
      <c r="AK51" s="2939">
        <v>2884.21</v>
      </c>
      <c r="AL51" s="2939">
        <f t="shared" si="1"/>
        <v>9201</v>
      </c>
      <c r="AM51" s="2939" t="s">
        <v>2819</v>
      </c>
      <c r="AN51" s="2939">
        <v>0</v>
      </c>
      <c r="AO51" s="2939" t="s">
        <v>3035</v>
      </c>
      <c r="AP51" s="2939" t="s">
        <v>2819</v>
      </c>
      <c r="AQ51" s="2939" t="s">
        <v>2819</v>
      </c>
      <c r="AR51" s="2939" t="s">
        <v>2819</v>
      </c>
    </row>
    <row r="52" spans="1:44" s="2939" customFormat="1">
      <c r="A52" s="2939" t="s">
        <v>3247</v>
      </c>
      <c r="B52" s="2939" t="s">
        <v>3019</v>
      </c>
      <c r="C52" s="2939" t="s">
        <v>3020</v>
      </c>
      <c r="D52" s="2939" t="s">
        <v>3021</v>
      </c>
      <c r="E52" s="2939" t="s">
        <v>2819</v>
      </c>
      <c r="F52" s="2939" t="s">
        <v>3247</v>
      </c>
      <c r="G52" s="2939" t="s">
        <v>3023</v>
      </c>
      <c r="H52" s="2939" t="s">
        <v>3254</v>
      </c>
      <c r="I52" s="2939" t="s">
        <v>3052</v>
      </c>
      <c r="J52" s="2939">
        <v>47807</v>
      </c>
      <c r="K52" s="2939">
        <v>153460.5</v>
      </c>
      <c r="L52" s="2939" t="s">
        <v>3255</v>
      </c>
      <c r="M52" s="2939" t="s">
        <v>2819</v>
      </c>
      <c r="N52" s="2939" t="s">
        <v>2819</v>
      </c>
      <c r="O52" s="2939" t="s">
        <v>2819</v>
      </c>
      <c r="P52" s="2939" t="s">
        <v>2819</v>
      </c>
      <c r="Q52" s="2939" t="s">
        <v>2819</v>
      </c>
      <c r="R52" s="2939" t="s">
        <v>2819</v>
      </c>
      <c r="S52" s="2939" t="s">
        <v>2819</v>
      </c>
      <c r="T52" s="2939" t="s">
        <v>2819</v>
      </c>
      <c r="U52" s="2939" t="s">
        <v>2819</v>
      </c>
      <c r="V52" s="2939" t="s">
        <v>2819</v>
      </c>
      <c r="W52" s="2939" t="s">
        <v>3081</v>
      </c>
      <c r="X52" s="2939" t="s">
        <v>3250</v>
      </c>
      <c r="Y52" s="2939" t="s">
        <v>3251</v>
      </c>
      <c r="Z52" s="2939" t="s">
        <v>3176</v>
      </c>
      <c r="AA52" s="2939" t="s">
        <v>3176</v>
      </c>
      <c r="AB52" s="2939" t="s">
        <v>3256</v>
      </c>
      <c r="AC52" s="2939" t="s">
        <v>3033</v>
      </c>
      <c r="AD52" s="2939" t="s">
        <v>3253</v>
      </c>
      <c r="AE52" s="2939">
        <v>22000</v>
      </c>
      <c r="AF52" s="2939">
        <v>43032</v>
      </c>
      <c r="AG52" s="2939">
        <v>43032</v>
      </c>
      <c r="AH52" s="2939">
        <v>600.08000000000004</v>
      </c>
      <c r="AI52" s="2939">
        <v>600.08000000000004</v>
      </c>
      <c r="AJ52" s="2939">
        <v>2804.1</v>
      </c>
      <c r="AK52" s="2939">
        <v>2804.11</v>
      </c>
      <c r="AL52" s="2939">
        <f t="shared" si="1"/>
        <v>9001</v>
      </c>
      <c r="AM52" s="2939" t="s">
        <v>2819</v>
      </c>
      <c r="AN52" s="2939">
        <v>0</v>
      </c>
      <c r="AO52" s="2939" t="s">
        <v>3035</v>
      </c>
      <c r="AP52" s="2939" t="s">
        <v>2819</v>
      </c>
      <c r="AQ52" s="2939" t="s">
        <v>2819</v>
      </c>
      <c r="AR52" s="2939" t="s">
        <v>2819</v>
      </c>
    </row>
    <row r="53" spans="1:44" s="2939" customFormat="1">
      <c r="A53" s="2939" t="s">
        <v>3247</v>
      </c>
      <c r="B53" s="2939" t="s">
        <v>3019</v>
      </c>
      <c r="C53" s="2939" t="s">
        <v>3020</v>
      </c>
      <c r="D53" s="2939" t="s">
        <v>3021</v>
      </c>
      <c r="E53" s="2939" t="s">
        <v>2819</v>
      </c>
      <c r="F53" s="2939" t="s">
        <v>3247</v>
      </c>
      <c r="G53" s="2939" t="s">
        <v>3023</v>
      </c>
      <c r="H53" s="2939" t="s">
        <v>3257</v>
      </c>
      <c r="I53" s="2939" t="s">
        <v>3052</v>
      </c>
      <c r="J53" s="2939">
        <v>62037</v>
      </c>
      <c r="K53" s="2939">
        <v>179907.3</v>
      </c>
      <c r="L53" s="2939" t="s">
        <v>3079</v>
      </c>
      <c r="M53" s="2939" t="s">
        <v>2819</v>
      </c>
      <c r="N53" s="2939" t="s">
        <v>2819</v>
      </c>
      <c r="O53" s="2939" t="s">
        <v>2819</v>
      </c>
      <c r="P53" s="2939" t="s">
        <v>2819</v>
      </c>
      <c r="Q53" s="2939" t="s">
        <v>2819</v>
      </c>
      <c r="R53" s="2939" t="s">
        <v>2819</v>
      </c>
      <c r="S53" s="2939" t="s">
        <v>2819</v>
      </c>
      <c r="T53" s="2939" t="s">
        <v>2819</v>
      </c>
      <c r="U53" s="2939" t="s">
        <v>2819</v>
      </c>
      <c r="V53" s="2939" t="s">
        <v>2819</v>
      </c>
      <c r="W53" s="2939" t="s">
        <v>3081</v>
      </c>
      <c r="X53" s="2939" t="s">
        <v>3250</v>
      </c>
      <c r="Y53" s="2939" t="s">
        <v>3251</v>
      </c>
      <c r="Z53" s="2939" t="s">
        <v>3176</v>
      </c>
      <c r="AA53" s="2939" t="s">
        <v>3176</v>
      </c>
      <c r="AB53" s="2939" t="s">
        <v>3258</v>
      </c>
      <c r="AC53" s="2939" t="s">
        <v>3033</v>
      </c>
      <c r="AD53" s="2939" t="s">
        <v>3253</v>
      </c>
      <c r="AE53" s="2939">
        <v>26000</v>
      </c>
      <c r="AF53" s="2939">
        <v>52297</v>
      </c>
      <c r="AG53" s="2939">
        <v>52297</v>
      </c>
      <c r="AH53" s="2939">
        <v>562</v>
      </c>
      <c r="AI53" s="2939">
        <v>562</v>
      </c>
      <c r="AJ53" s="2939">
        <v>2906.88</v>
      </c>
      <c r="AK53" s="2939">
        <v>2906.88</v>
      </c>
      <c r="AL53" s="2939">
        <f t="shared" si="1"/>
        <v>8430</v>
      </c>
      <c r="AM53" s="2939" t="s">
        <v>2819</v>
      </c>
      <c r="AN53" s="2939">
        <v>0</v>
      </c>
      <c r="AO53" s="2939" t="s">
        <v>3035</v>
      </c>
      <c r="AP53" s="2939" t="s">
        <v>2819</v>
      </c>
      <c r="AQ53" s="2939" t="s">
        <v>2819</v>
      </c>
      <c r="AR53" s="2939" t="s">
        <v>2819</v>
      </c>
    </row>
    <row r="54" spans="1:44" s="2939" customFormat="1">
      <c r="A54" s="2939" t="s">
        <v>3247</v>
      </c>
      <c r="B54" s="2939" t="s">
        <v>3019</v>
      </c>
      <c r="C54" s="2939" t="s">
        <v>3020</v>
      </c>
      <c r="D54" s="2939" t="s">
        <v>3021</v>
      </c>
      <c r="E54" s="2939" t="s">
        <v>2819</v>
      </c>
      <c r="F54" s="2939" t="s">
        <v>3247</v>
      </c>
      <c r="G54" s="2939" t="s">
        <v>3023</v>
      </c>
      <c r="H54" s="2939" t="s">
        <v>3259</v>
      </c>
      <c r="I54" s="2939" t="s">
        <v>3052</v>
      </c>
      <c r="J54" s="2939">
        <v>65394</v>
      </c>
      <c r="K54" s="2939">
        <v>219069.9</v>
      </c>
      <c r="L54" s="2939" t="s">
        <v>3068</v>
      </c>
      <c r="M54" s="2939" t="s">
        <v>2819</v>
      </c>
      <c r="N54" s="2939" t="s">
        <v>2819</v>
      </c>
      <c r="O54" s="2939" t="s">
        <v>2819</v>
      </c>
      <c r="P54" s="2939" t="s">
        <v>2819</v>
      </c>
      <c r="Q54" s="2939" t="s">
        <v>2819</v>
      </c>
      <c r="R54" s="2939" t="s">
        <v>2819</v>
      </c>
      <c r="S54" s="2939" t="s">
        <v>2819</v>
      </c>
      <c r="T54" s="2939" t="s">
        <v>2819</v>
      </c>
      <c r="U54" s="2939" t="s">
        <v>2819</v>
      </c>
      <c r="V54" s="2939" t="s">
        <v>2819</v>
      </c>
      <c r="W54" s="2939" t="s">
        <v>3081</v>
      </c>
      <c r="X54" s="2939" t="s">
        <v>3250</v>
      </c>
      <c r="Y54" s="2939" t="s">
        <v>3251</v>
      </c>
      <c r="Z54" s="2939" t="s">
        <v>3176</v>
      </c>
      <c r="AA54" s="2939" t="s">
        <v>3176</v>
      </c>
      <c r="AB54" s="2939" t="s">
        <v>3260</v>
      </c>
      <c r="AC54" s="2939" t="s">
        <v>3033</v>
      </c>
      <c r="AD54" s="2939" t="s">
        <v>3253</v>
      </c>
      <c r="AE54" s="2939">
        <v>30000</v>
      </c>
      <c r="AF54" s="2939">
        <v>61713</v>
      </c>
      <c r="AG54" s="2939">
        <v>61713</v>
      </c>
      <c r="AH54" s="2939">
        <v>629.14</v>
      </c>
      <c r="AI54" s="2939">
        <v>629.14</v>
      </c>
      <c r="AJ54" s="2939">
        <v>2817.04</v>
      </c>
      <c r="AK54" s="2939">
        <v>2817.05</v>
      </c>
      <c r="AL54" s="2939">
        <f t="shared" si="1"/>
        <v>9437</v>
      </c>
      <c r="AM54" s="2939" t="s">
        <v>2819</v>
      </c>
      <c r="AN54" s="2939">
        <v>0</v>
      </c>
      <c r="AO54" s="2939" t="s">
        <v>3035</v>
      </c>
      <c r="AP54" s="2939" t="s">
        <v>2819</v>
      </c>
      <c r="AQ54" s="2939" t="s">
        <v>2819</v>
      </c>
      <c r="AR54" s="2939" t="s">
        <v>2819</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I1" workbookViewId="0">
      <selection activeCell="T30" sqref="T30"/>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2040</v>
      </c>
      <c r="B1" s="3198"/>
      <c r="C1" s="3198"/>
      <c r="D1" s="3198"/>
      <c r="E1" s="3198"/>
      <c r="F1" s="3198"/>
      <c r="G1" s="3198"/>
      <c r="H1" s="3198"/>
      <c r="I1" s="3198"/>
      <c r="J1" s="3198"/>
      <c r="K1" s="3198"/>
      <c r="L1" s="3198"/>
      <c r="M1" s="3198"/>
      <c r="N1" s="3198"/>
      <c r="O1" s="3198"/>
      <c r="P1" s="3198"/>
      <c r="Q1" s="3198"/>
      <c r="R1" s="3198"/>
    </row>
    <row r="2" spans="1:18">
      <c r="A2" s="1807" t="s">
        <v>2042</v>
      </c>
      <c r="B2" s="1807"/>
      <c r="C2" s="1807"/>
      <c r="D2" s="1807"/>
      <c r="E2" s="1807"/>
      <c r="F2" s="1807"/>
      <c r="G2" s="1807"/>
      <c r="H2" s="1807"/>
      <c r="I2" s="1808"/>
      <c r="J2" s="1808"/>
      <c r="K2" s="1809" t="str">
        <f>"估价期日："&amp;TEXT(项目基本情况!D3,"yyyy年m月d日;;")</f>
        <v>估价期日：2018年8月24日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9" t="s">
        <v>2031</v>
      </c>
      <c r="B3" s="3199" t="s">
        <v>2732</v>
      </c>
      <c r="C3" s="3200" t="s">
        <v>2032</v>
      </c>
      <c r="D3" s="3199" t="s">
        <v>2736</v>
      </c>
      <c r="E3" s="3194" t="s">
        <v>2033</v>
      </c>
      <c r="F3" s="3194"/>
      <c r="G3" s="3194"/>
      <c r="H3" s="3194" t="s">
        <v>2034</v>
      </c>
      <c r="I3" s="3194"/>
      <c r="J3" s="3194"/>
      <c r="K3" s="3200" t="s">
        <v>2035</v>
      </c>
      <c r="L3" s="3200" t="s">
        <v>2036</v>
      </c>
      <c r="M3" s="3199" t="s">
        <v>2733</v>
      </c>
      <c r="N3" s="3201" t="str">
        <f>"（分摊）"&amp;项目基本情况!B16&amp;"国有建设用地使用权面积/㎡"</f>
        <v>（分摊）出让国有建设用地使用权面积/㎡</v>
      </c>
      <c r="O3" s="3199" t="s">
        <v>2065</v>
      </c>
      <c r="P3" s="3200" t="s">
        <v>2045</v>
      </c>
      <c r="Q3" s="3200" t="s">
        <v>2066</v>
      </c>
      <c r="R3" s="3200" t="s">
        <v>2037</v>
      </c>
    </row>
    <row r="4" spans="1:18" ht="36.75" customHeight="1">
      <c r="A4" s="3199"/>
      <c r="B4" s="3199"/>
      <c r="C4" s="3200"/>
      <c r="D4" s="3199"/>
      <c r="E4" s="2649" t="s">
        <v>2044</v>
      </c>
      <c r="F4" s="2649" t="s">
        <v>2745</v>
      </c>
      <c r="G4" s="2649" t="s">
        <v>2038</v>
      </c>
      <c r="H4" s="2649" t="s">
        <v>2039</v>
      </c>
      <c r="I4" s="2649" t="s">
        <v>2746</v>
      </c>
      <c r="J4" s="2649" t="s">
        <v>2038</v>
      </c>
      <c r="K4" s="3200"/>
      <c r="L4" s="3200"/>
      <c r="M4" s="3199"/>
      <c r="N4" s="3201"/>
      <c r="O4" s="3199"/>
      <c r="P4" s="3200"/>
      <c r="Q4" s="3200"/>
      <c r="R4" s="3200"/>
    </row>
    <row r="5" spans="1:18" ht="135" customHeight="1">
      <c r="A5" s="1943" t="s">
        <v>2656</v>
      </c>
      <c r="B5" s="2867" t="s">
        <v>2654</v>
      </c>
      <c r="C5" s="2648">
        <v>22</v>
      </c>
      <c r="D5" s="2647" t="s">
        <v>2655</v>
      </c>
      <c r="E5" s="1810" t="str">
        <f>项目基本情况!B12</f>
        <v>住宅、商业</v>
      </c>
      <c r="F5" s="2647">
        <v>258</v>
      </c>
      <c r="G5" s="1810" t="str">
        <f>项目基本情况!B13</f>
        <v>住宅、商业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23013</v>
      </c>
      <c r="O5" s="1810">
        <f>项目基本情况!C21</f>
        <v>96730.640000000014</v>
      </c>
      <c r="P5" s="1810">
        <f ca="1">结果表!E42</f>
        <v>22946</v>
      </c>
      <c r="Q5" s="1810">
        <f ca="1">结果表!D42</f>
        <v>5459</v>
      </c>
      <c r="R5" s="1811">
        <f ca="1">结果表!C42</f>
        <v>52805</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812">
        <f ca="1">结果表!O39</f>
        <v>52805</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812"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3" t="s">
        <v>2067</v>
      </c>
      <c r="B1" s="3203"/>
      <c r="C1" s="3203"/>
      <c r="D1" s="3203"/>
    </row>
    <row r="2" spans="1:4" ht="47.25" customHeight="1">
      <c r="A2" s="3204" t="str">
        <f>"1.权利限制："&amp;项目基本情况!L24&amp;"未设定租赁等其他他项权利。"</f>
        <v>1.权利限制：根据估价对象《不动产权证书》原件、，截至估价期日，估价对象抵押权未见登记。未设定租赁等其他他项权利。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2068</v>
      </c>
      <c r="B5" s="3202"/>
      <c r="C5" s="3202"/>
      <c r="D5" s="3202"/>
    </row>
    <row r="6" spans="1:4">
      <c r="A6" s="3203" t="s">
        <v>2046</v>
      </c>
      <c r="B6" s="3203"/>
      <c r="C6" s="3203"/>
      <c r="D6" s="3203"/>
    </row>
    <row r="7" spans="1:4" ht="33" customHeight="1">
      <c r="A7" s="3203" t="s">
        <v>2576</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（1）根据估价对象《不动产权证书》原件、，截至估价期日，估价对象抵押权未见登记。</v>
      </c>
      <c r="B11" s="3205"/>
      <c r="C11" s="3205"/>
      <c r="D11" s="3205"/>
    </row>
    <row r="12" spans="1:4" ht="168" customHeight="1">
      <c r="A12" s="3202" t="s">
        <v>2070</v>
      </c>
      <c r="B12" s="3202"/>
      <c r="C12" s="3202"/>
      <c r="D12" s="3202"/>
    </row>
    <row r="13" spans="1:4">
      <c r="A13" s="3206" t="s">
        <v>2747</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2703</v>
      </c>
      <c r="B17" s="3203"/>
      <c r="C17" s="3203"/>
      <c r="D17" s="3203"/>
    </row>
    <row r="18" spans="1:4">
      <c r="A18" s="3203" t="s">
        <v>2695</v>
      </c>
      <c r="B18" s="3203"/>
      <c r="C18" s="3203"/>
      <c r="D18" s="3203"/>
    </row>
    <row r="19" spans="1:4">
      <c r="A19" s="2868" t="s">
        <v>2696</v>
      </c>
      <c r="B19" s="2868" t="s">
        <v>2697</v>
      </c>
      <c r="C19" s="2868" t="s">
        <v>2698</v>
      </c>
      <c r="D19" s="2868" t="s">
        <v>2699</v>
      </c>
    </row>
    <row r="20" spans="1:4">
      <c r="A20" s="2868" t="str">
        <f>项目基本情况!B4</f>
        <v>赵雯</v>
      </c>
      <c r="B20" s="2868">
        <f ca="1">项目基本情况!C4</f>
        <v>2011110090</v>
      </c>
      <c r="C20" s="2870"/>
      <c r="D20" s="1800" t="s">
        <v>2704</v>
      </c>
    </row>
    <row r="21" spans="1:4">
      <c r="A21" s="2868" t="str">
        <f>项目基本情况!D4</f>
        <v>崔锴</v>
      </c>
      <c r="B21" s="2868">
        <f ca="1">项目基本情况!E4</f>
        <v>2010110070</v>
      </c>
      <c r="C21" s="2870"/>
      <c r="D21" s="1800" t="s">
        <v>2705</v>
      </c>
    </row>
    <row r="23" spans="1:4">
      <c r="A23" s="3203" t="s">
        <v>2700</v>
      </c>
      <c r="B23" s="3203"/>
      <c r="C23" s="3203"/>
      <c r="D23" s="3203"/>
    </row>
    <row r="24" spans="1:4">
      <c r="A24" s="2868" t="s">
        <v>2696</v>
      </c>
      <c r="B24" s="2868" t="s">
        <v>2701</v>
      </c>
      <c r="C24" s="2868" t="s">
        <v>2698</v>
      </c>
      <c r="D24" s="2868" t="s">
        <v>2699</v>
      </c>
    </row>
    <row r="25" spans="1:4">
      <c r="A25" s="2871" t="s">
        <v>2702</v>
      </c>
      <c r="B25" s="2868" t="s">
        <v>952</v>
      </c>
      <c r="C25" s="2870"/>
      <c r="D25" s="1800" t="s">
        <v>2705</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4" t="s">
        <v>53</v>
      </c>
      <c r="B15" s="3215" t="s">
        <v>846</v>
      </c>
      <c r="C15" s="3211"/>
    </row>
    <row r="16" spans="1:7" ht="14.25">
      <c r="A16" s="3214"/>
      <c r="B16" s="3212" t="s">
        <v>54</v>
      </c>
      <c r="C16" s="1171" t="s">
        <v>53</v>
      </c>
    </row>
    <row r="17" spans="1:3" ht="14.25">
      <c r="A17" s="3214"/>
      <c r="B17" s="3212"/>
      <c r="C17" s="1171" t="s">
        <v>55</v>
      </c>
    </row>
    <row r="18" spans="1:3" ht="14.25">
      <c r="A18" s="3214"/>
      <c r="B18" s="3212"/>
      <c r="C18" s="1171" t="s">
        <v>56</v>
      </c>
    </row>
    <row r="19" spans="1:3" ht="14.25">
      <c r="A19" s="3214"/>
      <c r="B19" s="3210" t="s">
        <v>57</v>
      </c>
      <c r="C19" s="3211"/>
    </row>
    <row r="20" spans="1:3" ht="14.25">
      <c r="A20" s="1172" t="s">
        <v>58</v>
      </c>
      <c r="B20" s="1173"/>
      <c r="C20" s="1174"/>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5" t="s">
        <v>837</v>
      </c>
    </row>
    <row r="25" spans="1:3" ht="14.25">
      <c r="A25" s="3213"/>
      <c r="B25" s="3217"/>
      <c r="C25" s="1175" t="s">
        <v>838</v>
      </c>
    </row>
    <row r="26" spans="1:3" ht="14.25">
      <c r="A26" s="3213"/>
      <c r="B26" s="3217"/>
      <c r="C26" s="1175" t="s">
        <v>839</v>
      </c>
    </row>
    <row r="27" spans="1:3" ht="14.25">
      <c r="A27" s="3213"/>
      <c r="B27" s="3217"/>
      <c r="C27" s="1175" t="s">
        <v>840</v>
      </c>
    </row>
    <row r="28" spans="1:3" ht="14.25">
      <c r="A28" s="3213"/>
      <c r="B28" s="3217"/>
      <c r="C28" s="1175" t="s">
        <v>841</v>
      </c>
    </row>
    <row r="29" spans="1:3" ht="14.25">
      <c r="A29" s="3213"/>
      <c r="B29" s="3217"/>
      <c r="C29" s="1175" t="s">
        <v>842</v>
      </c>
    </row>
    <row r="30" spans="1:3" ht="14.25">
      <c r="A30" s="3213"/>
      <c r="B30" s="3217"/>
      <c r="C30" s="1175" t="s">
        <v>843</v>
      </c>
    </row>
    <row r="31" spans="1:3" ht="14.25">
      <c r="A31" s="3213"/>
      <c r="B31" s="3217"/>
      <c r="C31" s="1175" t="s">
        <v>844</v>
      </c>
    </row>
    <row r="32" spans="1:3" ht="14.25">
      <c r="A32" s="3213"/>
      <c r="B32" s="3217"/>
      <c r="C32" s="1175" t="s">
        <v>1647</v>
      </c>
    </row>
    <row r="33" spans="1:3" ht="14.25">
      <c r="A33" s="3213"/>
      <c r="B33" s="3207" t="s">
        <v>1653</v>
      </c>
      <c r="C33" s="1175" t="s">
        <v>1648</v>
      </c>
    </row>
    <row r="34" spans="1:3" ht="14.25">
      <c r="A34" s="3213"/>
      <c r="B34" s="3208"/>
      <c r="C34" s="1180" t="s">
        <v>1649</v>
      </c>
    </row>
    <row r="35" spans="1:3" ht="14.25">
      <c r="A35" s="3213"/>
      <c r="B35" s="3208"/>
      <c r="C35" s="1181" t="s">
        <v>1650</v>
      </c>
    </row>
    <row r="36" spans="1:3" ht="14.25">
      <c r="A36" s="3213"/>
      <c r="B36" s="3208"/>
      <c r="C36" s="1181" t="s">
        <v>1651</v>
      </c>
    </row>
    <row r="37" spans="1:3" ht="14.25">
      <c r="A37" s="3213"/>
      <c r="B37" s="320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43341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2970</v>
      </c>
      <c r="B12" s="2343">
        <v>1120110054</v>
      </c>
      <c r="C12" s="3006">
        <v>43937</v>
      </c>
      <c r="D12" s="2343" t="s">
        <v>2970</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2575</v>
      </c>
      <c r="B15" s="2343">
        <v>1120070085</v>
      </c>
      <c r="C15" s="3006">
        <v>43814</v>
      </c>
      <c r="D15" s="2343" t="s">
        <v>2575</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18" t="s">
        <v>1929</v>
      </c>
      <c r="B25" s="3218"/>
      <c r="C25" s="3218"/>
      <c r="D25" s="3218"/>
      <c r="E25" s="3218"/>
      <c r="F25" s="3218"/>
      <c r="G25" s="3218"/>
    </row>
    <row r="26" spans="1:7" ht="20.25" customHeight="1">
      <c r="A26" s="3219" t="s">
        <v>1930</v>
      </c>
      <c r="B26" s="3219"/>
      <c r="C26" s="3219"/>
      <c r="D26" s="3219" t="s">
        <v>1931</v>
      </c>
      <c r="E26" s="3219"/>
      <c r="F26" s="3219"/>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2948</v>
      </c>
      <c r="C18" s="1553"/>
    </row>
    <row r="19" spans="1:3">
      <c r="A19" s="8" t="s">
        <v>120</v>
      </c>
      <c r="B19" s="3110" t="s">
        <v>2956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济南正启置业有限公司拟使用山东省济南市历城区开源中路以北、幸福柳路以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2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24日，在规划利用条件下、设定土地开发程度为红线外“七通”、宗地内场地平整，设定用途为住宅、商业，剩余土地使用年限为的出让国有建设用地使用权价格。</v>
      </c>
      <c r="D53" s="1767"/>
      <c r="E53" s="1767"/>
    </row>
    <row r="54" spans="1:5">
      <c r="A54" s="322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2018-08-29T11:29:39Z</dcterms:modified>
</cp:coreProperties>
</file>