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1008-亦庄龙湖天街2025年\"/>
    </mc:Choice>
  </mc:AlternateContent>
  <xr:revisionPtr revIDLastSave="0" documentId="13_ncr:1_{B3AC25FB-0BE0-45EB-9E81-CD0797CCB30C}" xr6:coauthVersionLast="47" xr6:coauthVersionMax="47" xr10:uidLastSave="{00000000-0000-0000-0000-000000000000}"/>
  <bookViews>
    <workbookView xWindow="-84" yWindow="276" windowWidth="12948" windowHeight="11988"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F45" i="68" s="1"/>
  <c r="G22" i="68"/>
  <c r="F21" i="68"/>
  <c r="C21" i="68"/>
  <c r="F20" i="68"/>
  <c r="E19" i="68"/>
  <c r="D19" i="68"/>
  <c r="D37" i="68" s="1"/>
  <c r="C37" i="68" s="1"/>
  <c r="C19" i="68"/>
  <c r="E10" i="68"/>
  <c r="D10" i="68"/>
  <c r="C10" i="68"/>
  <c r="E9" i="68"/>
  <c r="D9" i="68"/>
  <c r="C9" i="68" s="1"/>
  <c r="C8" i="68"/>
  <c r="F7" i="68"/>
  <c r="C7" i="68"/>
  <c r="C6" i="68"/>
  <c r="C5"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C14" i="74" s="1"/>
  <c r="B2" i="74" s="1"/>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C24" i="20"/>
  <c r="C22" i="20"/>
  <c r="C21" i="20"/>
  <c r="G20" i="20"/>
  <c r="C20" i="20"/>
  <c r="G19" i="20"/>
  <c r="G18" i="20"/>
  <c r="C18" i="20"/>
  <c r="C17" i="20"/>
  <c r="G16" i="20"/>
  <c r="C16" i="20"/>
  <c r="G15" i="20"/>
  <c r="C15" i="20"/>
  <c r="B52" i="1"/>
  <c r="B43" i="1"/>
  <c r="C42" i="1"/>
  <c r="B41" i="1"/>
  <c r="B35" i="1"/>
  <c r="B31" i="1"/>
  <c r="B29" i="1"/>
  <c r="B24" i="1"/>
  <c r="B23" i="1"/>
  <c r="B22" i="1"/>
  <c r="B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Y107" i="80"/>
  <c r="X107" i="80"/>
  <c r="W107" i="80"/>
  <c r="V107" i="80"/>
  <c r="U107" i="80"/>
  <c r="T107" i="80"/>
  <c r="S107" i="80"/>
  <c r="R107" i="80"/>
  <c r="Q107" i="80"/>
  <c r="P107" i="80"/>
  <c r="O107" i="80"/>
  <c r="N107" i="80"/>
  <c r="M107" i="80"/>
  <c r="F106" i="80"/>
  <c r="S105" i="80"/>
  <c r="R105" i="80"/>
  <c r="Q105" i="80"/>
  <c r="P105" i="80"/>
  <c r="O105" i="80"/>
  <c r="N105" i="80"/>
  <c r="M105" i="80"/>
  <c r="F104" i="80"/>
  <c r="W103" i="80"/>
  <c r="V103" i="80"/>
  <c r="U103" i="80"/>
  <c r="T103" i="80"/>
  <c r="S103" i="80"/>
  <c r="R103" i="80"/>
  <c r="Q103" i="80"/>
  <c r="P103" i="80"/>
  <c r="O103" i="80"/>
  <c r="N103" i="80"/>
  <c r="M103" i="80"/>
  <c r="F102" i="80"/>
  <c r="S101" i="80"/>
  <c r="R101" i="80"/>
  <c r="Q101" i="80"/>
  <c r="P101" i="80"/>
  <c r="O101" i="80"/>
  <c r="N101" i="80"/>
  <c r="M101" i="80"/>
  <c r="F100" i="80"/>
  <c r="P99" i="80"/>
  <c r="O99" i="80"/>
  <c r="N99" i="80"/>
  <c r="M99" i="80"/>
  <c r="F98" i="80"/>
  <c r="P97" i="80"/>
  <c r="O97" i="80"/>
  <c r="N97" i="80"/>
  <c r="M97" i="80"/>
  <c r="I96" i="80"/>
  <c r="F96" i="80"/>
  <c r="P95" i="80"/>
  <c r="O95" i="80"/>
  <c r="N95" i="80"/>
  <c r="M95" i="80"/>
  <c r="I94" i="80"/>
  <c r="F94" i="80"/>
  <c r="P93" i="80"/>
  <c r="O93" i="80"/>
  <c r="N93" i="80"/>
  <c r="M93" i="80"/>
  <c r="I92" i="80"/>
  <c r="F92" i="80"/>
  <c r="Q91" i="80"/>
  <c r="P91" i="80"/>
  <c r="O91" i="80"/>
  <c r="N91" i="80"/>
  <c r="M91" i="80"/>
  <c r="F90" i="80"/>
  <c r="S89" i="80"/>
  <c r="R89" i="80"/>
  <c r="Q89" i="80"/>
  <c r="P89" i="80"/>
  <c r="O89" i="80"/>
  <c r="N89" i="80"/>
  <c r="M89" i="80"/>
  <c r="F88" i="80"/>
  <c r="P87" i="80"/>
  <c r="O87" i="80"/>
  <c r="N87" i="80"/>
  <c r="M87" i="80"/>
  <c r="I86" i="80"/>
  <c r="G79" i="80"/>
  <c r="C79" i="80"/>
  <c r="G78" i="80"/>
  <c r="F78" i="80"/>
  <c r="E78" i="80"/>
  <c r="D78" i="80"/>
  <c r="C78" i="80"/>
  <c r="G77" i="80"/>
  <c r="F77" i="80"/>
  <c r="E77" i="80"/>
  <c r="D77" i="80"/>
  <c r="C77" i="80"/>
  <c r="G76" i="80"/>
  <c r="F76" i="80"/>
  <c r="E76" i="80"/>
  <c r="D76" i="80"/>
  <c r="C76" i="80"/>
  <c r="G75" i="80"/>
  <c r="G73" i="80"/>
  <c r="F73" i="80"/>
  <c r="E73" i="80"/>
  <c r="D73" i="80"/>
  <c r="C73" i="80"/>
  <c r="G72" i="80"/>
  <c r="O64" i="80"/>
  <c r="N64" i="80"/>
  <c r="L64" i="80"/>
  <c r="K64" i="80"/>
  <c r="J64" i="80"/>
  <c r="G59" i="80"/>
  <c r="F59" i="80"/>
  <c r="E59" i="80"/>
  <c r="D59" i="80"/>
  <c r="C59" i="80"/>
  <c r="G58" i="80"/>
  <c r="F58" i="80"/>
  <c r="E58" i="80"/>
  <c r="D58" i="80"/>
  <c r="C58" i="80"/>
  <c r="G57" i="80"/>
  <c r="G56" i="80"/>
  <c r="H40" i="80"/>
  <c r="G34" i="80"/>
  <c r="E34" i="80"/>
  <c r="D34" i="80"/>
  <c r="C34" i="80"/>
  <c r="E33" i="80"/>
  <c r="D33" i="80"/>
  <c r="E32" i="80"/>
  <c r="C32" i="80"/>
  <c r="E31" i="80"/>
  <c r="C31" i="80"/>
  <c r="E30" i="80"/>
  <c r="C30" i="80"/>
  <c r="E29" i="80"/>
  <c r="C29" i="80"/>
  <c r="E28" i="80"/>
  <c r="D28" i="80"/>
  <c r="C28" i="80"/>
  <c r="E22" i="80"/>
  <c r="F21" i="80"/>
  <c r="E21" i="80"/>
  <c r="D21" i="80"/>
  <c r="C21" i="80"/>
  <c r="E20" i="80"/>
  <c r="L19" i="80"/>
  <c r="J19" i="80"/>
  <c r="E19" i="80"/>
  <c r="L18" i="80"/>
  <c r="J18" i="80"/>
  <c r="E18" i="80"/>
  <c r="R17" i="80"/>
  <c r="O17" i="80"/>
  <c r="N17" i="80"/>
  <c r="L17" i="80"/>
  <c r="J17" i="80"/>
  <c r="H17" i="80"/>
  <c r="E17" i="80"/>
  <c r="L16" i="80"/>
  <c r="J16" i="80"/>
  <c r="E16" i="80"/>
  <c r="R15" i="80"/>
  <c r="O15" i="80"/>
  <c r="M15" i="80"/>
  <c r="L15" i="80"/>
  <c r="J15" i="80"/>
  <c r="H15" i="80"/>
  <c r="E15" i="80"/>
  <c r="R14" i="80"/>
  <c r="O14" i="80"/>
  <c r="M14" i="80"/>
  <c r="L14" i="80"/>
  <c r="J14" i="80"/>
  <c r="E14" i="80"/>
  <c r="R13" i="80"/>
  <c r="O13" i="80"/>
  <c r="M13" i="80"/>
  <c r="L13" i="80"/>
  <c r="J13" i="80"/>
  <c r="H13" i="80"/>
  <c r="E13" i="80"/>
  <c r="R12" i="80"/>
  <c r="O12" i="80"/>
  <c r="M12" i="80"/>
  <c r="L12" i="80"/>
  <c r="J12" i="80"/>
  <c r="H12" i="80"/>
  <c r="E12" i="80"/>
  <c r="R11" i="80"/>
  <c r="O11" i="80"/>
  <c r="M11" i="80"/>
  <c r="L11" i="80"/>
  <c r="J11" i="80"/>
  <c r="H11" i="80"/>
  <c r="E11" i="80"/>
  <c r="R10" i="80"/>
  <c r="O10" i="80"/>
  <c r="M10" i="80"/>
  <c r="J10" i="80"/>
  <c r="E10" i="80"/>
  <c r="E9"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D19" i="53"/>
  <c r="D20" i="53"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D2" i="34"/>
  <c r="D2" i="33"/>
  <c r="L48" i="67"/>
  <c r="L47" i="67"/>
  <c r="F41" i="67"/>
  <c r="F38" i="67"/>
  <c r="F36" i="67"/>
  <c r="M29" i="67"/>
  <c r="M26" i="67"/>
  <c r="F16" i="67"/>
  <c r="F13" i="67"/>
  <c r="M8" i="67"/>
  <c r="M6" i="67"/>
  <c r="D6" i="73"/>
  <c r="D4" i="73"/>
  <c r="B13" i="76"/>
  <c r="B11" i="76"/>
  <c r="B9" i="76"/>
  <c r="B7" i="76"/>
  <c r="D2" i="36"/>
  <c r="F43" i="67"/>
  <c r="F40" i="67"/>
  <c r="M24" i="67"/>
  <c r="F8" i="67"/>
  <c r="F38" i="15"/>
  <c r="F36" i="15"/>
  <c r="M29" i="15"/>
  <c r="M26" i="15"/>
  <c r="F7" i="73"/>
  <c r="F5" i="73"/>
  <c r="F3" i="73"/>
  <c r="E12" i="76"/>
  <c r="E10" i="76"/>
  <c r="E8" i="76"/>
  <c r="E6" i="76"/>
  <c r="D2" i="37"/>
  <c r="C76" i="67"/>
  <c r="F37" i="67"/>
  <c r="F35" i="67"/>
  <c r="M27" i="67"/>
  <c r="F26" i="67"/>
  <c r="M23" i="67"/>
  <c r="M21" i="67"/>
  <c r="J15" i="67"/>
  <c r="M9" i="67"/>
  <c r="F6" i="67"/>
  <c r="L48" i="15"/>
  <c r="L47" i="15"/>
  <c r="F43" i="15"/>
  <c r="F40" i="15"/>
  <c r="M24" i="15"/>
  <c r="D3" i="73"/>
  <c r="B10" i="76"/>
  <c r="D2" i="21"/>
  <c r="C76" i="15"/>
  <c r="F42" i="15"/>
  <c r="M9" i="15"/>
  <c r="F6" i="15"/>
  <c r="B8" i="76"/>
  <c r="F42" i="67"/>
  <c r="M28" i="67"/>
  <c r="F35" i="15"/>
  <c r="M27" i="15"/>
  <c r="M23" i="15"/>
  <c r="M21" i="15"/>
  <c r="F16" i="15"/>
  <c r="C14" i="15"/>
  <c r="F9" i="15"/>
  <c r="F7" i="15"/>
  <c r="J15" i="15"/>
  <c r="M6" i="15"/>
  <c r="AO10" i="1"/>
  <c r="B6" i="76"/>
  <c r="F20" i="31"/>
  <c r="M28" i="15"/>
  <c r="F26" i="15"/>
  <c r="F8" i="15"/>
  <c r="AO7" i="1"/>
  <c r="M22" i="67"/>
  <c r="F9" i="67"/>
  <c r="F13" i="15"/>
  <c r="AO11" i="1"/>
  <c r="AO8" i="1"/>
  <c r="D7" i="73"/>
  <c r="F7" i="67"/>
  <c r="F37" i="15"/>
  <c r="M22" i="15"/>
  <c r="E2" i="69"/>
  <c r="AO12" i="1"/>
  <c r="AO9" i="1"/>
  <c r="D5" i="73"/>
  <c r="B12" i="76"/>
  <c r="M8" i="15"/>
  <c r="E2" i="68"/>
  <c r="AO13" i="1"/>
  <c r="B6" i="49" l="1"/>
  <c r="D6" i="49" s="1"/>
  <c r="C29" i="68"/>
  <c r="D27" i="68" s="1"/>
  <c r="C35" i="69"/>
  <c r="D7" i="74"/>
  <c r="D8" i="74"/>
  <c r="F7" i="49"/>
  <c r="H7" i="49" s="1"/>
  <c r="C8" i="69"/>
  <c r="C5" i="69" s="1"/>
  <c r="C18" i="12"/>
  <c r="B10" i="49"/>
  <c r="D10" i="49" s="1"/>
  <c r="D19" i="69"/>
  <c r="F11" i="49"/>
  <c r="H11" i="49" s="1"/>
  <c r="R16" i="1"/>
  <c r="C14" i="12"/>
  <c r="B13" i="70"/>
  <c r="G1" i="73"/>
  <c r="B40" i="1" s="1"/>
  <c r="B9" i="70"/>
  <c r="B12" i="70"/>
  <c r="F65" i="15"/>
  <c r="F50" i="67"/>
  <c r="M7" i="67"/>
  <c r="B8" i="70"/>
  <c r="B11" i="70"/>
  <c r="B7" i="70"/>
  <c r="F51" i="15"/>
  <c r="C27" i="15"/>
  <c r="B20" i="31"/>
  <c r="B21" i="31" s="1"/>
  <c r="B2" i="76"/>
  <c r="B10" i="70"/>
  <c r="F50" i="15"/>
  <c r="M7" i="15"/>
  <c r="J6" i="15" s="1"/>
  <c r="C15" i="15"/>
  <c r="C18" i="15"/>
  <c r="J20" i="15"/>
  <c r="F63" i="15"/>
  <c r="C62" i="15" s="1"/>
  <c r="C34" i="15"/>
  <c r="C6" i="15"/>
  <c r="Q71" i="15"/>
  <c r="F68" i="15"/>
  <c r="F71" i="15"/>
  <c r="M59" i="15"/>
  <c r="L59" i="15"/>
  <c r="N59" i="15"/>
  <c r="L58" i="15"/>
  <c r="J57" i="15"/>
  <c r="J55" i="15" s="1"/>
  <c r="J58" i="15" s="1"/>
  <c r="Q50" i="15" s="1"/>
  <c r="J53" i="15"/>
  <c r="L60" i="15"/>
  <c r="I54" i="15"/>
  <c r="L57" i="15"/>
  <c r="L56" i="15"/>
  <c r="C6" i="67"/>
  <c r="J20" i="67"/>
  <c r="C27" i="67"/>
  <c r="F63" i="67"/>
  <c r="C62" i="67" s="1"/>
  <c r="C34" i="67"/>
  <c r="F65" i="67"/>
  <c r="Q71" i="67"/>
  <c r="E2" i="76"/>
  <c r="F64" i="15"/>
  <c r="F66" i="15"/>
  <c r="F51" i="67"/>
  <c r="C49" i="67" s="1"/>
  <c r="F68" i="67"/>
  <c r="F71" i="67"/>
  <c r="K1" i="73"/>
  <c r="J6" i="67"/>
  <c r="F64" i="67"/>
  <c r="F66" i="67"/>
  <c r="F69" i="67"/>
  <c r="L59" i="67"/>
  <c r="N59" i="67"/>
  <c r="L58" i="67"/>
  <c r="M59" i="67"/>
  <c r="I54" i="67"/>
  <c r="L56" i="67"/>
  <c r="J53" i="67"/>
  <c r="J57" i="67"/>
  <c r="J55" i="67" s="1"/>
  <c r="J58" i="67" s="1"/>
  <c r="Q50" i="67" s="1"/>
  <c r="M3" i="35"/>
  <c r="I1" i="73"/>
  <c r="B39" i="1" s="1"/>
  <c r="D10" i="52"/>
  <c r="B5" i="49"/>
  <c r="D5" i="49" s="1"/>
  <c r="F6" i="49"/>
  <c r="H6" i="49" s="1"/>
  <c r="B9" i="49"/>
  <c r="D9" i="49" s="1"/>
  <c r="F10" i="49"/>
  <c r="H10" i="49" s="1"/>
  <c r="B13" i="49"/>
  <c r="D13" i="49" s="1"/>
  <c r="F14" i="49"/>
  <c r="H14" i="49" s="1"/>
  <c r="C15" i="12"/>
  <c r="B4" i="49"/>
  <c r="D4" i="49" s="1"/>
  <c r="F5" i="49"/>
  <c r="H5" i="49" s="1"/>
  <c r="B8" i="49"/>
  <c r="F9" i="49"/>
  <c r="H9" i="49" s="1"/>
  <c r="B12" i="49"/>
  <c r="D12" i="49" s="1"/>
  <c r="F13" i="49"/>
  <c r="H13" i="49" s="1"/>
  <c r="C20" i="68"/>
  <c r="C47" i="69"/>
  <c r="D45" i="69" s="1"/>
  <c r="F4" i="49"/>
  <c r="H4" i="49" s="1"/>
  <c r="B7" i="49"/>
  <c r="D7" i="49" s="1"/>
  <c r="F8" i="49"/>
  <c r="H8" i="49" s="1"/>
  <c r="B11" i="49"/>
  <c r="F12" i="49"/>
  <c r="H12" i="49" s="1"/>
  <c r="D127" i="9"/>
  <c r="D13" i="52" s="1"/>
  <c r="D12" i="52"/>
  <c r="C36" i="68"/>
  <c r="C34" i="68"/>
  <c r="C29" i="69"/>
  <c r="D27" i="69" s="1"/>
  <c r="C12" i="12"/>
  <c r="C47" i="68"/>
  <c r="D45" i="68" s="1"/>
  <c r="C16" i="15"/>
  <c r="C17" i="15"/>
  <c r="C17" i="67"/>
  <c r="C14" i="67"/>
  <c r="C16" i="67"/>
  <c r="C16" i="12" l="1"/>
  <c r="C21" i="12" s="1"/>
  <c r="D37" i="69"/>
  <c r="C37" i="69" s="1"/>
  <c r="C33" i="69" s="1"/>
  <c r="C19" i="69"/>
  <c r="C20" i="69" s="1"/>
  <c r="C15" i="67"/>
  <c r="C19" i="67" s="1"/>
  <c r="C18" i="67"/>
  <c r="C19" i="15"/>
  <c r="C22" i="12"/>
  <c r="C30" i="12" s="1"/>
  <c r="C28" i="12" s="1"/>
  <c r="Q52" i="67"/>
  <c r="F1" i="67"/>
  <c r="Q52" i="15"/>
  <c r="F1" i="15"/>
  <c r="D8" i="49"/>
  <c r="E4" i="4"/>
  <c r="B5" i="62" s="1"/>
  <c r="B73" i="72" s="1"/>
  <c r="M11" i="67"/>
  <c r="J10" i="67" s="1"/>
  <c r="M11" i="15"/>
  <c r="J10" i="15" s="1"/>
  <c r="F11" i="67"/>
  <c r="F11" i="15"/>
  <c r="C53" i="15" s="1"/>
  <c r="Q60" i="67"/>
  <c r="Q73" i="67"/>
  <c r="C49" i="15"/>
  <c r="C32" i="67"/>
  <c r="C33" i="67"/>
  <c r="Q61" i="15"/>
  <c r="Q74" i="15"/>
  <c r="J19" i="15"/>
  <c r="J18" i="15"/>
  <c r="J5" i="15"/>
  <c r="C35" i="68"/>
  <c r="C38" i="68"/>
  <c r="C33" i="68" s="1"/>
  <c r="C28" i="69"/>
  <c r="C27" i="69" s="1"/>
  <c r="C61" i="67"/>
  <c r="Q73" i="15"/>
  <c r="Q60" i="15"/>
  <c r="C32" i="15"/>
  <c r="C33" i="15"/>
  <c r="B3" i="76"/>
  <c r="L36" i="43"/>
  <c r="F25" i="12"/>
  <c r="C26" i="12" s="1"/>
  <c r="D25" i="12" s="1"/>
  <c r="F22" i="11"/>
  <c r="F22" i="68"/>
  <c r="C25" i="68" s="1"/>
  <c r="F24" i="67"/>
  <c r="C24" i="67" s="1"/>
  <c r="F24" i="15"/>
  <c r="C24" i="15" s="1"/>
  <c r="F22" i="69"/>
  <c r="C4" i="4"/>
  <c r="D11" i="49"/>
  <c r="C28" i="68"/>
  <c r="C27" i="68" s="1"/>
  <c r="Q61" i="67"/>
  <c r="Q74" i="67"/>
  <c r="J18" i="67"/>
  <c r="J17" i="67" s="1"/>
  <c r="J5" i="67"/>
  <c r="J19" i="67"/>
  <c r="Q66" i="15"/>
  <c r="Q57" i="15"/>
  <c r="AE6" i="1"/>
  <c r="F41" i="15" s="1"/>
  <c r="C39" i="69" l="1"/>
  <c r="C46" i="69" s="1"/>
  <c r="C45" i="69" s="1"/>
  <c r="F69" i="15"/>
  <c r="C39" i="68"/>
  <c r="C43" i="68" s="1"/>
  <c r="C42" i="68"/>
  <c r="K4" i="4"/>
  <c r="B46" i="48" s="1"/>
  <c r="B4" i="72" s="1"/>
  <c r="B4" i="62"/>
  <c r="B71" i="72" s="1"/>
  <c r="C44" i="68"/>
  <c r="D41" i="68" s="1"/>
  <c r="C26" i="68"/>
  <c r="D22" i="68" s="1"/>
  <c r="F41" i="68"/>
  <c r="C24" i="68"/>
  <c r="C23" i="68"/>
  <c r="C31" i="15"/>
  <c r="J17" i="15"/>
  <c r="C61" i="15"/>
  <c r="C48" i="15"/>
  <c r="C53" i="67"/>
  <c r="C48" i="67" s="1"/>
  <c r="C10" i="67"/>
  <c r="C5" i="67" s="1"/>
  <c r="C20" i="15"/>
  <c r="C26" i="15" s="1"/>
  <c r="J26" i="67"/>
  <c r="J29" i="67" s="1"/>
  <c r="J24" i="67"/>
  <c r="C26" i="69"/>
  <c r="D22" i="69" s="1"/>
  <c r="C44" i="69"/>
  <c r="D41" i="69" s="1"/>
  <c r="F41" i="69"/>
  <c r="C42" i="69"/>
  <c r="C23" i="69"/>
  <c r="C24" i="69"/>
  <c r="C42" i="11"/>
  <c r="C24" i="11"/>
  <c r="C23" i="11"/>
  <c r="C44" i="11"/>
  <c r="D41" i="11" s="1"/>
  <c r="C26" i="11"/>
  <c r="D22" i="11" s="1"/>
  <c r="C43" i="11"/>
  <c r="C25" i="11"/>
  <c r="C43" i="69"/>
  <c r="C25" i="69"/>
  <c r="C27" i="12"/>
  <c r="C25" i="12" s="1"/>
  <c r="C32" i="12" s="1"/>
  <c r="B2" i="12" s="1"/>
  <c r="B3" i="12" s="1"/>
  <c r="C20" i="67"/>
  <c r="C23" i="67" s="1"/>
  <c r="N36" i="43"/>
  <c r="Q36" i="43"/>
  <c r="M36" i="43"/>
  <c r="L37" i="43"/>
  <c r="P36" i="43"/>
  <c r="O36" i="43"/>
  <c r="J26" i="15"/>
  <c r="J29" i="15" s="1"/>
  <c r="J24" i="15"/>
  <c r="C10" i="15"/>
  <c r="C5" i="15" s="1"/>
  <c r="C31" i="67"/>
  <c r="C26" i="67" l="1"/>
  <c r="C29" i="67"/>
  <c r="C57" i="67" s="1"/>
  <c r="C64" i="67" s="1"/>
  <c r="C46" i="68"/>
  <c r="C45" i="68" s="1"/>
  <c r="C23" i="15"/>
  <c r="C29" i="15" s="1"/>
  <c r="Q49" i="67"/>
  <c r="C36" i="67"/>
  <c r="J14" i="67"/>
  <c r="J59" i="67"/>
  <c r="J60" i="67" s="1"/>
  <c r="C22" i="11"/>
  <c r="C31" i="11" s="1"/>
  <c r="C22" i="69"/>
  <c r="C31" i="69" s="1"/>
  <c r="C38" i="67"/>
  <c r="C41" i="68"/>
  <c r="N37" i="43"/>
  <c r="Q37" i="43"/>
  <c r="M37" i="43"/>
  <c r="P37" i="43"/>
  <c r="O37" i="43"/>
  <c r="C41" i="69"/>
  <c r="C49" i="69" s="1"/>
  <c r="C51" i="69" s="1"/>
  <c r="C60" i="67"/>
  <c r="C59" i="67" s="1"/>
  <c r="C66" i="67"/>
  <c r="C38" i="15"/>
  <c r="C41" i="11"/>
  <c r="C49" i="11" s="1"/>
  <c r="C51" i="11" s="1"/>
  <c r="C60" i="15"/>
  <c r="C59" i="15" s="1"/>
  <c r="C66" i="15"/>
  <c r="C22" i="68"/>
  <c r="C31" i="68" s="1"/>
  <c r="C49" i="68"/>
  <c r="C51" i="68" s="1"/>
  <c r="C13" i="67" l="1"/>
  <c r="C52" i="68"/>
  <c r="B2" i="68" s="1"/>
  <c r="Q49" i="15"/>
  <c r="J59" i="15"/>
  <c r="J60" i="15" s="1"/>
  <c r="Q48" i="15" s="1"/>
  <c r="C36" i="15"/>
  <c r="J14" i="15"/>
  <c r="C57" i="15"/>
  <c r="C64" i="15" s="1"/>
  <c r="C13" i="15"/>
  <c r="Q70" i="15" s="1"/>
  <c r="Q48" i="67"/>
  <c r="L46" i="67"/>
  <c r="J13" i="15"/>
  <c r="J23" i="15" s="1"/>
  <c r="J22" i="15"/>
  <c r="C75" i="67"/>
  <c r="Q70" i="67"/>
  <c r="C37" i="67"/>
  <c r="C30" i="67" s="1"/>
  <c r="C39" i="67" s="1"/>
  <c r="C56" i="67"/>
  <c r="C65" i="67" s="1"/>
  <c r="C58" i="67" s="1"/>
  <c r="C67" i="67" s="1"/>
  <c r="C68" i="67" s="1"/>
  <c r="C52" i="69"/>
  <c r="B2" i="69" s="1"/>
  <c r="B3" i="69" s="1"/>
  <c r="J22" i="67"/>
  <c r="J13" i="67"/>
  <c r="J23" i="67" s="1"/>
  <c r="L46" i="15"/>
  <c r="B3" i="68"/>
  <c r="C57" i="68"/>
  <c r="C56" i="68" s="1"/>
  <c r="C52" i="11"/>
  <c r="B2" i="11" s="1"/>
  <c r="B3" i="11" s="1"/>
  <c r="C56" i="15"/>
  <c r="C65" i="15" s="1"/>
  <c r="C58" i="15" s="1"/>
  <c r="C67" i="15" s="1"/>
  <c r="C68" i="15" s="1"/>
  <c r="C19" i="9"/>
  <c r="D34" i="9"/>
  <c r="D35" i="9"/>
  <c r="C20" i="9"/>
  <c r="C37" i="15" l="1"/>
  <c r="C30" i="15" s="1"/>
  <c r="C39" i="15" s="1"/>
  <c r="C75" i="15"/>
  <c r="C102" i="9"/>
  <c r="C21" i="9"/>
  <c r="J16" i="15"/>
  <c r="J25" i="15" s="1"/>
  <c r="C57" i="69"/>
  <c r="C56" i="69" s="1"/>
  <c r="C103" i="9"/>
  <c r="C71" i="15"/>
  <c r="C71" i="67"/>
  <c r="C80" i="15"/>
  <c r="C79" i="15" s="1"/>
  <c r="J16" i="67"/>
  <c r="J25" i="67" s="1"/>
  <c r="C56" i="11"/>
  <c r="C57" i="11" s="1"/>
  <c r="Q69" i="67"/>
  <c r="Q68" i="67" s="1"/>
  <c r="C40" i="67"/>
  <c r="Q69" i="15"/>
  <c r="Q68" i="15" s="1"/>
  <c r="C40" i="15"/>
  <c r="C46" i="15" s="1"/>
  <c r="C80" i="67"/>
  <c r="C79" i="67" s="1"/>
  <c r="L51" i="15"/>
  <c r="L51" i="67"/>
  <c r="Q67" i="67" l="1"/>
  <c r="L57" i="67"/>
  <c r="L60" i="67" s="1"/>
  <c r="Q67" i="15"/>
  <c r="Q56" i="67"/>
  <c r="Q47" i="67"/>
  <c r="Q53" i="67" s="1"/>
  <c r="C43" i="67"/>
  <c r="Q65" i="67"/>
  <c r="D2" i="67"/>
  <c r="C83" i="67"/>
  <c r="C82" i="67" s="1"/>
  <c r="Q65" i="15"/>
  <c r="Q75" i="15" s="1"/>
  <c r="Q56" i="15"/>
  <c r="Q62" i="15" s="1"/>
  <c r="B2" i="15"/>
  <c r="Q47" i="15"/>
  <c r="Q53" i="15" s="1"/>
  <c r="C43" i="15"/>
  <c r="C83" i="15"/>
  <c r="C82" i="15" s="1"/>
  <c r="C45" i="67"/>
  <c r="C46" i="67" s="1"/>
  <c r="AO6" i="1"/>
  <c r="D19" i="9"/>
  <c r="D102" i="9" l="1"/>
  <c r="D21" i="9"/>
  <c r="G19" i="9"/>
  <c r="D22" i="9"/>
  <c r="B6" i="70"/>
  <c r="B2" i="70" s="1"/>
  <c r="B3" i="70" s="1"/>
  <c r="B3" i="15"/>
  <c r="B2" i="67"/>
  <c r="B3" i="67"/>
  <c r="Q66" i="67"/>
  <c r="Q75" i="67" s="1"/>
  <c r="Q57" i="67"/>
  <c r="Q62" i="67" s="1"/>
  <c r="D20" i="9"/>
  <c r="D103" i="9" l="1"/>
  <c r="G20" i="9"/>
  <c r="G21" i="9"/>
  <c r="C32" i="9"/>
  <c r="H118" i="9" l="1"/>
  <c r="C35" i="9"/>
  <c r="F118" i="9" s="1"/>
  <c r="F119" i="9" l="1"/>
  <c r="F5" i="52" s="1"/>
  <c r="B53" i="72" s="1"/>
  <c r="G118" i="9"/>
  <c r="G4" i="52" s="1"/>
  <c r="B52" i="72" s="1"/>
  <c r="F4" i="52"/>
  <c r="B51" i="72" s="1"/>
  <c r="C34" i="9"/>
  <c r="D118" i="9" s="1"/>
  <c r="H119" i="9"/>
  <c r="H5" i="52" s="1"/>
  <c r="H101" i="9"/>
  <c r="D14" i="74"/>
  <c r="I118" i="9"/>
  <c r="H4" i="52"/>
  <c r="C104" i="9"/>
  <c r="D119" i="9" l="1"/>
  <c r="D5" i="52" s="1"/>
  <c r="B49" i="72" s="1"/>
  <c r="D4" i="52"/>
  <c r="B47" i="72" s="1"/>
  <c r="F14" i="74"/>
  <c r="B5" i="74"/>
  <c r="G14" i="74"/>
  <c r="B6" i="74" s="1"/>
  <c r="E14" i="74"/>
  <c r="C105" i="9"/>
  <c r="H102" i="9"/>
  <c r="D7" i="53" s="1"/>
  <c r="B21" i="72" s="1"/>
  <c r="I4" i="52"/>
  <c r="E118" i="9"/>
  <c r="E4" i="52" s="1"/>
  <c r="B48" i="72" s="1"/>
  <c r="M48" i="9"/>
  <c r="H107" i="9"/>
  <c r="D45" i="9"/>
  <c r="D5" i="53"/>
  <c r="D6" i="74" l="1"/>
  <c r="D5" i="74"/>
  <c r="C5" i="74"/>
  <c r="C72" i="9"/>
  <c r="C64" i="9"/>
  <c r="C63" i="9" s="1"/>
  <c r="C67" i="9" s="1"/>
  <c r="D53" i="9"/>
  <c r="C93" i="9"/>
  <c r="C86" i="9" s="1"/>
  <c r="C85" i="9"/>
  <c r="C78" i="9"/>
  <c r="C73" i="9" s="1"/>
  <c r="D55" i="9"/>
  <c r="M53" i="9" s="1"/>
  <c r="D52" i="9"/>
  <c r="M49" i="9"/>
  <c r="H108" i="9"/>
  <c r="D15" i="53" s="1"/>
  <c r="B31" i="72" s="1"/>
  <c r="D122" i="9"/>
  <c r="D13" i="53"/>
  <c r="D6" i="53"/>
  <c r="B22" i="72" s="1"/>
  <c r="B20" i="72"/>
  <c r="D14" i="53" l="1"/>
  <c r="B32" i="72" s="1"/>
  <c r="B30" i="72"/>
  <c r="D123" i="9"/>
  <c r="D9" i="52" s="1"/>
  <c r="D8" i="52"/>
  <c r="C68" i="9"/>
  <c r="D54" i="9" s="1"/>
  <c r="D59" i="9"/>
  <c r="M55" i="9" s="1"/>
  <c r="C6" i="74"/>
  <c r="L68" i="9"/>
  <c r="M68" i="9" s="1"/>
  <c r="L67" i="9"/>
  <c r="M67" i="9" s="1"/>
  <c r="L66" i="9"/>
  <c r="M66" i="9" s="1"/>
  <c r="L64" i="9"/>
  <c r="M64" i="9" s="1"/>
  <c r="L63" i="9"/>
  <c r="M63" i="9" s="1"/>
  <c r="L65" i="9"/>
  <c r="M65" i="9" s="1"/>
  <c r="C95" i="9"/>
  <c r="C79" i="9"/>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<sst xmlns="http://schemas.openxmlformats.org/spreadsheetml/2006/main" count="9663" uniqueCount="3298">
  <si>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</si>
  <si>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</si>
  <si>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</si>
  <si>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</si>
  <si>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</si>
  <si>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</si>
  <si>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</si>
  <si>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</si>
  <si>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</si>
  <si>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</si>
  <si>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</si>
  <si>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</si>
  <si>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</si>
  <si>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</si>
  <si>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</si>
  <si>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</si>
  <si>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</si>
  <si>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</si>
  <si>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</si>
  <si>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</si>
  <si>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</si>
  <si>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</si>
  <si>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</si>
  <si>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</si>
  <si>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</si>
  <si>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</si>
  <si>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</si>
  <si>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</si>
  <si>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</si>
  <si>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</si>
  <si>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</si>
  <si>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</si>
  <si>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</si>
  <si>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</si>
  <si>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</si>
  <si>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</si>
  <si>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</si>
  <si>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</si>
  <si>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</si>
  <si>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</si>
  <si>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</si>
  <si>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</si>
  <si>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</si>
  <si>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</si>
  <si>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</si>
  <si>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</si>
  <si>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</si>
  <si>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</si>
  <si>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</si>
  <si>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</si>
  <si>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</si>
  <si>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</si>
  <si>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</si>
  <si>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</si>
  <si>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</si>
  <si>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</si>
  <si>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</si>
  <si>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</si>
  <si>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</si>
  <si>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</si>
  <si>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</si>
  <si>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</si>
  <si>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</si>
  <si>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</si>
  <si>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</si>
  <si>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</si>
  <si>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</si>
  <si>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</si>
  <si>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</si>
  <si>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</si>
  <si>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</si>
  <si>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</si>
  <si>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</si>
  <si>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</si>
  <si>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</si>
  <si>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</si>
  <si>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</si>
  <si>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</si>
  <si>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</si>
  <si>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</si>
  <si>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</si>
  <si>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</si>
  <si>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</si>
  <si>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</si>
  <si>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</si>
  <si>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</si>
  <si>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</si>
  <si>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</si>
  <si>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</si>
  <si>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</si>
  <si>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</si>
  <si>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</si>
  <si>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</si>
  <si>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</si>
  <si>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</si>
  <si>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</si>
  <si>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</si>
  <si>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</si>
  <si>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</si>
  <si>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</si>
  <si>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</si>
  <si>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</si>
  <si>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</si>
  <si>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</si>
  <si>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</si>
  <si>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</si>
  <si>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</si>
  <si>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</si>
  <si>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</si>
  <si>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</si>
  <si>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</si>
  <si>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</si>
  <si>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</si>
  <si>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</si>
  <si>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</si>
  <si>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</si>
  <si>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</si>
  <si>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</si>
  <si>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</si>
  <si>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</si>
  <si>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</si>
  <si>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</si>
  <si>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</si>
  <si>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</si>
  <si>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</si>
  <si>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</si>
  <si>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</si>
  <si>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</si>
  <si>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</si>
  <si>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</si>
  <si>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</si>
  <si>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</si>
  <si>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</si>
  <si>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</si>
  <si>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</si>
  <si>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</si>
  <si>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</si>
  <si>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</si>
  <si>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</si>
  <si>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</si>
  <si>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</si>
  <si>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</si>
  <si>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</si>
  <si>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</si>
  <si>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</si>
  <si>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</si>
  <si>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</si>
  <si>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</si>
  <si>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</si>
  <si>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</si>
  <si>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</si>
  <si>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</si>
  <si>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</si>
  <si>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</si>
  <si>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</si>
  <si>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</si>
  <si>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</si>
  <si>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</si>
  <si>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</si>
  <si>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</si>
  <si>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</si>
  <si>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</si>
  <si>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</si>
  <si>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</si>
  <si>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</si>
  <si>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</si>
  <si>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</si>
  <si>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</si>
  <si>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</si>
  <si>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</si>
  <si>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</si>
  <si>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</si>
  <si>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</si>
  <si>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</si>
  <si>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</si>
  <si>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</si>
  <si>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</si>
  <si>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</si>
  <si>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</si>
  <si>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</si>
  <si>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</si>
  <si>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</si>
  <si>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</si>
  <si>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</si>
  <si>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</si>
  <si>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</si>
  <si>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</si>
  <si>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</si>
  <si>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</si>
  <si>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</si>
  <si>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</si>
  <si>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</si>
  <si>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</si>
  <si>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</si>
  <si>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</si>
  <si>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</si>
  <si>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</si>
  <si>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</si>
  <si>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</si>
  <si>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</si>
  <si>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</si>
  <si>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</si>
  <si>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</si>
  <si>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</si>
  <si>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</si>
  <si>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</si>
  <si>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</si>
  <si>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</si>
  <si>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</si>
  <si>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</si>
  <si>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</si>
  <si>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</si>
  <si>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</si>
  <si>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</si>
  <si>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</si>
  <si>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</si>
  <si>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</si>
  <si>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</si>
  <si>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</si>
  <si>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</si>
  <si>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</si>
  <si>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</si>
  <si>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</si>
  <si>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</si>
  <si>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</si>
  <si>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</si>
  <si>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</si>
  <si>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</si>
  <si>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</si>
  <si>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</si>
  <si>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</si>
  <si>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</si>
  <si>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</si>
  <si>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</si>
  <si>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</si>
  <si>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</si>
  <si>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</si>
  <si>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</si>
  <si>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</si>
  <si>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</si>
  <si>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</si>
  <si>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</si>
  <si>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</si>
  <si>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</si>
  <si>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</si>
  <si>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</si>
  <si>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</si>
  <si>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</si>
  <si>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</si>
  <si>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</si>
  <si>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</si>
  <si>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</si>
  <si>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</si>
  <si>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</si>
  <si>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</si>
  <si>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</si>
  <si>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</si>
  <si>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</si>
  <si>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</si>
  <si>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</si>
  <si>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</si>
  <si>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</si>
  <si>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</si>
  <si>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</si>
  <si>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</si>
  <si>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</si>
  <si>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</si>
  <si>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</si>
  <si>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</si>
  <si>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</si>
  <si>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</si>
  <si>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</si>
  <si>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</si>
  <si>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</si>
  <si>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</si>
  <si>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</si>
  <si>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</si>
  <si>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</si>
  <si>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</si>
  <si>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</si>
  <si>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</si>
  <si>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</si>
  <si>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</si>
  <si>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</si>
  <si>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</si>
  <si>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</si>
  <si>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</si>
  <si>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</si>
  <si>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</si>
  <si>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</si>
  <si>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</si>
  <si>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</si>
  <si>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</si>
  <si>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</si>
  <si>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</si>
  <si>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</si>
  <si>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</si>
  <si>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</si>
  <si>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</si>
  <si>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</si>
  <si>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</si>
  <si>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</si>
  <si>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</si>
  <si>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</si>
  <si>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</si>
  <si>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</si>
  <si>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</si>
  <si>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</si>
  <si>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</si>
  <si>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</si>
  <si>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</si>
  <si>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</si>
  <si>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</si>
  <si>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</si>
  <si>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</si>
  <si>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</si>
  <si>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</si>
  <si>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</si>
  <si>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</si>
  <si>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</si>
  <si>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</si>
  <si>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</si>
  <si>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</si>
  <si>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</si>
  <si>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</si>
  <si>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</si>
  <si>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</si>
  <si>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</si>
  <si>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</si>
  <si>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</si>
  <si>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</si>
  <si>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</si>
  <si>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</si>
  <si>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</si>
  <si>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</si>
  <si>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</si>
  <si>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</si>
  <si>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</si>
  <si>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</si>
  <si>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</si>
  <si>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</si>
  <si>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</si>
  <si>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</si>
  <si>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</si>
  <si>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</si>
  <si>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</si>
  <si>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</si>
  <si>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</si>
  <si>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</si>
  <si>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</si>
  <si>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</si>
  <si>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</si>
  <si>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</si>
  <si>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</si>
  <si>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</si>
  <si>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</si>
  <si>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</si>
  <si>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</si>
  <si>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</si>
  <si>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</si>
  <si>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</si>
  <si>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</si>
  <si>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</si>
  <si>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</si>
  <si>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</si>
  <si>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</si>
  <si>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</si>
  <si>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</si>
  <si>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</si>
  <si>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</si>
  <si>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</si>
  <si>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</si>
  <si>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</si>
  <si>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</si>
  <si>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</si>
  <si>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</si>
  <si>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</si>
  <si>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</si>
  <si>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</si>
  <si>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</si>
  <si>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</si>
  <si>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</si>
  <si>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</si>
  <si>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</si>
  <si>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</si>
  <si>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</si>
  <si>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</si>
  <si>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</si>
  <si>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</si>
  <si>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</si>
  <si>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</si>
  <si>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</si>
  <si>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</si>
  <si>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</si>
  <si>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</si>
  <si>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</si>
  <si>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</si>
  <si>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</si>
  <si>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</si>
  <si>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</si>
  <si>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</si>
  <si>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</si>
  <si>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</si>
  <si>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</si>
  <si>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</si>
  <si>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</si>
  <si>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</si>
  <si>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</si>
  <si>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</si>
  <si>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</si>
  <si>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</si>
  <si>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</si>
  <si>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</si>
  <si>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</si>
  <si>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</si>
  <si>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</si>
  <si>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</si>
  <si>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</si>
  <si>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</si>
  <si>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</si>
  <si>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</si>
  <si>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</si>
  <si>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</si>
  <si>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</si>
  <si>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</si>
  <si>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</si>
  <si>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</si>
  <si>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</si>
  <si>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</si>
  <si>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</si>
  <si>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</si>
  <si>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</si>
  <si>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</si>
  <si>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</si>
  <si>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</si>
  <si>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</si>
  <si>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</si>
  <si>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</si>
  <si>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</si>
  <si>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</si>
  <si>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</si>
  <si>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</si>
  <si>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</si>
  <si>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</si>
  <si>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</si>
  <si>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</si>
  <si>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</si>
  <si>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</si>
  <si>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</si>
  <si>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</si>
  <si>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</si>
  <si>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</si>
  <si>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</si>
  <si>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</si>
  <si>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</si>
  <si>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</si>
  <si>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</si>
  <si>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</si>
  <si>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</si>
  <si>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</si>
  <si>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</si>
  <si>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</si>
  <si>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</si>
  <si>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</si>
  <si>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</si>
  <si>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</si>
  <si>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</si>
  <si>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</si>
  <si>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</si>
  <si>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</si>
  <si>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</si>
  <si>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</si>
  <si>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</si>
  <si>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</si>
  <si>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</si>
  <si>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</si>
  <si>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</si>
  <si>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</si>
  <si>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</si>
  <si>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</si>
  <si>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</si>
  <si>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</si>
  <si>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</si>
  <si>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</si>
  <si>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</si>
  <si>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</si>
  <si>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</si>
  <si>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</si>
  <si>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</si>
  <si>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</si>
  <si>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</si>
  <si>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</si>
  <si>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</si>
  <si>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</si>
  <si>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</si>
  <si>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</si>
  <si>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</si>
  <si>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</si>
  <si>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</si>
  <si>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</si>
  <si>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</si>
  <si>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</si>
  <si>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</si>
  <si>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</si>
  <si>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</si>
  <si>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</si>
  <si>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</si>
  <si>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</si>
  <si>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</si>
  <si>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</si>
  <si>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</si>
  <si>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</si>
  <si>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</si>
  <si>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</si>
  <si>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</si>
  <si>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</si>
  <si>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</si>
  <si>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</si>
  <si>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</si>
  <si>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</si>
  <si>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</si>
  <si>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</si>
  <si>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</si>
  <si>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</si>
  <si>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</si>
  <si>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</si>
  <si>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</si>
  <si>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</si>
  <si>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</si>
  <si>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</si>
  <si>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</si>
  <si>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</si>
  <si>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</si>
  <si>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</si>
  <si>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</si>
  <si>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</si>
  <si>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</si>
  <si>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</si>
  <si>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</si>
  <si>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</si>
  <si>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</si>
  <si>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</si>
  <si>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</si>
  <si>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</si>
  <si>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</si>
  <si>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</si>
  <si>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</si>
  <si>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</si>
  <si>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</si>
  <si>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</si>
  <si>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</si>
  <si>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</si>
  <si>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</si>
  <si>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</si>
  <si>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</si>
  <si>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</si>
  <si>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</si>
  <si>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</si>
  <si>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</si>
  <si>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</si>
  <si>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</si>
  <si>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</si>
  <si>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</si>
  <si>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</si>
  <si>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</si>
  <si>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</si>
  <si>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</si>
  <si>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</si>
  <si>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</si>
  <si>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</si>
  <si>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</si>
  <si>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</si>
  <si>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商业、办公</t>
  </si>
  <si>
    <t>土地面积</t>
  </si>
  <si>
    <t>附记：</t>
  </si>
  <si>
    <t>出让宗地全部出让年限内由受让人全部自持经营，不可转让或分割对外销售</t>
  </si>
  <si>
    <t>全场非车库部分10.7万平方米</t>
  </si>
  <si>
    <t>序号</t>
  </si>
  <si>
    <t>楼层</t>
  </si>
  <si>
    <t>建筑面积</t>
  </si>
  <si>
    <t>人防面积</t>
  </si>
  <si>
    <t>扣除人防面积</t>
  </si>
  <si>
    <t>各层可出租面积</t>
  </si>
  <si>
    <t>现状用途</t>
  </si>
  <si>
    <t>-3</t>
  </si>
  <si>
    <t>车库</t>
  </si>
  <si>
    <t>租金</t>
  </si>
  <si>
    <t>系数</t>
  </si>
  <si>
    <t>出租租金</t>
  </si>
  <si>
    <t>建筑租金</t>
  </si>
  <si>
    <t>-2</t>
  </si>
  <si>
    <t>-1</t>
  </si>
  <si>
    <t>部分车库、部分商业</t>
  </si>
  <si>
    <t>01</t>
  </si>
  <si>
    <t>02</t>
  </si>
  <si>
    <t>夹层1</t>
  </si>
  <si>
    <t>03</t>
  </si>
  <si>
    <t>夹层2</t>
  </si>
  <si>
    <t>04</t>
  </si>
  <si>
    <t>05</t>
  </si>
  <si>
    <t>06</t>
  </si>
  <si>
    <t>附属</t>
  </si>
  <si>
    <t>地下占比</t>
  </si>
  <si>
    <t>建成年代</t>
  </si>
  <si>
    <t>建安取值</t>
  </si>
  <si>
    <t>单方建安</t>
  </si>
  <si>
    <t>工程进度</t>
  </si>
  <si>
    <t>人防</t>
  </si>
  <si>
    <t>综合平均</t>
  </si>
  <si>
    <t>成新度</t>
  </si>
  <si>
    <t>砖混</t>
  </si>
  <si>
    <t>钢混</t>
  </si>
  <si>
    <t>残值率</t>
  </si>
  <si>
    <t>直线折旧</t>
  </si>
  <si>
    <t>观察成新</t>
  </si>
  <si>
    <t>龙湖长楹天街</t>
  </si>
  <si>
    <t>龙湖长安天街</t>
  </si>
  <si>
    <t>房山龙湖天街</t>
  </si>
  <si>
    <t>大兴龙湖天街</t>
  </si>
  <si>
    <t>龙湖房山熙悦天街</t>
  </si>
  <si>
    <t>估值</t>
  </si>
  <si>
    <t>楼面单价</t>
  </si>
  <si>
    <t>正常增长率2.5%</t>
  </si>
  <si>
    <t>地上面积</t>
  </si>
  <si>
    <t>地下面积</t>
  </si>
  <si>
    <t>合计面积</t>
  </si>
  <si>
    <t>还原率</t>
  </si>
  <si>
    <t>建安</t>
  </si>
  <si>
    <t>利润</t>
  </si>
  <si>
    <t>租金增长率</t>
  </si>
  <si>
    <t>维修费</t>
  </si>
  <si>
    <t>保险费</t>
  </si>
  <si>
    <t>管理费</t>
  </si>
  <si>
    <t>金融机构</t>
  </si>
  <si>
    <t>建设银行</t>
  </si>
  <si>
    <t>交通银行，偏低了一点</t>
  </si>
  <si>
    <t>中国银行</t>
  </si>
  <si>
    <t>兴业银行</t>
  </si>
  <si>
    <t>年收入</t>
  </si>
  <si>
    <t>租赁起始日</t>
  </si>
  <si>
    <t>租赁终止日</t>
  </si>
  <si>
    <r>
      <rPr>
        <b/>
        <sz val="9"/>
        <color theme="1"/>
        <rFont val="华文细黑"/>
        <family val="3"/>
        <charset val="134"/>
      </rPr>
      <t>首年租金（元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</si>
  <si>
    <t>增长情况</t>
  </si>
  <si>
    <t>平均租金增长率</t>
  </si>
  <si>
    <r>
      <rPr>
        <sz val="11"/>
        <color theme="1"/>
        <rFont val="华文细黑"/>
        <family val="3"/>
        <charset val="134"/>
      </rPr>
      <t>第</t>
    </r>
    <r>
      <rPr>
        <sz val="11"/>
        <color theme="1"/>
        <rFont val="Arial"/>
        <family val="2"/>
      </rPr>
      <t>1</t>
    </r>
    <r>
      <rPr>
        <sz val="11"/>
        <color theme="1"/>
        <rFont val="华文细黑"/>
        <family val="3"/>
        <charset val="134"/>
      </rPr>
      <t>年</t>
    </r>
  </si>
  <si>
    <r>
      <rPr>
        <sz val="11"/>
        <color theme="1"/>
        <rFont val="华文细黑"/>
        <family val="3"/>
        <charset val="134"/>
      </rPr>
      <t>第</t>
    </r>
    <r>
      <rPr>
        <sz val="11"/>
        <color theme="1"/>
        <rFont val="Arial"/>
        <family val="2"/>
      </rPr>
      <t>2</t>
    </r>
    <r>
      <rPr>
        <sz val="11"/>
        <color theme="1"/>
        <rFont val="华文细黑"/>
        <family val="3"/>
        <charset val="134"/>
      </rPr>
      <t>年</t>
    </r>
  </si>
  <si>
    <r>
      <rPr>
        <sz val="11"/>
        <color theme="1"/>
        <rFont val="华文细黑"/>
        <family val="3"/>
        <charset val="134"/>
      </rPr>
      <t>第</t>
    </r>
    <r>
      <rPr>
        <sz val="11"/>
        <color theme="1"/>
        <rFont val="Arial"/>
        <family val="2"/>
      </rPr>
      <t>3</t>
    </r>
    <r>
      <rPr>
        <sz val="11"/>
        <color theme="1"/>
        <rFont val="华文细黑"/>
        <family val="3"/>
        <charset val="134"/>
      </rPr>
      <t>年</t>
    </r>
  </si>
  <si>
    <r>
      <rPr>
        <sz val="11"/>
        <color theme="1"/>
        <rFont val="华文细黑"/>
        <family val="3"/>
        <charset val="134"/>
      </rPr>
      <t>第</t>
    </r>
    <r>
      <rPr>
        <sz val="11"/>
        <color theme="1"/>
        <rFont val="Arial"/>
        <family val="2"/>
      </rPr>
      <t>4</t>
    </r>
    <r>
      <rPr>
        <sz val="11"/>
        <color theme="1"/>
        <rFont val="华文细黑"/>
        <family val="3"/>
        <charset val="134"/>
      </rPr>
      <t>年</t>
    </r>
  </si>
  <si>
    <r>
      <rPr>
        <sz val="11"/>
        <color theme="1"/>
        <rFont val="华文细黑"/>
        <family val="3"/>
        <charset val="134"/>
      </rPr>
      <t>第</t>
    </r>
    <r>
      <rPr>
        <sz val="11"/>
        <color theme="1"/>
        <rFont val="Arial"/>
        <family val="2"/>
      </rPr>
      <t>5</t>
    </r>
    <r>
      <rPr>
        <sz val="11"/>
        <color theme="1"/>
        <rFont val="华文细黑"/>
        <family val="3"/>
        <charset val="134"/>
      </rPr>
      <t>年</t>
    </r>
  </si>
  <si>
    <r>
      <rPr>
        <sz val="11"/>
        <color theme="1"/>
        <rFont val="华文细黑"/>
        <family val="3"/>
        <charset val="134"/>
      </rPr>
      <t>第</t>
    </r>
    <r>
      <rPr>
        <sz val="11"/>
        <color theme="1"/>
        <rFont val="Arial"/>
        <family val="2"/>
      </rPr>
      <t>6</t>
    </r>
    <r>
      <rPr>
        <sz val="11"/>
        <color theme="1"/>
        <rFont val="华文细黑"/>
        <family val="3"/>
        <charset val="134"/>
      </rPr>
      <t>年</t>
    </r>
  </si>
  <si>
    <r>
      <rPr>
        <sz val="11"/>
        <color theme="1"/>
        <rFont val="华文细黑"/>
        <family val="3"/>
        <charset val="134"/>
      </rPr>
      <t>第</t>
    </r>
    <r>
      <rPr>
        <sz val="11"/>
        <color theme="1"/>
        <rFont val="Arial"/>
        <family val="2"/>
      </rPr>
      <t>7</t>
    </r>
    <r>
      <rPr>
        <sz val="11"/>
        <color theme="1"/>
        <rFont val="华文细黑"/>
        <family val="3"/>
        <charset val="134"/>
      </rPr>
      <t>年</t>
    </r>
  </si>
  <si>
    <r>
      <rPr>
        <sz val="9"/>
        <color theme="1"/>
        <rFont val="华文细黑"/>
        <family val="3"/>
        <charset val="134"/>
      </rPr>
      <t>每年增长</t>
    </r>
    <r>
      <rPr>
        <sz val="9"/>
        <color theme="1"/>
        <rFont val="Arial"/>
        <family val="2"/>
      </rPr>
      <t xml:space="preserve">8% </t>
    </r>
  </si>
  <si>
    <r>
      <rPr>
        <sz val="9"/>
        <color theme="1"/>
        <rFont val="华文细黑"/>
        <family val="3"/>
        <charset val="134"/>
      </rPr>
      <t>约</t>
    </r>
    <r>
      <rPr>
        <sz val="9"/>
        <color theme="1"/>
        <rFont val="Arial"/>
        <family val="2"/>
      </rPr>
      <t>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</si>
  <si>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</si>
  <si>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</si>
  <si>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</si>
  <si>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</si>
  <si>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</si>
  <si>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</si>
  <si>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</si>
  <si>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</si>
  <si>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</si>
  <si>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</si>
  <si>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</si>
  <si>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</si>
  <si>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</si>
  <si>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</si>
  <si>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</si>
  <si>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</si>
  <si>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</si>
  <si>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</si>
  <si>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</si>
  <si>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</si>
  <si>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</si>
  <si>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</si>
  <si>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</si>
  <si>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</si>
  <si>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</si>
  <si>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</si>
  <si>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</si>
  <si>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</si>
  <si>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</si>
  <si>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</si>
  <si>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</si>
  <si>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</si>
  <si>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</si>
  <si>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</si>
  <si>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</si>
  <si>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</si>
  <si>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</si>
  <si>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</si>
  <si>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</si>
  <si>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</si>
  <si>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</si>
  <si>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</si>
  <si>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</si>
  <si>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</si>
  <si>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</si>
  <si>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</si>
  <si>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</si>
  <si>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</si>
  <si>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</si>
  <si>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</si>
  <si>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</si>
  <si>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</si>
  <si>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</si>
  <si>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</si>
  <si>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</si>
  <si>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</si>
  <si>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</si>
  <si>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</si>
  <si>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</si>
  <si>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</si>
  <si>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</si>
  <si>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</si>
  <si>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</si>
  <si>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</si>
  <si>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</si>
  <si>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</si>
  <si>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</si>
  <si>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</si>
  <si>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</si>
  <si>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</si>
  <si>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</si>
  <si>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</si>
  <si>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</si>
  <si>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</si>
  <si>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</si>
  <si>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</si>
  <si>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</si>
  <si>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</si>
  <si>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</si>
  <si>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</si>
  <si>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</si>
  <si>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</si>
  <si>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</si>
  <si>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</si>
  <si>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</si>
  <si>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</si>
  <si>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</si>
  <si>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</si>
  <si>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</si>
  <si>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</si>
  <si>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</si>
  <si>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</si>
  <si>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</si>
  <si>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</si>
  <si>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</si>
  <si>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</si>
  <si>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</si>
  <si>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</si>
  <si>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</si>
  <si>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</si>
  <si>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</si>
  <si>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</si>
  <si>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</si>
  <si>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</si>
  <si>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</si>
  <si>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</si>
  <si>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</si>
  <si>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</si>
  <si>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</si>
  <si>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</si>
  <si>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</si>
  <si>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</si>
  <si>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</si>
  <si>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</si>
  <si>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</si>
  <si>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</si>
  <si>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</si>
  <si>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</si>
  <si>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</si>
  <si>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</si>
  <si>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</si>
  <si>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</si>
  <si>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</si>
  <si>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</si>
  <si>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</si>
  <si>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</si>
  <si>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</si>
  <si>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</si>
  <si>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</si>
  <si>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</si>
  <si>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</si>
  <si>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</si>
  <si>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</si>
  <si>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</si>
  <si>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</si>
  <si>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</si>
  <si>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</si>
  <si>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</si>
  <si>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</si>
  <si>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</si>
  <si>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</si>
  <si>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</si>
  <si>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</si>
  <si>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</si>
  <si>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</si>
  <si>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</si>
  <si>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</si>
  <si>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</si>
  <si>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</si>
  <si>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</si>
  <si>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</si>
  <si>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</si>
  <si>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</si>
  <si>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</si>
  <si>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</si>
  <si>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</si>
  <si>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</si>
  <si>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</si>
  <si>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</si>
  <si>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</si>
  <si>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</si>
  <si>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</si>
  <si>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</si>
  <si>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</si>
  <si>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</si>
  <si>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</si>
  <si>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</si>
  <si>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</si>
  <si>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</si>
  <si>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</si>
  <si>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</si>
  <si>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</si>
  <si>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</si>
  <si>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</si>
  <si>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</si>
  <si>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</si>
  <si>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</si>
  <si>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</si>
  <si>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</si>
  <si>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</si>
  <si>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</si>
  <si>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</si>
  <si>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</si>
  <si>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</si>
  <si>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</si>
  <si>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</si>
  <si>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</si>
  <si>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</si>
  <si>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</si>
  <si>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</si>
  <si>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</si>
  <si>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</si>
  <si>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</si>
  <si>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</si>
  <si>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</si>
  <si>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</si>
  <si>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</si>
  <si>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</si>
  <si>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</si>
  <si>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</si>
  <si>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</si>
  <si>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</si>
  <si>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</si>
  <si>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</si>
  <si>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</si>
  <si>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</si>
  <si>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</si>
  <si>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</si>
  <si>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</si>
  <si>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</si>
  <si>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</si>
  <si>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</si>
  <si>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</si>
  <si>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</si>
  <si>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</si>
  <si>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</si>
  <si>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</si>
  <si>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</si>
  <si>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</si>
  <si>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</si>
  <si>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</si>
  <si>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</si>
  <si>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</si>
  <si>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</si>
  <si>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</si>
  <si>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</si>
  <si>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</si>
  <si>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</si>
  <si>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</si>
  <si>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</si>
  <si>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</si>
  <si>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</si>
  <si>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</si>
  <si>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</si>
  <si>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</si>
  <si>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</si>
  <si>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</si>
  <si>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</si>
  <si>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</si>
  <si>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</si>
  <si>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</si>
  <si>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</si>
  <si>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</si>
  <si>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</si>
  <si>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</si>
  <si>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</si>
  <si>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</si>
  <si>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</si>
  <si>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</si>
  <si>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</si>
  <si>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</si>
  <si>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</si>
  <si>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</si>
  <si>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</si>
  <si>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</si>
  <si>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</si>
  <si>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</si>
  <si>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</si>
  <si>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</si>
  <si>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</si>
  <si>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</si>
  <si>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</si>
  <si>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</si>
  <si>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</si>
  <si>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</si>
  <si>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</si>
  <si>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</si>
  <si>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</si>
  <si>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</si>
  <si>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</si>
  <si>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</si>
  <si>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</si>
  <si>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</si>
  <si>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</si>
  <si>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</si>
  <si>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</si>
  <si>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</si>
  <si>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</si>
  <si>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</si>
  <si>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</si>
  <si>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</si>
  <si>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</si>
  <si>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</si>
  <si>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</si>
  <si>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</si>
  <si>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</si>
  <si>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</si>
  <si>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</si>
  <si>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</si>
  <si>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</si>
  <si>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</si>
  <si>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</si>
  <si>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</si>
  <si>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</si>
  <si>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</si>
  <si>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</si>
  <si>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</si>
  <si>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</si>
  <si>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</si>
  <si>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</si>
  <si>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</si>
  <si>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</si>
  <si>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</si>
  <si>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</si>
  <si>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</si>
  <si>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</si>
  <si>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</si>
  <si>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</si>
  <si>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</si>
  <si>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</si>
  <si>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</si>
  <si>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</si>
  <si>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</si>
  <si>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</si>
  <si>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</si>
  <si>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</si>
  <si>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</si>
  <si>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</si>
  <si>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</si>
  <si>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</si>
  <si>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</si>
  <si>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</si>
  <si>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</si>
  <si>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</si>
  <si>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</si>
  <si>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</si>
  <si>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</si>
  <si>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</si>
  <si>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</si>
  <si>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</si>
  <si>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</si>
  <si>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</si>
  <si>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</si>
  <si>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</si>
  <si>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</si>
  <si>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</si>
  <si>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</si>
  <si>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</si>
  <si>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</si>
  <si>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</si>
  <si>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</si>
  <si>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</si>
  <si>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</si>
  <si>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</si>
  <si>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</si>
  <si>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</si>
  <si>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</si>
  <si>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</si>
  <si>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</si>
  <si>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</si>
  <si>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</si>
  <si>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</si>
  <si>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</si>
  <si>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</si>
  <si>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</si>
  <si>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</si>
  <si>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</si>
  <si>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</si>
  <si>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</si>
  <si>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</si>
  <si>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</si>
  <si>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</si>
  <si>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</si>
  <si>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</si>
  <si>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</si>
  <si>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</si>
  <si>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</si>
  <si>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</si>
  <si>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</si>
  <si>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</si>
  <si>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</si>
  <si>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</si>
  <si>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</si>
  <si>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</si>
  <si>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</si>
  <si>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</si>
  <si>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</si>
  <si>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</si>
  <si>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</si>
  <si>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</si>
  <si>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</si>
  <si>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</si>
  <si>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</si>
  <si>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</si>
  <si>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</si>
  <si>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</si>
  <si>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</si>
  <si>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</si>
  <si>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</si>
  <si>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</si>
  <si>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</si>
  <si>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</si>
  <si>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</si>
  <si>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</si>
  <si>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</si>
  <si>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</si>
  <si>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</si>
  <si>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</si>
  <si>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</si>
  <si>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</si>
  <si>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</si>
  <si>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</si>
  <si>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</si>
  <si>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</si>
  <si>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</si>
  <si>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</si>
  <si>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</si>
  <si>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</si>
  <si>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</si>
  <si>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</si>
  <si>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</si>
  <si>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</si>
  <si>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</si>
  <si>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</si>
  <si>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</si>
  <si>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</si>
  <si>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</si>
  <si>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</si>
  <si>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</si>
  <si>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</si>
  <si>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</si>
  <si>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</si>
  <si>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</si>
  <si>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</si>
  <si>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</si>
  <si>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</si>
  <si>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</si>
  <si>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</si>
  <si>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</si>
  <si>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</si>
  <si>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</si>
  <si>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</si>
  <si>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</si>
  <si>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</si>
  <si>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</si>
  <si>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</si>
  <si>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</si>
  <si>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</si>
  <si>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</si>
  <si>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</si>
  <si>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</si>
  <si>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</si>
  <si>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</si>
  <si>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</si>
  <si>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</si>
  <si>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</si>
  <si>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</si>
  <si>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</si>
  <si>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</si>
  <si>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</si>
  <si>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</si>
  <si>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</si>
  <si>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</si>
  <si>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</si>
  <si>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</si>
  <si>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</si>
  <si>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</si>
  <si>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</si>
  <si>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</si>
  <si>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</si>
  <si>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</si>
  <si>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</si>
  <si>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</si>
  <si>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</si>
  <si>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</si>
  <si>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</si>
  <si>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</si>
  <si>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</si>
  <si>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</si>
  <si>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</si>
  <si>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</si>
  <si>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</si>
  <si>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</si>
  <si>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</si>
  <si>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</si>
  <si>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</si>
  <si>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</si>
  <si>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</si>
  <si>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</si>
  <si>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</si>
  <si>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</si>
  <si>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</si>
  <si>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</si>
  <si>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</si>
  <si>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</si>
  <si>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</si>
  <si>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</si>
  <si>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</si>
  <si>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</si>
  <si>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</si>
  <si>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</si>
  <si>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</si>
  <si>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</si>
  <si>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</si>
  <si>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</si>
  <si>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</si>
  <si>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</si>
  <si>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</si>
  <si>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</si>
  <si>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</si>
  <si>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</si>
  <si>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</si>
  <si>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</si>
  <si>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</si>
  <si>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</si>
  <si>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</si>
  <si>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</si>
  <si>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</si>
  <si>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</si>
  <si>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</si>
  <si>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</si>
  <si>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</si>
  <si>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</si>
  <si>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</si>
  <si>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</si>
  <si>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</si>
  <si>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</si>
  <si>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</si>
  <si>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</si>
  <si>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</si>
  <si>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</si>
  <si>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</si>
  <si>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</si>
  <si>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</si>
  <si>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</si>
  <si>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</si>
  <si>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</si>
  <si>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</si>
  <si>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</si>
  <si>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</si>
  <si>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</si>
  <si>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</si>
  <si>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</si>
  <si>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</si>
  <si>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</si>
  <si>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</si>
  <si>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</si>
  <si>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</si>
  <si>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</si>
  <si>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</si>
  <si>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</si>
  <si>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</si>
  <si>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</si>
  <si>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</si>
  <si>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</si>
  <si>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</si>
  <si>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</si>
  <si>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</si>
  <si>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</si>
  <si>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</si>
  <si>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</si>
  <si>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</si>
  <si>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</si>
  <si>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</si>
  <si>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</si>
  <si>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</si>
  <si>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</si>
  <si>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</si>
  <si>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</si>
  <si>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</si>
  <si>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</si>
  <si>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</si>
  <si>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</si>
  <si>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</si>
  <si>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</si>
  <si>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</si>
  <si>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</si>
  <si>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</si>
  <si>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</si>
  <si>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</si>
  <si>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</si>
  <si>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</si>
  <si>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</si>
  <si>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</si>
  <si>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</si>
  <si>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</si>
  <si>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</si>
  <si>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</si>
  <si>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</si>
  <si>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</si>
  <si>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</si>
  <si>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</si>
  <si>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</si>
  <si>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</si>
  <si>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</si>
  <si>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</si>
  <si>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</si>
  <si>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</si>
  <si>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</si>
  <si>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</si>
  <si>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</si>
  <si>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</si>
  <si>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</si>
  <si>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</si>
  <si>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</si>
  <si>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</si>
  <si>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</si>
  <si>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</si>
  <si>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</si>
  <si>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</si>
  <si>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</si>
  <si>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</si>
  <si>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</si>
  <si>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</si>
  <si>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</si>
  <si>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</si>
  <si>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</si>
  <si>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</si>
  <si>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</si>
  <si>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</si>
  <si>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</si>
  <si>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</si>
  <si>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</si>
  <si>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</si>
  <si>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</si>
  <si>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</si>
  <si>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</si>
  <si>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</si>
  <si>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</si>
  <si>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</si>
  <si>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</si>
  <si>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</si>
  <si>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</si>
  <si>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</si>
  <si>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</si>
  <si>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</si>
  <si>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</si>
  <si>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</si>
  <si>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</si>
  <si>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</si>
  <si>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</si>
  <si>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</si>
  <si>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</si>
  <si>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</si>
  <si>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</si>
  <si>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</si>
  <si>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</si>
  <si>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</si>
  <si>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</si>
  <si>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</si>
  <si>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</si>
  <si>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</si>
  <si>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</si>
  <si>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</si>
  <si>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</si>
  <si>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</si>
  <si>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</si>
  <si>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</si>
  <si>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</si>
  <si>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</si>
  <si>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</si>
  <si>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政府收购情况</t>
  </si>
  <si>
    <t>土地等级</t>
  </si>
  <si>
    <t>北京经济技术开发区亦庄新城YZ00-0302街区B4B2地块商务金融用地(B2)</t>
  </si>
  <si>
    <t>北京</t>
  </si>
  <si>
    <t>大兴区</t>
  </si>
  <si>
    <t>路东区北部</t>
  </si>
  <si>
    <t>京土储挂(开)[2025]046号</t>
  </si>
  <si>
    <t>北京经济技术开发区亦庄新城YZ00-0302街区B4B2地块</t>
  </si>
  <si>
    <t/>
  </si>
  <si>
    <t>商业/办公用地</t>
  </si>
  <si>
    <t>商务金融用地(B2)</t>
  </si>
  <si>
    <t>B21金融保险用地</t>
  </si>
  <si>
    <t>办公50年,商业40年</t>
  </si>
  <si>
    <t>2</t>
  </si>
  <si>
    <t>挂牌</t>
  </si>
  <si>
    <t>2025-11-25</t>
  </si>
  <si>
    <t>2025-12-15</t>
  </si>
  <si>
    <t>2025-12-29</t>
  </si>
  <si>
    <t>已成交</t>
  </si>
  <si>
    <t>未开工</t>
  </si>
  <si>
    <t>中能建(北京)智慧算力科技有限公司</t>
  </si>
  <si>
    <t>香港中央结算（代理人）有限公司,中国能源建设,跃网科技</t>
  </si>
  <si>
    <t>地方国有企业，中央国有企业，--</t>
  </si>
  <si>
    <t>2025-12-29 15:00</t>
  </si>
  <si>
    <t>11490元/㎡(六级办公用途2021-01-01)</t>
  </si>
  <si>
    <t>2026-01-28</t>
  </si>
  <si>
    <t>政府未收购</t>
  </si>
  <si>
    <t>北京城市副中心0101街区FZX-0101-0607地块F3其他类多功能用地</t>
  </si>
  <si>
    <t>通州区</t>
  </si>
  <si>
    <t>通运</t>
  </si>
  <si>
    <t>京土储挂(通)[2025]033号</t>
  </si>
  <si>
    <t>北京城市副中心0101街区</t>
  </si>
  <si>
    <t>F3其他类多功能用地</t>
  </si>
  <si>
    <t>B商业服务业设施用地</t>
  </si>
  <si>
    <t>商业年40办公年50</t>
  </si>
  <si>
    <t>≤6.35</t>
  </si>
  <si>
    <t>120米</t>
  </si>
  <si>
    <t>2025-09-24</t>
  </si>
  <si>
    <t>2025-10-14</t>
  </si>
  <si>
    <t>2025-10-28</t>
  </si>
  <si>
    <t>已开工</t>
  </si>
  <si>
    <t>北京京国盛置业有限责任公司</t>
  </si>
  <si>
    <t>北京市国有资产经营</t>
  </si>
  <si>
    <t>地方国有企业</t>
  </si>
  <si>
    <t>城投企业</t>
  </si>
  <si>
    <t>2025-10-28 15:00</t>
  </si>
  <si>
    <t>北京城市副中心0101街区FZX-0101-0607地块</t>
  </si>
  <si>
    <t>2025-11-07</t>
  </si>
  <si>
    <t>北京经济技术开发区亦庄新城YZ00-0206街区X44B2地块B4综合性商业金融服务业用地</t>
  </si>
  <si>
    <t>河西区南部</t>
  </si>
  <si>
    <t>京土储挂(开)[2025]031号</t>
  </si>
  <si>
    <t>北京经济技术开发区亦庄新城YZ00-0206街区X44B2地块</t>
  </si>
  <si>
    <t>B4综合性商业金融服务业用地</t>
  </si>
  <si>
    <t>B1商业设施用地、B21金融保险用地</t>
  </si>
  <si>
    <t>商业40年,办公50年</t>
  </si>
  <si>
    <t>60米</t>
  </si>
  <si>
    <t>2025-09-12</t>
  </si>
  <si>
    <t>2025-10-09</t>
  </si>
  <si>
    <t>2025-10-22</t>
  </si>
  <si>
    <t>中国华冶科工集团有限公司</t>
  </si>
  <si>
    <t>中国中冶集团,农银金融资产投资有限公司</t>
  </si>
  <si>
    <t>中央国有企业，地方国有企业</t>
  </si>
  <si>
    <t>2025-10-23 15:00</t>
  </si>
  <si>
    <t>8580元/㎡(七级办公用途2021-01-01)</t>
  </si>
  <si>
    <t>2025-11-24</t>
  </si>
  <si>
    <t>北京经济技术开发区亦庄新城YZ00-0302街区 C4F1地块F3其他类多功能用地</t>
  </si>
  <si>
    <t>路东区</t>
  </si>
  <si>
    <t>京土储挂(开)[2025]030号</t>
  </si>
  <si>
    <t>北京经济技术开发区亦庄新城YZ00-0302街区C4F1地块</t>
  </si>
  <si>
    <t>1.88</t>
  </si>
  <si>
    <t>2025-09-01</t>
  </si>
  <si>
    <t>2025-09-22</t>
  </si>
  <si>
    <t>2025-10-11</t>
  </si>
  <si>
    <t>北京市南郊农场有限公司</t>
  </si>
  <si>
    <t>首农食品</t>
  </si>
  <si>
    <t>2025-10-06 15:00</t>
  </si>
  <si>
    <t>北京经济技术开发区亦庄新城YZ00-0302街区C4F1地块F3其他类多功能用地</t>
  </si>
  <si>
    <t>2025-11-20</t>
  </si>
  <si>
    <t>北京城市副中心站综合交通枢纽地区 FZX-0101-03单元FZX-0101-0306、 0307(2)、0309地块 F3其他类多功能用地</t>
  </si>
  <si>
    <t>京土储挂(通)[2025]008号</t>
  </si>
  <si>
    <t>北京城市副中心站综合交通枢纽地区</t>
  </si>
  <si>
    <t>商业40 年,办公50 年</t>
  </si>
  <si>
    <t>0306:1.4, 0307(2):2.6,0309:7.5</t>
  </si>
  <si>
    <t>0306:24米, 0307(2):50米,0309:120米</t>
  </si>
  <si>
    <t>2025-01-27</t>
  </si>
  <si>
    <t>2025-02-17</t>
  </si>
  <si>
    <t>2025-03-03</t>
  </si>
  <si>
    <t>北京市基础设施投资有限公司</t>
  </si>
  <si>
    <t>北京市基础设施投资</t>
  </si>
  <si>
    <t>通州区FZX-0101-03单元FZX-0101-0306、0307（2）、0309地块</t>
  </si>
  <si>
    <t>北京城市副中心站综合交通枢纽地区 FZX-0101-03单元FZX-0101-0307 (1)地块F3其他类多功能用地</t>
  </si>
  <si>
    <t>京土储挂(通)[2025]007号</t>
  </si>
  <si>
    <t>4</t>
  </si>
  <si>
    <t>50米</t>
  </si>
  <si>
    <t>北京祥龙物业经营管理有限公司</t>
  </si>
  <si>
    <t>民营企业</t>
  </si>
  <si>
    <t>通州区FZX-0101-03单元FZX-0101-0307（1）地块</t>
  </si>
  <si>
    <t>2025-04-05</t>
  </si>
  <si>
    <t>北京城市副中心站综合交通枢纽地区 FZX-0101-03单元FZX-0101-0307 (3)地块F3其他类多功能用地</t>
  </si>
  <si>
    <t>京土储挂(通)[2025]003号</t>
  </si>
  <si>
    <t>2.40</t>
  </si>
  <si>
    <t>24米</t>
  </si>
  <si>
    <t>2025-01-22</t>
  </si>
  <si>
    <t>2025-02-11</t>
  </si>
  <si>
    <t>2025-02-25</t>
  </si>
  <si>
    <t>北京水务投资集团有限公司</t>
  </si>
  <si>
    <t>北京水投</t>
  </si>
  <si>
    <t>通州区FZX-0101-03单元FZX-0101-0307（3）地块</t>
  </si>
  <si>
    <t>2025-03-29</t>
  </si>
  <si>
    <t>大兴区榆垡镇DX09-1301-6401等地块F81集体产业用地</t>
  </si>
  <si>
    <t>榆垡镇</t>
  </si>
  <si>
    <t>京规自集使挂(兴)[2024]003号</t>
  </si>
  <si>
    <t>大兴区榆垡镇</t>
  </si>
  <si>
    <t>F81集体产业用地</t>
  </si>
  <si>
    <t>40</t>
  </si>
  <si>
    <t>1</t>
  </si>
  <si>
    <t>2024-12-19</t>
  </si>
  <si>
    <t>2025-01-06</t>
  </si>
  <si>
    <t>北京绿野晴川动物园有限公司</t>
  </si>
  <si>
    <t>北京首旅集团</t>
  </si>
  <si>
    <t>4860元/㎡(九级办公用途2021-01-01)</t>
  </si>
  <si>
    <t>否</t>
  </si>
  <si>
    <t>通州区潞城镇TZ02-0101-0009地块村庄产业用地项目(C3,商务办公等多功能用途)集体经营性建设用地</t>
  </si>
  <si>
    <t>宋庄西</t>
  </si>
  <si>
    <t>京规自挂(通)集[2024]004号</t>
  </si>
  <si>
    <t>通州区潞城镇</t>
  </si>
  <si>
    <t>村庄产业 用地(C3,商务办公等多功能用途)</t>
  </si>
  <si>
    <t>办公50年;商业40年</t>
  </si>
  <si>
    <t>1.30</t>
  </si>
  <si>
    <t>2024-10-25</t>
  </si>
  <si>
    <t>2024-11-14</t>
  </si>
  <si>
    <t>2024-11-28</t>
  </si>
  <si>
    <t>北京闼闼同创商务有限公司</t>
  </si>
  <si>
    <t>北京城市副中心1202街区FZX-1202-0074地块 F3其他类多功能用地国有建设用地使用权挂牌出让</t>
  </si>
  <si>
    <t>环球度假区</t>
  </si>
  <si>
    <t>京土储挂(通)〔2024〕031号</t>
  </si>
  <si>
    <t>通州区梨园镇</t>
  </si>
  <si>
    <t>商业 40 年 办公 50 年</t>
  </si>
  <si>
    <t>2.20</t>
  </si>
  <si>
    <t>36米</t>
  </si>
  <si>
    <t>2024-08-08</t>
  </si>
  <si>
    <t>2024-08-28</t>
  </si>
  <si>
    <t>2024-09-11</t>
  </si>
  <si>
    <t>北京通州鲸航置业发展有限公司</t>
  </si>
  <si>
    <t>通州房开</t>
  </si>
  <si>
    <t>2024-09-10 17:00</t>
  </si>
  <si>
    <t>2024-10-13</t>
  </si>
  <si>
    <t>北京大兴国际机场临空经济区 DX16-0104-0013地块F3其他类多功能用地</t>
  </si>
  <si>
    <t>礼贤镇</t>
  </si>
  <si>
    <t>京土储挂(兴临空)〔2024〕030号</t>
  </si>
  <si>
    <t>大兴区礼贤镇</t>
  </si>
  <si>
    <t>2024-08-01</t>
  </si>
  <si>
    <t>2024-08-21</t>
  </si>
  <si>
    <t>2024-09-04</t>
  </si>
  <si>
    <t>北京航城兴贤商业管理有限公司</t>
  </si>
  <si>
    <t>中国铁路,北京新航城,北京市基础设施投资,北京建工,天津城投集团</t>
  </si>
  <si>
    <t>中央国有企业，地方国有企业，地方国有企业，地方国有企业，地方国有企业</t>
  </si>
  <si>
    <t>--，--，城投企业，城投企业，城投企业</t>
  </si>
  <si>
    <t>2024-09-03 17:00</t>
  </si>
  <si>
    <t>北京大兴国际机场临空经济区DX16-0104-0013地块F3其他类多功能用地</t>
  </si>
  <si>
    <t>2024-10-14</t>
  </si>
  <si>
    <t>北京经济技术开发区亦庄新城0701 街区 N17F3地块F3其他类多功能用地</t>
  </si>
  <si>
    <t>路南区</t>
  </si>
  <si>
    <t>京土储挂(开)[2024]028号</t>
  </si>
  <si>
    <t>亦庄新城0701街区</t>
  </si>
  <si>
    <t>F3 其他类多功能用地</t>
  </si>
  <si>
    <t>≤2.5</t>
  </si>
  <si>
    <t>≤40%</t>
  </si>
  <si>
    <t>≤60</t>
  </si>
  <si>
    <t>2024-07-16</t>
  </si>
  <si>
    <t>2024-08-05</t>
  </si>
  <si>
    <t>2024-08-19</t>
  </si>
  <si>
    <t>北京海创英才安居置业有限公司</t>
  </si>
  <si>
    <t>北京亦庄国际人才发展</t>
  </si>
  <si>
    <t>2024-08-19 15:00</t>
  </si>
  <si>
    <t>6580元/㎡(八级办公用途2021-01-01)</t>
  </si>
  <si>
    <t>北京经济技术开发区亦庄新城0701街区YZ00-0701-N17F3地块</t>
  </si>
  <si>
    <t>2024-10-05</t>
  </si>
  <si>
    <t>北京城市副中心通州运河核心区6号地项目VIII-09瓮城遗址公园地块国有建设用地使用权出让</t>
  </si>
  <si>
    <t>乔庄</t>
  </si>
  <si>
    <t>京土储挂(通)〔2024〕018号</t>
  </si>
  <si>
    <t>城市副中心运河商务区</t>
  </si>
  <si>
    <t>其他公园绿地、地下用地</t>
  </si>
  <si>
    <t>G1公园绿地</t>
  </si>
  <si>
    <t>地面层:0.04、地下一层:0.43、地下二层:0.74</t>
  </si>
  <si>
    <t>2024-05-14</t>
  </si>
  <si>
    <t>2024-06-03</t>
  </si>
  <si>
    <t>2024-06-18</t>
  </si>
  <si>
    <t>北京城市副中心投资建设集团有限公司</t>
  </si>
  <si>
    <t>北投集团</t>
  </si>
  <si>
    <t>2024-06-17 17:00</t>
  </si>
  <si>
    <t>14980元/㎡(五级办公用途2021-01-01)</t>
  </si>
  <si>
    <t>2024-07-21</t>
  </si>
  <si>
    <t>北京丽泽金融商务区北区A地块建设及综合治理项目FT00-0609-0037(2)地块B4综合性商业金融服务业用地</t>
  </si>
  <si>
    <t>丰台区</t>
  </si>
  <si>
    <t>丽泽</t>
  </si>
  <si>
    <t>京土储挂(丰)[2023]067号</t>
  </si>
  <si>
    <t>丰台区太平桥街道</t>
  </si>
  <si>
    <t>B21金融保险用地、B1商业设施用地</t>
  </si>
  <si>
    <t>商业40年 办公50年</t>
  </si>
  <si>
    <t>小于等于7</t>
  </si>
  <si>
    <t>2023-11-24</t>
  </si>
  <si>
    <t>2023-12-14</t>
  </si>
  <si>
    <t>2023-12-28</t>
  </si>
  <si>
    <t>中国南水北调集团综合服务有限公司</t>
  </si>
  <si>
    <t>中国南水北调集团有限公司</t>
  </si>
  <si>
    <t>中央国有企业</t>
  </si>
  <si>
    <t>2023-12-28 15:00</t>
  </si>
  <si>
    <t>24380元/㎡(三级办公用途2021-01-01)</t>
  </si>
  <si>
    <t>2024-02-01</t>
  </si>
  <si>
    <t>北京城市副中心0201街区玉桥家园中心FZX-0201-0096、0102地块F3其他类多功能用地国有建设用地使用权出让公告</t>
  </si>
  <si>
    <t>京土储挂(通)[2023]042号</t>
  </si>
  <si>
    <t>城市副中心0201街区</t>
  </si>
  <si>
    <t>商业40年办公50年公服50年</t>
  </si>
  <si>
    <t>1.56</t>
  </si>
  <si>
    <t>2023-08-17</t>
  </si>
  <si>
    <t>2023-09-06</t>
  </si>
  <si>
    <t>2023-09-20</t>
  </si>
  <si>
    <t>已竣工</t>
  </si>
  <si>
    <t>北京通州投资发展有限公司</t>
  </si>
  <si>
    <t>2023-09-20 15:00</t>
  </si>
  <si>
    <t>2023-10-21</t>
  </si>
  <si>
    <t>北京城市副中心0403街区FZX-0403-0146、0148地块F3 其他类多功能用地</t>
  </si>
  <si>
    <t>通州北苑</t>
  </si>
  <si>
    <t>京土储挂(通)〔2023〕032号</t>
  </si>
  <si>
    <t>城市副中心0403街区</t>
  </si>
  <si>
    <t>居住70年、商业40年、办公50年</t>
  </si>
  <si>
    <t>0146容积率3.82、0148容积率2.75</t>
  </si>
  <si>
    <t>0146限高60米,0148限高30米</t>
  </si>
  <si>
    <t>2023-06-02</t>
  </si>
  <si>
    <t>2023-06-25</t>
  </si>
  <si>
    <t>2023-07-07</t>
  </si>
  <si>
    <t>2023-08-11</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</si>
  <si>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</si>
  <si>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</si>
  <si>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</si>
  <si>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</si>
  <si>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</si>
  <si>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</si>
  <si>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</si>
  <si>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</si>
  <si>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</si>
  <si>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</si>
  <si>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</si>
  <si>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</si>
  <si>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</si>
  <si>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</si>
  <si>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丽泽数字金融科技示范园</t>
  </si>
  <si>
    <t>2023-07-13</t>
  </si>
  <si>
    <t>北京市房山区窦店镇高端制造业基地06街区01地块FS00-DD06-0018、0019、0023、0024地块F3其他类多功能用地</t>
  </si>
  <si>
    <t>房山区</t>
  </si>
  <si>
    <t>窦店镇</t>
  </si>
  <si>
    <t>京土储挂(房)[2023]013号</t>
  </si>
  <si>
    <t>房山区窦店镇、良乡镇</t>
  </si>
  <si>
    <t>fs00-dd06-0018、0019容积率1.6;0023、0024容积率2.5</t>
  </si>
  <si>
    <t>30、45</t>
  </si>
  <si>
    <t>2023-05-08</t>
  </si>
  <si>
    <t>2023-05-29</t>
  </si>
  <si>
    <t>2023-06-12</t>
  </si>
  <si>
    <t>北京京东方医院有限公司</t>
  </si>
  <si>
    <t>京东方科技</t>
  </si>
  <si>
    <t>3340元/㎡(十级办公用途2021-01-01)</t>
  </si>
  <si>
    <t>2023-07-12</t>
  </si>
  <si>
    <t>北京市通州区永顺镇0401街区 46号地块(西马庄收储) B4综合性商业金融服务业用地</t>
  </si>
  <si>
    <t>通州北关</t>
  </si>
  <si>
    <t>京土储挂(通)〔2023〕004号</t>
  </si>
  <si>
    <t>通州区永顺镇</t>
  </si>
  <si>
    <t>商业 40 年、办公 50 年</t>
  </si>
  <si>
    <t>≤2.8</t>
  </si>
  <si>
    <t>2023-03-10</t>
  </si>
  <si>
    <t>2023-03-30</t>
  </si>
  <si>
    <t>2023-04-14</t>
  </si>
  <si>
    <t>北京易创通景信息科技有限公司</t>
  </si>
  <si>
    <t>国韬科技文化发展（珠海）有限公司</t>
  </si>
  <si>
    <t>2023-05-14</t>
  </si>
  <si>
    <t>大兴区西红门镇集体经营性建设用地2号地2-002A地块</t>
  </si>
  <si>
    <t>西红门镇东</t>
  </si>
  <si>
    <t>京规自集使挂(兴)[2023]002号</t>
  </si>
  <si>
    <t>西红门镇</t>
  </si>
  <si>
    <t>2023-02-21</t>
  </si>
  <si>
    <t>2023-03-12</t>
  </si>
  <si>
    <t>2023-03-27</t>
  </si>
  <si>
    <t>电建智汇(北京)运营管理有限公司</t>
  </si>
  <si>
    <t>中国电建集团贵阳勘测设计研究院有限公司,中国电建集团中南勘测设计研究院有限公司,中信股份,中国电建</t>
  </si>
  <si>
    <t>中央国有企业，中央国有企业，中央国有企业，中央国有企业</t>
  </si>
  <si>
    <t>北京大兴国际机场临空经济区DX12-0105-6103地块S5加油加气站(加氢站)用地</t>
  </si>
  <si>
    <t>京土储挂(兴临空)[2022]072号</t>
  </si>
  <si>
    <t>S5加油加气站(加氢站)用地</t>
  </si>
  <si>
    <t>B41加油加气站用地</t>
  </si>
  <si>
    <t>商业40年</t>
  </si>
  <si>
    <t>≤0.4</t>
  </si>
  <si>
    <t>2022-12-16</t>
  </si>
  <si>
    <t>2023-01-05</t>
  </si>
  <si>
    <t>2023-01-19</t>
  </si>
  <si>
    <t>空气(北京)氢能科技有限公司</t>
  </si>
  <si>
    <t>空气（北京）氢能科技有限公司</t>
  </si>
  <si>
    <t>2023-01-19 15:00</t>
  </si>
  <si>
    <t>2023-03-08</t>
  </si>
  <si>
    <t>北京市丰台区丽泽金融商务区D-01地块B4综合性商业金融服务业用地</t>
  </si>
  <si>
    <t>京土储挂(丰)[2022]043号</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</si>
  <si>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</si>
  <si>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</si>
  <si>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</si>
  <si>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</si>
  <si>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</si>
  <si>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</si>
  <si>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</si>
  <si>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</si>
  <si>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</si>
  <si>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2022-10-01</t>
  </si>
  <si>
    <t>北京市通州经济开发区西区南扩区 三、五、六期棚户区改造项目 FZX-1102-6002地块 F3其他类多功能用地</t>
  </si>
  <si>
    <t>张家湾休闲</t>
  </si>
  <si>
    <t>京土储挂(通)〔2022〕041号</t>
  </si>
  <si>
    <t>通州区张家湾镇</t>
  </si>
  <si>
    <t>商业40年、办公50年</t>
  </si>
  <si>
    <t>≤2.2</t>
  </si>
  <si>
    <t>2022-07-18</t>
  </si>
  <si>
    <t>2022-08-09</t>
  </si>
  <si>
    <t>2022-08-22</t>
  </si>
  <si>
    <t>北京未来科创建筑有限公司</t>
  </si>
  <si>
    <t>2022-08-23 15:00</t>
  </si>
  <si>
    <t>2022-10-02</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</si>
  <si>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</si>
  <si>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</si>
  <si>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</si>
  <si>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</si>
  <si>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</si>
  <si>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</si>
  <si>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北京城市副中心12组团</t>
  </si>
  <si>
    <t>商业 40 年、 办公 50 年</t>
  </si>
  <si>
    <t>2022-06-13</t>
  </si>
  <si>
    <t>2022-07-05</t>
  </si>
  <si>
    <t>2022-07-19</t>
  </si>
  <si>
    <t>北京首旅城市副中心投资有限公司</t>
  </si>
  <si>
    <t>2022-07-19 15:00</t>
  </si>
  <si>
    <t>2022-08-24</t>
  </si>
  <si>
    <t>北京经济技术开发区亦庄新城0303街区C14C-3地块F3其他类多功能用地</t>
  </si>
  <si>
    <t>京土储挂(开)[2022]039号</t>
  </si>
  <si>
    <t>北京经济技术开发区亦庄新城0303街区C14C-3地块</t>
  </si>
  <si>
    <t>商业40 年、办公 50 年</t>
  </si>
  <si>
    <t>≤5.0</t>
  </si>
  <si>
    <t>≤40</t>
  </si>
  <si>
    <t>2022-05-20</t>
  </si>
  <si>
    <t>2022-06-09</t>
  </si>
  <si>
    <t>2022-06-23</t>
  </si>
  <si>
    <t>北京京东昆岳科技产业创新发展有限公司</t>
  </si>
  <si>
    <t>2022-06-23 15:00</t>
  </si>
  <si>
    <t>2022-07-23</t>
  </si>
  <si>
    <t>北京大兴国际机场临空经济区 DX12-0105-6006、6009 地块F3其他类多功能用地</t>
  </si>
  <si>
    <t>京土储挂(兴临空)[2022]020号</t>
  </si>
  <si>
    <t>2022-03-28</t>
  </si>
  <si>
    <t>2022-04-18</t>
  </si>
  <si>
    <t>2022-04-29</t>
  </si>
  <si>
    <t>北京新航城建设实业发展有限公司</t>
  </si>
  <si>
    <t>北京新航城</t>
  </si>
  <si>
    <t>2022-05-02 15:00</t>
  </si>
  <si>
    <t>航城大厦</t>
  </si>
  <si>
    <t>2022-06-12</t>
  </si>
  <si>
    <t>北京大兴国际机场临空经济区(北京部分)0205街区DX09-0103-0205地块B4综合性商业金融服务业用地</t>
  </si>
  <si>
    <t>京土储挂(兴临空)[2022]019号</t>
  </si>
  <si>
    <t>40年</t>
  </si>
  <si>
    <t>1.50</t>
  </si>
  <si>
    <t>≤45%</t>
  </si>
  <si>
    <t>2022-01-26</t>
  </si>
  <si>
    <t>2022-02-15</t>
  </si>
  <si>
    <t>2022-03-01</t>
  </si>
  <si>
    <t>2022-04-07</t>
  </si>
  <si>
    <t>北京经济技术开发区亦庄新城0902街区JG01-07地块F3其他类多功能用地</t>
  </si>
  <si>
    <t>旧宫南</t>
  </si>
  <si>
    <t>京土整储挂(开)[2021]099号</t>
  </si>
  <si>
    <t>北京经济技术开发区亦庄新城0902街区JG01-07</t>
  </si>
  <si>
    <t>3</t>
  </si>
  <si>
    <t>2021-12-31</t>
  </si>
  <si>
    <t>2022-01-20</t>
  </si>
  <si>
    <t>2022-02-08</t>
  </si>
  <si>
    <t>中国太平洋人寿保险股份有限公司</t>
  </si>
  <si>
    <t>太平洋人寿</t>
  </si>
  <si>
    <t>2022-03-10</t>
  </si>
  <si>
    <t>北京城市副中心0101街区FZX-0101-0902地块F3其他类多功能用地</t>
  </si>
  <si>
    <t>京土整储挂(通)[2021]096号</t>
  </si>
  <si>
    <t>北京城市副中心01组团</t>
  </si>
  <si>
    <t>2021-12-01</t>
  </si>
  <si>
    <t>2021-12-21</t>
  </si>
  <si>
    <t>2022-01-05</t>
  </si>
  <si>
    <t>华夏银行股份有限公司</t>
  </si>
  <si>
    <t>2022-01-06</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</si>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</sst>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4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b/>
      <sz val="10"/>
      <color indexed="8"/>
      <name val="宋体"/>
      <family val="3"/>
      <charset val="134"/>
    </font>
    <font>
      <b/>
      <sz val="9"/>
      <color theme="1"/>
      <name val="华文细黑"/>
      <family val="3"/>
      <charset val="134"/>
    </font>
    <font>
      <sz val="9"/>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9"/>
      <color theme="1"/>
      <name val="Arial"/>
      <family val="2"/>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16" fillId="0" borderId="0"/>
  </cellStyleXfs>
  <cellXfs count="357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9"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0"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81"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9"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2" fontId="22" fillId="6" borderId="39" xfId="14" applyNumberFormat="1"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9"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7" xfId="14" applyNumberFormat="1" applyFont="1" applyFill="1" applyBorder="1" applyAlignment="1">
      <alignment horizontal="left" vertical="center" wrapText="1"/>
    </xf>
    <xf numFmtId="182" fontId="22" fillId="6" borderId="52"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9"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4"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4"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179"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5"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5" fontId="25" fillId="0" borderId="0" xfId="14" applyNumberFormat="1" applyFont="1" applyAlignment="1">
      <alignment horizontal="left" vertical="center"/>
    </xf>
    <xf numFmtId="185"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9"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9"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9"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9"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9"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9"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9"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9"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1"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0" fontId="57" fillId="0" borderId="45" xfId="10" applyFont="1" applyBorder="1">
      <alignment vertical="center"/>
    </xf>
    <xf numFmtId="188" fontId="58" fillId="2" borderId="3" xfId="10" applyNumberFormat="1" applyFont="1" applyFill="1" applyBorder="1" applyAlignment="1">
      <alignment horizontal="left" vertical="center"/>
    </xf>
    <xf numFmtId="188" fontId="58" fillId="2" borderId="4" xfId="10" applyNumberFormat="1" applyFont="1" applyFill="1" applyBorder="1" applyAlignment="1">
      <alignment horizontal="left" vertical="center"/>
    </xf>
    <xf numFmtId="188" fontId="58" fillId="2" borderId="4" xfId="10" applyNumberFormat="1" applyFont="1" applyFill="1" applyBorder="1" applyAlignment="1">
      <alignment horizontal="left" vertical="center" wrapText="1"/>
    </xf>
    <xf numFmtId="188" fontId="58" fillId="2" borderId="20" xfId="10" applyNumberFormat="1" applyFont="1" applyFill="1" applyBorder="1" applyAlignment="1">
      <alignment horizontal="left" vertical="center"/>
    </xf>
    <xf numFmtId="188" fontId="58" fillId="2" borderId="21"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10" applyNumberFormat="1" applyFont="1" applyFill="1" applyBorder="1" applyAlignment="1">
      <alignment horizontal="left" vertical="center"/>
    </xf>
    <xf numFmtId="188" fontId="59" fillId="2" borderId="7" xfId="10" applyNumberFormat="1" applyFont="1" applyFill="1" applyBorder="1" applyAlignment="1">
      <alignment horizontal="left" vertical="center"/>
    </xf>
    <xf numFmtId="188" fontId="59" fillId="2" borderId="8" xfId="10" applyNumberFormat="1" applyFont="1" applyFill="1" applyBorder="1" applyAlignment="1">
      <alignment horizontal="left" vertical="center"/>
    </xf>
    <xf numFmtId="188" fontId="58" fillId="2" borderId="6" xfId="10" applyNumberFormat="1" applyFont="1" applyFill="1" applyBorder="1" applyAlignment="1">
      <alignment horizontal="left" vertical="center" wrapText="1"/>
    </xf>
    <xf numFmtId="188" fontId="58" fillId="2" borderId="9" xfId="10" applyNumberFormat="1" applyFont="1" applyFill="1" applyBorder="1" applyAlignment="1">
      <alignment horizontal="left" vertical="center" wrapText="1"/>
    </xf>
    <xf numFmtId="188" fontId="59" fillId="2" borderId="10" xfId="10" applyNumberFormat="1" applyFont="1" applyFill="1" applyBorder="1" applyAlignment="1">
      <alignment horizontal="left" vertical="center"/>
    </xf>
    <xf numFmtId="188" fontId="59"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179"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1"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9"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9"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90" fontId="82" fillId="2" borderId="50" xfId="0" applyNumberFormat="1" applyFont="1" applyFill="1" applyBorder="1" applyAlignment="1">
      <alignment horizontal="center" vertical="center"/>
    </xf>
    <xf numFmtId="183"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188"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2" fontId="65" fillId="2" borderId="22" xfId="0" applyNumberFormat="1" applyFont="1" applyFill="1" applyBorder="1" applyAlignment="1">
      <alignmen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90" fontId="82" fillId="2" borderId="140" xfId="0" applyNumberFormat="1" applyFont="1" applyFill="1" applyBorder="1" applyAlignment="1">
      <alignment horizontal="center" vertical="center"/>
    </xf>
    <xf numFmtId="183"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90"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3"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9" fontId="49" fillId="2" borderId="16" xfId="0" applyNumberFormat="1" applyFont="1" applyFill="1" applyBorder="1" applyAlignment="1">
      <alignment horizontal="right"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2"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2" fontId="35" fillId="2" borderId="111" xfId="11" applyNumberFormat="1" applyFont="1" applyFill="1" applyBorder="1" applyAlignment="1">
      <alignment horizontal="left" vertical="center"/>
    </xf>
    <xf numFmtId="182"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2"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3"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9" fontId="35" fillId="2" borderId="7" xfId="11" applyNumberFormat="1" applyFont="1" applyFill="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2" fontId="35" fillId="2" borderId="10" xfId="11" applyNumberFormat="1" applyFont="1" applyFill="1" applyBorder="1" applyAlignment="1">
      <alignment horizontal="left" vertical="center"/>
    </xf>
    <xf numFmtId="183"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2" fontId="35" fillId="2" borderId="45" xfId="11" applyNumberFormat="1" applyFont="1" applyFill="1" applyBorder="1" applyAlignment="1">
      <alignment horizontal="left" vertical="center"/>
    </xf>
    <xf numFmtId="183"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9"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4"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4"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3" fontId="30" fillId="2" borderId="154"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9"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4"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6" xfId="11" applyNumberFormat="1" applyFont="1" applyBorder="1" applyAlignment="1" applyProtection="1">
      <alignment horizontal="left" vertical="center"/>
      <protection locked="0"/>
    </xf>
    <xf numFmtId="188" fontId="30" fillId="0" borderId="155" xfId="11" applyNumberFormat="1" applyFont="1" applyBorder="1" applyAlignment="1" applyProtection="1">
      <alignment horizontal="left" vertical="center"/>
      <protection locked="0"/>
    </xf>
    <xf numFmtId="188" fontId="30" fillId="0" borderId="99"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5" xfId="0" applyNumberFormat="1" applyFont="1" applyFill="1" applyBorder="1" applyAlignment="1">
      <alignment horizontal="center" vertical="center"/>
    </xf>
    <xf numFmtId="0" fontId="55" fillId="2" borderId="139" xfId="0" applyFont="1" applyFill="1" applyBorder="1">
      <alignment vertical="center"/>
    </xf>
    <xf numFmtId="183"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3"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9"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79"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9" fontId="85" fillId="2" borderId="7" xfId="6" applyNumberFormat="1" applyFont="1" applyFill="1" applyBorder="1" applyAlignment="1">
      <alignment horizontal="center" vertical="center"/>
    </xf>
    <xf numFmtId="0" fontId="85" fillId="2" borderId="7" xfId="6" applyFont="1" applyFill="1" applyBorder="1">
      <alignment vertical="center"/>
    </xf>
    <xf numFmtId="179"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9" fontId="85" fillId="2" borderId="0" xfId="0" applyNumberFormat="1" applyFont="1" applyFill="1" applyAlignment="1">
      <alignment horizontal="center" vertical="center"/>
    </xf>
    <xf numFmtId="179"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26" xfId="0" applyNumberFormat="1" applyFont="1" applyFill="1" applyBorder="1">
      <alignment vertical="center"/>
    </xf>
    <xf numFmtId="179" fontId="85" fillId="2" borderId="90" xfId="0" applyNumberFormat="1" applyFont="1" applyFill="1" applyBorder="1">
      <alignment vertical="center"/>
    </xf>
    <xf numFmtId="179" fontId="85" fillId="2" borderId="91" xfId="0" applyNumberFormat="1" applyFont="1" applyFill="1" applyBorder="1">
      <alignment vertical="center"/>
    </xf>
    <xf numFmtId="0" fontId="85" fillId="2" borderId="22" xfId="0" applyFont="1" applyFill="1" applyBorder="1">
      <alignment vertical="center"/>
    </xf>
    <xf numFmtId="182"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9"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2" fillId="3" borderId="0" xfId="0" applyFont="1" applyFill="1" applyAlignment="1"/>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3"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5"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79"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9" fontId="55" fillId="2" borderId="6" xfId="6" applyNumberFormat="1" applyFont="1" applyFill="1" applyBorder="1" applyAlignment="1">
      <alignment horizontal="left" vertical="center"/>
    </xf>
    <xf numFmtId="179" fontId="72" fillId="2" borderId="7" xfId="6" applyNumberFormat="1" applyFont="1" applyFill="1" applyBorder="1">
      <alignment vertical="center"/>
    </xf>
    <xf numFmtId="179" fontId="72" fillId="15" borderId="13" xfId="6" applyNumberFormat="1" applyFont="1" applyFill="1" applyBorder="1" applyProtection="1">
      <alignment vertical="center"/>
      <protection locked="0"/>
    </xf>
    <xf numFmtId="179"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5" fontId="6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1" fontId="55" fillId="2" borderId="6" xfId="6" applyNumberFormat="1" applyFont="1" applyFill="1" applyBorder="1" applyAlignment="1">
      <alignment horizontal="center" vertical="center"/>
    </xf>
    <xf numFmtId="179"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72" fillId="2" borderId="6" xfId="6"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179" fontId="72" fillId="2" borderId="6" xfId="6" applyNumberFormat="1" applyFont="1" applyFill="1" applyBorder="1" applyAlignment="1" applyProtection="1">
      <alignment horizontal="left" vertical="center" wrapText="1"/>
      <protection locked="0"/>
    </xf>
    <xf numFmtId="179"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2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24" xfId="0" applyFont="1" applyFill="1" applyBorder="1">
      <alignment vertical="center"/>
    </xf>
    <xf numFmtId="188"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17" xfId="0" applyFont="1" applyFill="1" applyBorder="1">
      <alignment vertical="center"/>
    </xf>
    <xf numFmtId="179"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9"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9"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6" fillId="0" borderId="0" xfId="5" applyFont="1">
      <alignment vertical="center"/>
    </xf>
    <xf numFmtId="0" fontId="2" fillId="0" borderId="0" xfId="5">
      <alignment vertical="center"/>
    </xf>
    <xf numFmtId="0" fontId="123" fillId="0" borderId="0" xfId="5" applyFont="1">
      <alignment vertical="center"/>
    </xf>
    <xf numFmtId="14" fontId="123" fillId="0" borderId="0" xfId="5" applyNumberFormat="1" applyFont="1" applyAlignment="1">
      <alignment horizontal="left" vertical="center"/>
    </xf>
    <xf numFmtId="0" fontId="123" fillId="0" borderId="0" xfId="5" applyFont="1" applyAlignment="1">
      <alignment horizontal="left" vertical="center"/>
    </xf>
    <xf numFmtId="0" fontId="124" fillId="0" borderId="0" xfId="5" applyFont="1">
      <alignment vertical="center"/>
    </xf>
    <xf numFmtId="0" fontId="124" fillId="0" borderId="0" xfId="5" applyFont="1" applyAlignment="1">
      <alignment horizontal="left" vertical="center"/>
    </xf>
    <xf numFmtId="0" fontId="125" fillId="0" borderId="7" xfId="5" applyFont="1" applyBorder="1">
      <alignment vertical="center"/>
    </xf>
    <xf numFmtId="0" fontId="125" fillId="18" borderId="7" xfId="5" applyFont="1" applyFill="1" applyBorder="1" applyAlignment="1">
      <alignment horizontal="left" vertical="center"/>
    </xf>
    <xf numFmtId="49" fontId="125" fillId="18" borderId="7" xfId="5" applyNumberFormat="1" applyFont="1" applyFill="1" applyBorder="1" applyAlignment="1">
      <alignment horizontal="left" vertical="center"/>
    </xf>
    <xf numFmtId="0" fontId="125" fillId="0" borderId="7" xfId="5" applyFont="1" applyBorder="1" applyAlignment="1">
      <alignment horizontal="left" vertical="center"/>
    </xf>
    <xf numFmtId="10" fontId="0" fillId="0" borderId="0" xfId="3" applyNumberFormat="1" applyFont="1">
      <alignment vertical="center"/>
    </xf>
    <xf numFmtId="49" fontId="125" fillId="0" borderId="7" xfId="5" applyNumberFormat="1" applyFont="1" applyBorder="1" applyAlignment="1">
      <alignment horizontal="left" vertical="center"/>
    </xf>
    <xf numFmtId="10" fontId="0" fillId="0" borderId="0" xfId="3" applyNumberFormat="1" applyFont="1" applyFill="1">
      <alignment vertical="center"/>
    </xf>
    <xf numFmtId="2" fontId="125" fillId="0" borderId="7" xfId="5" applyNumberFormat="1" applyFont="1" applyBorder="1" applyAlignment="1">
      <alignment horizontal="left" vertical="center"/>
    </xf>
    <xf numFmtId="186" fontId="125" fillId="0" borderId="7" xfId="5" applyNumberFormat="1" applyFont="1" applyBorder="1" applyAlignment="1">
      <alignment horizontal="left" vertical="center"/>
    </xf>
    <xf numFmtId="0" fontId="126" fillId="0" borderId="7" xfId="5" applyFont="1" applyBorder="1" applyAlignment="1">
      <alignment horizontal="left" vertical="center"/>
    </xf>
    <xf numFmtId="49" fontId="126" fillId="0" borderId="7" xfId="5" applyNumberFormat="1" applyFont="1" applyBorder="1" applyAlignment="1">
      <alignment horizontal="left" vertical="center"/>
    </xf>
    <xf numFmtId="10" fontId="125" fillId="0" borderId="7" xfId="3" applyNumberFormat="1" applyFont="1" applyBorder="1" applyAlignment="1">
      <alignment horizontal="left" vertical="center"/>
    </xf>
    <xf numFmtId="0" fontId="2" fillId="0" borderId="0" xfId="5" applyAlignment="1">
      <alignment horizontal="left" vertical="center"/>
    </xf>
    <xf numFmtId="0" fontId="55" fillId="7" borderId="7" xfId="5" applyFont="1" applyFill="1" applyBorder="1" applyAlignment="1" applyProtection="1">
      <alignment horizontal="left" vertical="center"/>
      <protection locked="0"/>
    </xf>
    <xf numFmtId="0" fontId="68" fillId="7" borderId="7" xfId="5" applyFont="1" applyFill="1" applyBorder="1" applyAlignment="1" applyProtection="1">
      <alignment horizontal="left" vertical="center"/>
      <protection locked="0"/>
    </xf>
    <xf numFmtId="0" fontId="68" fillId="0" borderId="7" xfId="5" applyFont="1" applyBorder="1" applyAlignment="1" applyProtection="1">
      <alignment horizontal="left" vertical="center"/>
      <protection locked="0"/>
    </xf>
    <xf numFmtId="0" fontId="127"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8" fontId="55" fillId="7" borderId="7" xfId="5" applyNumberFormat="1" applyFont="1" applyFill="1" applyBorder="1" applyAlignment="1" applyProtection="1">
      <alignment horizontal="left" vertical="center"/>
      <protection locked="0"/>
    </xf>
    <xf numFmtId="0" fontId="68" fillId="0" borderId="0" xfId="5" applyFont="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9" fontId="55" fillId="7" borderId="0" xfId="3" applyFont="1" applyFill="1" applyBorder="1" applyAlignment="1" applyProtection="1">
      <alignment horizontal="left" vertical="center"/>
      <protection locked="0"/>
    </xf>
    <xf numFmtId="9" fontId="55" fillId="7" borderId="0" xfId="5" applyNumberFormat="1" applyFont="1" applyFill="1" applyAlignment="1" applyProtection="1">
      <alignment horizontal="left" vertical="center"/>
      <protection locked="0"/>
    </xf>
    <xf numFmtId="183" fontId="55" fillId="7" borderId="7" xfId="3" applyNumberFormat="1" applyFont="1" applyFill="1" applyBorder="1" applyAlignment="1" applyProtection="1">
      <alignment horizontal="left" vertical="center"/>
      <protection locked="0"/>
    </xf>
    <xf numFmtId="183" fontId="55" fillId="7" borderId="0" xfId="3" applyNumberFormat="1" applyFont="1" applyFill="1" applyBorder="1" applyAlignment="1" applyProtection="1">
      <alignment horizontal="left" vertical="center"/>
      <protection locked="0"/>
    </xf>
    <xf numFmtId="0" fontId="125" fillId="0" borderId="13" xfId="5" applyFont="1" applyBorder="1">
      <alignment vertical="center"/>
    </xf>
    <xf numFmtId="0" fontId="125" fillId="19" borderId="7" xfId="5" applyFont="1" applyFill="1" applyBorder="1" applyAlignment="1">
      <alignment horizontal="left" vertical="center"/>
    </xf>
    <xf numFmtId="183" fontId="125" fillId="0" borderId="7" xfId="3" applyNumberFormat="1" applyFont="1" applyBorder="1" applyAlignment="1">
      <alignment horizontal="left" vertical="center"/>
    </xf>
    <xf numFmtId="9" fontId="125" fillId="0" borderId="7" xfId="5" applyNumberFormat="1" applyFont="1" applyBorder="1" applyAlignment="1">
      <alignment horizontal="left" vertical="center"/>
    </xf>
    <xf numFmtId="186" fontId="2" fillId="0" borderId="0" xfId="5" applyNumberFormat="1">
      <alignment vertical="center"/>
    </xf>
    <xf numFmtId="10" fontId="125" fillId="0" borderId="7" xfId="5" applyNumberFormat="1" applyFont="1" applyBorder="1" applyAlignment="1">
      <alignment horizontal="left" vertical="center"/>
    </xf>
    <xf numFmtId="0" fontId="125" fillId="0" borderId="0" xfId="5" applyFont="1" applyAlignment="1">
      <alignment horizontal="left" vertical="center"/>
    </xf>
    <xf numFmtId="0" fontId="125" fillId="0" borderId="0" xfId="5" applyFont="1" applyAlignment="1">
      <alignment horizontal="left" vertical="center" wrapText="1"/>
    </xf>
    <xf numFmtId="1" fontId="2" fillId="0" borderId="0" xfId="5" applyNumberFormat="1">
      <alignment vertical="center"/>
    </xf>
    <xf numFmtId="0" fontId="2" fillId="19" borderId="0" xfId="5" applyFill="1">
      <alignment vertical="center"/>
    </xf>
    <xf numFmtId="0" fontId="29" fillId="0" borderId="0" xfId="5" applyFont="1">
      <alignment vertical="center"/>
    </xf>
    <xf numFmtId="0" fontId="128" fillId="0" borderId="109" xfId="5" applyFont="1" applyBorder="1" applyAlignment="1">
      <alignment horizontal="justify" vertical="center" wrapText="1"/>
    </xf>
    <xf numFmtId="0" fontId="128" fillId="0" borderId="23" xfId="5" applyFont="1" applyBorder="1" applyAlignment="1">
      <alignment horizontal="justify" vertical="center" wrapText="1"/>
    </xf>
    <xf numFmtId="0" fontId="129" fillId="0" borderId="145" xfId="5" applyFont="1" applyBorder="1" applyAlignment="1">
      <alignment horizontal="justify" vertical="center"/>
    </xf>
    <xf numFmtId="0" fontId="129" fillId="0" borderId="23" xfId="5" applyFont="1" applyBorder="1" applyAlignment="1">
      <alignment horizontal="justify" vertical="center"/>
    </xf>
    <xf numFmtId="14" fontId="129" fillId="0" borderId="23" xfId="5" applyNumberFormat="1" applyFont="1" applyBorder="1" applyAlignment="1">
      <alignment horizontal="justify" vertical="center"/>
    </xf>
    <xf numFmtId="0" fontId="40" fillId="0" borderId="158" xfId="5" applyFont="1" applyBorder="1" applyAlignment="1">
      <alignment horizontal="justify" vertical="center"/>
    </xf>
    <xf numFmtId="0" fontId="40" fillId="0" borderId="108" xfId="5" applyFont="1" applyBorder="1" applyAlignment="1">
      <alignment horizontal="justify" vertical="center"/>
    </xf>
    <xf numFmtId="9" fontId="129" fillId="0" borderId="108" xfId="5" applyNumberFormat="1" applyFont="1" applyBorder="1" applyAlignment="1">
      <alignment horizontal="justify" vertical="center"/>
    </xf>
    <xf numFmtId="0" fontId="129" fillId="0" borderId="23" xfId="5" applyFont="1" applyBorder="1" applyAlignment="1">
      <alignment horizontal="justify" vertical="center" wrapText="1"/>
    </xf>
    <xf numFmtId="0" fontId="40" fillId="0" borderId="23" xfId="5" applyFont="1" applyBorder="1" applyAlignment="1">
      <alignment horizontal="justify" vertical="center"/>
    </xf>
    <xf numFmtId="9" fontId="129" fillId="0" borderId="23" xfId="5" applyNumberFormat="1" applyFont="1" applyBorder="1" applyAlignment="1">
      <alignment horizontal="justify" vertical="center"/>
    </xf>
    <xf numFmtId="9" fontId="29" fillId="0" borderId="0" xfId="3" applyFont="1">
      <alignment vertical="center"/>
    </xf>
    <xf numFmtId="2" fontId="129" fillId="0" borderId="23" xfId="5" applyNumberFormat="1" applyFont="1" applyBorder="1" applyAlignment="1">
      <alignment horizontal="justify" vertical="center"/>
    </xf>
    <xf numFmtId="10" fontId="129" fillId="0" borderId="23" xfId="5" applyNumberFormat="1" applyFont="1" applyBorder="1" applyAlignment="1">
      <alignment horizontal="justify" vertical="center"/>
    </xf>
    <xf numFmtId="0" fontId="40" fillId="0" borderId="145" xfId="5" applyFont="1" applyBorder="1" applyAlignment="1">
      <alignment horizontal="justify"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6"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14" fontId="135" fillId="0" borderId="0" xfId="12" applyNumberFormat="1" applyFont="1" applyAlignment="1">
      <alignment horizontal="left" vertical="center"/>
    </xf>
    <xf numFmtId="0" fontId="136" fillId="0" borderId="0" xfId="12" applyFont="1" applyAlignment="1">
      <alignment horizontal="left" vertical="center"/>
    </xf>
    <xf numFmtId="0" fontId="137" fillId="3" borderId="12" xfId="12" applyFont="1" applyFill="1" applyBorder="1" applyAlignment="1">
      <alignment horizontal="left" vertical="center"/>
    </xf>
    <xf numFmtId="0" fontId="138" fillId="0" borderId="7" xfId="12" applyFont="1" applyBorder="1" applyAlignment="1">
      <alignment horizontal="left" vertical="center"/>
    </xf>
    <xf numFmtId="0" fontId="138" fillId="0" borderId="13" xfId="12" applyFont="1" applyBorder="1" applyAlignment="1">
      <alignment horizontal="left" vertical="center"/>
    </xf>
    <xf numFmtId="0" fontId="137" fillId="3" borderId="173" xfId="12" applyFont="1" applyFill="1" applyBorder="1" applyAlignment="1">
      <alignment horizontal="left" vertical="center"/>
    </xf>
    <xf numFmtId="196" fontId="138" fillId="0" borderId="7" xfId="12" applyNumberFormat="1" applyFont="1" applyBorder="1" applyAlignment="1">
      <alignment horizontal="left" vertical="center"/>
    </xf>
    <xf numFmtId="196" fontId="139" fillId="0" borderId="13" xfId="12" applyNumberFormat="1" applyFont="1" applyBorder="1" applyAlignment="1">
      <alignment horizontal="left" vertical="center"/>
    </xf>
    <xf numFmtId="0" fontId="138" fillId="0" borderId="174" xfId="12" applyFont="1" applyBorder="1" applyAlignment="1">
      <alignment horizontal="left" vertical="center"/>
    </xf>
    <xf numFmtId="191" fontId="138" fillId="0" borderId="7" xfId="12" applyNumberFormat="1" applyFont="1" applyBorder="1" applyAlignment="1">
      <alignment horizontal="left" vertical="center"/>
    </xf>
    <xf numFmtId="0" fontId="139" fillId="0" borderId="7" xfId="12" applyFont="1" applyBorder="1" applyAlignment="1">
      <alignment horizontal="left" vertical="center"/>
    </xf>
    <xf numFmtId="196" fontId="138" fillId="0" borderId="13" xfId="12" applyNumberFormat="1" applyFont="1" applyBorder="1" applyAlignment="1">
      <alignment horizontal="left" vertical="center"/>
    </xf>
    <xf numFmtId="0" fontId="139" fillId="0" borderId="0" xfId="12" applyFont="1" applyAlignment="1">
      <alignment horizontal="left" vertical="center"/>
    </xf>
    <xf numFmtId="0" fontId="137" fillId="0" borderId="7" xfId="12" applyFont="1" applyBorder="1" applyAlignment="1">
      <alignment horizontal="left" vertical="center"/>
    </xf>
    <xf numFmtId="0" fontId="135" fillId="0" borderId="7" xfId="12" applyFont="1" applyBorder="1" applyAlignment="1">
      <alignment horizontal="left" vertical="center"/>
    </xf>
    <xf numFmtId="191" fontId="138" fillId="0" borderId="13" xfId="12" applyNumberFormat="1" applyFont="1" applyBorder="1" applyAlignment="1">
      <alignment horizontal="left" vertical="center"/>
    </xf>
    <xf numFmtId="0" fontId="135" fillId="0" borderId="174" xfId="12" applyFont="1" applyBorder="1" applyAlignment="1">
      <alignment horizontal="left" vertical="center"/>
    </xf>
    <xf numFmtId="0" fontId="140" fillId="0" borderId="7" xfId="12" applyFont="1" applyBorder="1" applyAlignment="1">
      <alignment horizontal="left" vertical="center"/>
    </xf>
    <xf numFmtId="191" fontId="140" fillId="0" borderId="7" xfId="0" applyNumberFormat="1" applyFont="1" applyBorder="1" applyAlignment="1">
      <alignment horizontal="left" vertical="center"/>
    </xf>
    <xf numFmtId="14" fontId="135" fillId="0" borderId="7" xfId="12" applyNumberFormat="1" applyFont="1" applyBorder="1" applyAlignment="1">
      <alignment horizontal="left" vertical="center"/>
    </xf>
    <xf numFmtId="14" fontId="135" fillId="0" borderId="13" xfId="12" applyNumberFormat="1" applyFont="1" applyBorder="1" applyAlignment="1">
      <alignment horizontal="left" vertical="center"/>
    </xf>
    <xf numFmtId="14" fontId="133" fillId="0" borderId="0" xfId="12" applyNumberFormat="1" applyFont="1" applyAlignment="1">
      <alignment horizontal="left" vertical="center"/>
    </xf>
    <xf numFmtId="14" fontId="133" fillId="0" borderId="175" xfId="12" applyNumberFormat="1" applyFont="1" applyBorder="1" applyAlignment="1">
      <alignment horizontal="left" vertical="center"/>
    </xf>
    <xf numFmtId="0" fontId="141" fillId="0" borderId="0" xfId="12"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9" fillId="0" borderId="0" xfId="0" applyFont="1" applyProtection="1">
      <alignment vertical="center"/>
      <protection locked="0"/>
    </xf>
    <xf numFmtId="0" fontId="29" fillId="0" borderId="0" xfId="17" applyFont="1">
      <alignment vertical="center"/>
    </xf>
    <xf numFmtId="0" fontId="147" fillId="0" borderId="0" xfId="17" applyFont="1">
      <alignment vertical="center"/>
    </xf>
    <xf numFmtId="0" fontId="147"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53"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9" fillId="0" borderId="0" xfId="17"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2" applyFont="1">
      <alignment vertical="center"/>
    </xf>
    <xf numFmtId="0" fontId="2" fillId="0" borderId="0" xfId="12">
      <alignment vertical="center"/>
    </xf>
    <xf numFmtId="0" fontId="158" fillId="0" borderId="0" xfId="12" applyFont="1" applyAlignment="1">
      <alignment vertical="top" wrapText="1"/>
    </xf>
    <xf numFmtId="0" fontId="159" fillId="0" borderId="0" xfId="12"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18"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8" applyFont="1" applyBorder="1" applyAlignment="1">
      <alignment horizontal="left" vertical="center" wrapText="1"/>
    </xf>
    <xf numFmtId="0" fontId="74" fillId="0" borderId="2" xfId="0" applyFont="1" applyBorder="1" applyAlignment="1">
      <alignment horizontal="left" vertical="center"/>
    </xf>
    <xf numFmtId="0" fontId="133" fillId="0" borderId="137" xfId="18" applyFont="1" applyBorder="1" applyAlignment="1">
      <alignment vertical="center" wrapText="1"/>
    </xf>
    <xf numFmtId="0" fontId="133" fillId="0" borderId="137" xfId="0" applyFont="1" applyBorder="1" applyAlignment="1">
      <alignment horizontal="left" vertical="center"/>
    </xf>
    <xf numFmtId="0" fontId="133" fillId="0" borderId="7" xfId="18" applyFont="1" applyBorder="1" applyAlignment="1">
      <alignment vertical="center" wrapText="1"/>
    </xf>
    <xf numFmtId="0" fontId="133" fillId="0" borderId="7" xfId="0" applyFont="1" applyBorder="1" applyAlignment="1">
      <alignment horizontal="left" vertical="center"/>
    </xf>
    <xf numFmtId="0" fontId="133" fillId="0" borderId="2" xfId="18" applyFont="1" applyBorder="1" applyAlignment="1">
      <alignment vertical="center" wrapText="1"/>
    </xf>
    <xf numFmtId="0" fontId="133" fillId="0" borderId="2" xfId="0" applyFont="1" applyBorder="1" applyAlignment="1">
      <alignment horizontal="left" vertical="center"/>
    </xf>
    <xf numFmtId="178" fontId="133" fillId="0" borderId="2" xfId="0" applyNumberFormat="1" applyFont="1" applyBorder="1" applyAlignment="1">
      <alignment horizontal="left" vertical="center"/>
    </xf>
    <xf numFmtId="0" fontId="133" fillId="0" borderId="16" xfId="18"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2" applyFont="1" applyAlignment="1">
      <alignment horizontal="left" vertical="top" wrapText="1"/>
    </xf>
    <xf numFmtId="0" fontId="149" fillId="0" borderId="0" xfId="17" applyFont="1" applyAlignment="1">
      <alignment horizontal="left" vertical="center" wrapText="1"/>
    </xf>
    <xf numFmtId="0" fontId="147" fillId="0" borderId="0" xfId="17" applyFont="1" applyAlignment="1">
      <alignment horizontal="center" vertical="center"/>
    </xf>
    <xf numFmtId="0" fontId="147" fillId="0" borderId="1" xfId="17" applyFont="1" applyBorder="1" applyAlignment="1">
      <alignment horizontal="center" vertical="center"/>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9" xfId="17" applyFont="1" applyBorder="1" applyAlignment="1">
      <alignment vertical="center" wrapText="1"/>
    </xf>
    <xf numFmtId="0" fontId="76" fillId="0" borderId="134" xfId="17" applyFont="1" applyBorder="1" applyAlignment="1">
      <alignment horizontal="left"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4" borderId="7" xfId="0" applyFont="1" applyFill="1" applyBorder="1" applyAlignment="1">
      <alignment horizontal="left" vertical="center"/>
    </xf>
    <xf numFmtId="0" fontId="2" fillId="0" borderId="7" xfId="0" applyFont="1" applyBorder="1" applyAlignment="1">
      <alignment horizontal="left" vertical="center"/>
    </xf>
    <xf numFmtId="0" fontId="137" fillId="3" borderId="7" xfId="12" applyFont="1" applyFill="1" applyBorder="1" applyAlignment="1">
      <alignment horizontal="left" vertical="center"/>
    </xf>
    <xf numFmtId="0" fontId="138" fillId="0" borderId="7" xfId="12" applyFont="1" applyBorder="1" applyAlignment="1">
      <alignment horizontal="left" vertical="center"/>
    </xf>
    <xf numFmtId="0" fontId="138"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128" fillId="0" borderId="143" xfId="5" applyFont="1" applyBorder="1" applyAlignment="1">
      <alignment horizontal="justify" vertical="center"/>
    </xf>
    <xf numFmtId="0" fontId="128" fillId="0" borderId="145" xfId="5" applyFont="1" applyBorder="1" applyAlignment="1">
      <alignment horizontal="justify" vertical="center"/>
    </xf>
    <xf numFmtId="0" fontId="128" fillId="0" borderId="143" xfId="5" applyFont="1" applyBorder="1" applyAlignment="1">
      <alignment horizontal="justify" vertical="center" wrapText="1"/>
    </xf>
    <xf numFmtId="0" fontId="128" fillId="0" borderId="145" xfId="5" applyFont="1" applyBorder="1" applyAlignment="1">
      <alignment horizontal="justify"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2" fontId="65" fillId="10" borderId="7" xfId="0" applyNumberFormat="1"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31">
          <cell r="F31">
            <v>84427.88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42276.47</v>
          </cell>
        </row>
      </sheetData>
      <sheetData sheetId="13" refreshError="1"/>
      <sheetData sheetId="14">
        <row r="19">
          <cell r="F19">
            <v>83916.17</v>
          </cell>
          <cell r="G19">
            <v>69878.149999999994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2" customWidth="1"/>
    <col min="2" max="2" width="81" style="3223" customWidth="1"/>
    <col min="3" max="16384" width="9" style="3224"/>
  </cols>
  <sheetData>
    <row r="1" spans="1:2" s="3220" customFormat="1">
      <c r="A1" s="3225" t="s">
        <v>0</v>
      </c>
      <c r="B1" s="3226" t="s">
        <v>1</v>
      </c>
    </row>
    <row r="2" spans="1:2" s="3221" customFormat="1">
      <c r="A2" s="3227" t="s">
        <v>2</v>
      </c>
      <c r="B2" s="3228" t="str">
        <f>'预评函-封皮'!B37:I37</f>
        <v>北京市北京经济技术开发区兴海路1号院1号楼-3至6层商业、地下车库用房房地产抵押价值预评估</v>
      </c>
    </row>
    <row r="3" spans="1:2">
      <c r="A3" s="3229" t="s">
        <v>3</v>
      </c>
      <c r="B3" s="3230">
        <f>'预评函-封皮'!B40</f>
        <v>0</v>
      </c>
    </row>
    <row r="4" spans="1:2">
      <c r="A4" s="3229" t="s">
        <v>4</v>
      </c>
      <c r="B4" s="3230" t="str">
        <f ca="1">'预评函-封皮'!B46</f>
        <v>郑燚（注册号：0)、吴薇（注册号：0)</v>
      </c>
    </row>
    <row r="5" spans="1:2" s="3220" customFormat="1">
      <c r="A5" s="3231" t="s">
        <v>5</v>
      </c>
      <c r="B5" s="3232" t="str">
        <f>'预评函-封皮'!B49</f>
        <v>康正预评字号</v>
      </c>
    </row>
    <row r="6" spans="1:2" s="3221" customFormat="1">
      <c r="A6" s="3227" t="s">
        <v>6</v>
      </c>
      <c r="B6" s="3228" t="str">
        <f>'预评函-1'!A4</f>
        <v>受贵公司委托，我公司对北京市北京经济技术开发区兴海路1号院1号楼-3至6层商业、地下车库用房房地产抵押价值进行了预评估。</v>
      </c>
    </row>
    <row r="7" spans="1:2">
      <c r="A7" s="3229" t="s">
        <v>7</v>
      </c>
      <c r="B7" s="3230"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c r="A9" s="3229" t="s">
        <v>9</v>
      </c>
      <c r="B9" s="3230"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9" t="s">
        <v>11</v>
      </c>
      <c r="B11" s="3230"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3229" t="s">
        <v>12</v>
      </c>
      <c r="B12" s="3230" t="str">
        <f>'预评函-1'!A15</f>
        <v>2026年1月4日</v>
      </c>
    </row>
    <row r="13" spans="1:2">
      <c r="A13" s="3229" t="s">
        <v>13</v>
      </c>
      <c r="B13" s="3230" t="str">
        <f>'预评函-1'!A18</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4" spans="1:2">
      <c r="A14" s="3229" t="s">
        <v>14</v>
      </c>
      <c r="B14" s="323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9" t="s">
        <v>15</v>
      </c>
      <c r="B15" s="3230" t="str">
        <f>'预评函-1'!A20</f>
        <v>本次估价的“房地产抵押价值”是指估价对象在价值时点的“房地产价值”扣减估价师于价值时点所知悉的法定优先受偿款后的余额。</v>
      </c>
    </row>
    <row r="16" spans="1:2">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0" customFormat="1">
      <c r="A18" s="3231" t="s">
        <v>18</v>
      </c>
      <c r="B18" s="3232" t="str">
        <f>'预评函-1'!A24</f>
        <v>本次评估采用的主估价方法为成本法和收益法。</v>
      </c>
    </row>
    <row r="19" spans="1:2" s="3221"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9" t="s">
        <v>20</v>
      </c>
      <c r="B20" s="3230">
        <f ca="1">'预评函-2'!D5</f>
        <v>341568</v>
      </c>
    </row>
    <row r="21" spans="1:2">
      <c r="A21" s="3229" t="s">
        <v>21</v>
      </c>
      <c r="B21" s="3230">
        <f ca="1">'预评函-2'!D7</f>
        <v>22136</v>
      </c>
    </row>
    <row r="22" spans="1:2">
      <c r="A22" s="3229" t="s">
        <v>22</v>
      </c>
      <c r="B22" s="3230" t="str">
        <f ca="1">'预评函-2'!D6</f>
        <v>叁拾肆亿壹仟伍佰陆拾捌万元整</v>
      </c>
    </row>
    <row r="23" spans="1:2">
      <c r="A23" s="3229" t="s">
        <v>23</v>
      </c>
      <c r="B23" s="3230" t="str">
        <f>'预评函-2'!B8</f>
        <v>2.估价师知悉的法定优先受偿款</v>
      </c>
    </row>
    <row r="24" spans="1:2">
      <c r="A24" s="3229" t="s">
        <v>24</v>
      </c>
      <c r="B24" s="3230">
        <f>'预评函-2'!D8</f>
        <v>0</v>
      </c>
    </row>
    <row r="25" spans="1:2">
      <c r="A25" s="3229" t="s">
        <v>25</v>
      </c>
      <c r="B25" s="3230" t="str">
        <f>'预评函-2'!D9</f>
        <v>零元整</v>
      </c>
    </row>
    <row r="26" spans="1:2">
      <c r="A26" s="3229" t="s">
        <v>26</v>
      </c>
      <c r="B26" s="3230">
        <f>'预评函-2'!D10</f>
        <v>0</v>
      </c>
    </row>
    <row r="27" spans="1:2">
      <c r="A27" s="3229" t="s">
        <v>27</v>
      </c>
      <c r="B27" s="3230">
        <f>'预评函-2'!D11</f>
        <v>0</v>
      </c>
    </row>
    <row r="28" spans="1:2">
      <c r="A28" s="3229" t="s">
        <v>28</v>
      </c>
      <c r="B28" s="3230">
        <f>'预评函-2'!D12</f>
        <v>0</v>
      </c>
    </row>
    <row r="29" spans="1:2">
      <c r="A29" s="3229" t="s">
        <v>29</v>
      </c>
      <c r="B29" s="3230" t="str">
        <f>'预评函-2'!B13</f>
        <v>3.房地产抵押价值</v>
      </c>
    </row>
    <row r="30" spans="1:2">
      <c r="A30" s="3229" t="s">
        <v>30</v>
      </c>
      <c r="B30" s="3230">
        <f ca="1">'预评函-2'!D13</f>
        <v>341568</v>
      </c>
    </row>
    <row r="31" spans="1:2">
      <c r="A31" s="3229" t="s">
        <v>31</v>
      </c>
      <c r="B31" s="3230">
        <f ca="1">'预评函-2'!D15</f>
        <v>22136</v>
      </c>
    </row>
    <row r="32" spans="1:2">
      <c r="A32" s="3229" t="s">
        <v>32</v>
      </c>
      <c r="B32" s="3230" t="str">
        <f ca="1">'预评函-2'!D14</f>
        <v>叁拾肆亿壹仟伍佰陆拾捌万元整</v>
      </c>
    </row>
    <row r="33" spans="1:2">
      <c r="A33" s="3229" t="s">
        <v>33</v>
      </c>
      <c r="B33" s="3230" t="str">
        <f>'预评函-2'!B16</f>
        <v>——</v>
      </c>
    </row>
    <row r="34" spans="1:2">
      <c r="A34" s="3229" t="s">
        <v>34</v>
      </c>
      <c r="B34" s="3230" t="str">
        <f>'预评函-2'!D16</f>
        <v>——</v>
      </c>
    </row>
    <row r="35" spans="1:2">
      <c r="A35" s="3229" t="s">
        <v>35</v>
      </c>
      <c r="B35" s="3230" t="str">
        <f>'预评函-2'!D18</f>
        <v>——</v>
      </c>
    </row>
    <row r="36" spans="1:2">
      <c r="A36" s="3229" t="s">
        <v>36</v>
      </c>
      <c r="B36" s="3230" t="e">
        <f>'预评函-2'!D17</f>
        <v>#VALUE!</v>
      </c>
    </row>
    <row r="37" spans="1:2">
      <c r="A37" s="3229" t="s">
        <v>37</v>
      </c>
      <c r="B37" s="3230" t="str">
        <f>'预评函-2'!B19</f>
        <v>——</v>
      </c>
    </row>
    <row r="38" spans="1:2">
      <c r="A38" s="3229" t="s">
        <v>38</v>
      </c>
      <c r="B38" s="3230" t="str">
        <f>'预评函-2'!D19</f>
        <v>——</v>
      </c>
    </row>
    <row r="39" spans="1:2">
      <c r="A39" s="3229" t="s">
        <v>39</v>
      </c>
      <c r="B39" s="3230" t="str">
        <f>'预评函-2'!D21</f>
        <v>——</v>
      </c>
    </row>
    <row r="40" spans="1:2">
      <c r="A40" s="3229" t="s">
        <v>40</v>
      </c>
      <c r="B40" s="3230" t="e">
        <f>'预评函-2'!D20</f>
        <v>#VALUE!</v>
      </c>
    </row>
    <row r="41" spans="1:2">
      <c r="A41" s="3229" t="s">
        <v>41</v>
      </c>
      <c r="B41" s="3230" t="str">
        <f>'预评函-3'!A4</f>
        <v>北京市北京经济技术开发区兴海路1号院1号楼-3至6层商业、地下车库用房房地产</v>
      </c>
    </row>
    <row r="42" spans="1:2" ht="31.2">
      <c r="A42" s="3229" t="s">
        <v>42</v>
      </c>
      <c r="B42" s="3230" t="str">
        <f>'预评函-3'!B2</f>
        <v>建筑面积</v>
      </c>
    </row>
    <row r="43" spans="1:2">
      <c r="A43" s="3229" t="s">
        <v>43</v>
      </c>
      <c r="B43" s="3230">
        <f>'预评函-3'!B4</f>
        <v>154306.03</v>
      </c>
    </row>
    <row r="44" spans="1:2" ht="31.2">
      <c r="A44" s="3229" t="s">
        <v>44</v>
      </c>
      <c r="B44" s="3230" t="str">
        <f>'预评函-3'!C2</f>
        <v>(分摊)土地面积</v>
      </c>
    </row>
    <row r="45" spans="1:2">
      <c r="A45" s="3229" t="s">
        <v>45</v>
      </c>
      <c r="B45" s="3230">
        <f>'预评函-3'!C4</f>
        <v>42276.47</v>
      </c>
    </row>
    <row r="46" spans="1:2">
      <c r="A46" s="3229" t="s">
        <v>46</v>
      </c>
      <c r="B46" s="3230" t="str">
        <f>'预评函-3'!D2</f>
        <v>出让国有建设用地使用权价值</v>
      </c>
    </row>
    <row r="47" spans="1:2">
      <c r="A47" s="3229" t="s">
        <v>47</v>
      </c>
      <c r="B47" s="3230">
        <f ca="1">'预评函-3'!D4</f>
        <v>182397</v>
      </c>
    </row>
    <row r="48" spans="1:2">
      <c r="A48" s="3229" t="s">
        <v>48</v>
      </c>
      <c r="B48" s="3230">
        <f ca="1">'预评函-3'!E4</f>
        <v>11821</v>
      </c>
    </row>
    <row r="49" spans="1:2">
      <c r="A49" s="3229" t="s">
        <v>49</v>
      </c>
      <c r="B49" s="3230" t="str">
        <f ca="1">'预评函-3'!D5</f>
        <v>壹拾捌亿贰仟叁佰玖拾柒万元整</v>
      </c>
    </row>
    <row r="50" spans="1:2">
      <c r="A50" s="3229" t="s">
        <v>50</v>
      </c>
      <c r="B50" s="3230" t="str">
        <f>'预评函-3'!F2</f>
        <v>在建建筑物价值</v>
      </c>
    </row>
    <row r="51" spans="1:2">
      <c r="A51" s="3229" t="s">
        <v>51</v>
      </c>
      <c r="B51" s="3230">
        <f ca="1">'预评函-3'!F4</f>
        <v>159171</v>
      </c>
    </row>
    <row r="52" spans="1:2">
      <c r="A52" s="3229" t="s">
        <v>52</v>
      </c>
      <c r="B52" s="3230">
        <f ca="1">'预评函-3'!G4</f>
        <v>10315</v>
      </c>
    </row>
    <row r="53" spans="1:2">
      <c r="A53" s="3229" t="s">
        <v>53</v>
      </c>
      <c r="B53" s="3230" t="str">
        <f ca="1">'预评函-3'!F5</f>
        <v>壹拾伍亿玖仟壹佰柒拾壹万元整</v>
      </c>
    </row>
    <row r="54" spans="1:2">
      <c r="A54" s="3229" t="s">
        <v>54</v>
      </c>
      <c r="B54" s="3230" t="str">
        <f>'预评函-3'!A8</f>
        <v>房地产抵押价值</v>
      </c>
    </row>
    <row r="55" spans="1:2">
      <c r="A55" s="3229" t="s">
        <v>55</v>
      </c>
      <c r="B55" s="3230" t="str">
        <f>'预评函-3'!A10</f>
        <v/>
      </c>
    </row>
    <row r="56" spans="1:2">
      <c r="A56" s="3229" t="s">
        <v>56</v>
      </c>
      <c r="B56" s="3230" t="str">
        <f>'预评函-3'!A12</f>
        <v/>
      </c>
    </row>
    <row r="57" spans="1:2" s="3220" customFormat="1">
      <c r="A57" s="3231" t="s">
        <v>57</v>
      </c>
      <c r="B57" s="3232" t="str">
        <f>'预评函-3'!A6</f>
        <v>估价师知悉的法定优先受偿款</v>
      </c>
    </row>
    <row r="58" spans="1:2" s="3221" customFormat="1">
      <c r="A58" s="3227" t="s">
        <v>58</v>
      </c>
      <c r="B58" s="3228" t="str">
        <f>'预评函-4'!A12</f>
        <v>2.本《评估意见函》仅供金融机构进行内部审核使用，不做其他目的之用。</v>
      </c>
    </row>
    <row r="59" spans="1:2">
      <c r="A59" s="3229" t="s">
        <v>59</v>
      </c>
      <c r="B59" s="3230" t="str">
        <f>'预评函-4'!A13</f>
        <v>3.抵押双方在办理抵押登记手续时，应使用本公司出具的正式《房地产评估报告》，特提醒报告使用者注意。</v>
      </c>
    </row>
    <row r="60" spans="1:2">
      <c r="A60" s="3229" t="s">
        <v>60</v>
      </c>
      <c r="B60" s="3230" t="str">
        <f>'预评函-4'!A14</f>
        <v>4.本次评估估价师所知悉的法定优先受偿款情况说明如下：</v>
      </c>
    </row>
    <row r="61" spans="1:2">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9" t="s">
        <v>62</v>
      </c>
      <c r="B62" s="3230" t="str">
        <f>'预评函-4'!A16</f>
        <v>（2）根据《工程款支付情况说明》，截至价值时点，估价对象不存在应付未付工程款项。（只要没有施工方盖章的，均“设定”进行表述）</v>
      </c>
    </row>
    <row r="63" spans="1:2">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9" t="s">
        <v>64</v>
      </c>
      <c r="B64" s="3230" t="str">
        <f>'预评函-4'!A18</f>
        <v>故，本次评估不存在估价师知悉的法定优先受偿款</v>
      </c>
    </row>
    <row r="65" spans="1:2">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9" t="s">
        <v>66</v>
      </c>
      <c r="B66" s="3230" t="str">
        <f>'预评函-4'!A20</f>
        <v>——</v>
      </c>
    </row>
    <row r="67" spans="1:2">
      <c r="A67" s="3229" t="s">
        <v>67</v>
      </c>
      <c r="B67" s="3230" t="str">
        <f>'预评函-4'!A21</f>
        <v>——</v>
      </c>
    </row>
    <row r="68" spans="1:2">
      <c r="A68" s="3229" t="s">
        <v>68</v>
      </c>
      <c r="B68" s="3230" t="str">
        <f>'预评函-4'!A22</f>
        <v>8.其他需特殊说明事项：无（注意调整序号）</v>
      </c>
    </row>
    <row r="69" spans="1:2" s="3220" customFormat="1">
      <c r="A69" s="3231" t="s">
        <v>69</v>
      </c>
      <c r="B69" s="3233">
        <f>'预评函-4'!C31</f>
        <v>42551</v>
      </c>
    </row>
    <row r="70" spans="1:2">
      <c r="A70" s="3234" t="s">
        <v>70</v>
      </c>
      <c r="B70" s="3235" t="str">
        <f>'预评函-4'!A4</f>
        <v>郑燚</v>
      </c>
    </row>
    <row r="71" spans="1:2">
      <c r="A71" s="3229" t="s">
        <v>71</v>
      </c>
      <c r="B71" s="3230">
        <f ca="1">'预评函-4'!B4</f>
        <v>0</v>
      </c>
    </row>
    <row r="72" spans="1:2">
      <c r="A72" s="3229" t="s">
        <v>72</v>
      </c>
      <c r="B72" s="3236" t="str">
        <f>'预评函-4'!A5</f>
        <v>吴薇</v>
      </c>
    </row>
    <row r="73" spans="1:2" s="3220" customFormat="1">
      <c r="A73" s="3231" t="s">
        <v>73</v>
      </c>
      <c r="B73" s="3232">
        <f ca="1">'预评函-4'!B5</f>
        <v>0</v>
      </c>
    </row>
    <row r="74" spans="1:2">
      <c r="A74" s="3222" t="s">
        <v>74</v>
      </c>
      <c r="B74" s="3223"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X1" sqref="X1:AB1048576"/>
    </sheetView>
  </sheetViews>
  <sheetFormatPr defaultColWidth="9" defaultRowHeight="14.4"/>
  <cols>
    <col min="1" max="1" width="13.44140625" style="3113" customWidth="1"/>
    <col min="2" max="2" width="23.21875" style="280" customWidth="1"/>
    <col min="3" max="3" width="13" style="3114" customWidth="1"/>
    <col min="4" max="4" width="5.77734375" style="3115" customWidth="1"/>
    <col min="5" max="5" width="7.109375" style="3115" customWidth="1"/>
    <col min="6" max="6" width="10.6640625" style="3115" customWidth="1"/>
    <col min="7" max="7" width="7.44140625" style="3115" customWidth="1"/>
    <col min="8" max="8" width="11.88671875" style="3114" customWidth="1"/>
    <col min="9" max="9" width="11.6640625" style="3114" customWidth="1"/>
    <col min="10" max="10" width="9" style="3114" customWidth="1"/>
    <col min="11" max="19" width="9" style="3115" customWidth="1"/>
    <col min="20" max="23" width="9" style="3114" customWidth="1"/>
    <col min="24" max="28" width="15.109375" style="3114" customWidth="1"/>
    <col min="29" max="16384" width="9" style="280"/>
  </cols>
  <sheetData>
    <row r="1" spans="1:28" s="3112" customFormat="1" ht="43.2">
      <c r="A1" s="3116" t="s">
        <v>206</v>
      </c>
      <c r="B1" s="3117" t="s">
        <v>207</v>
      </c>
      <c r="C1" s="3118" t="s">
        <v>208</v>
      </c>
      <c r="D1" s="3119" t="s">
        <v>209</v>
      </c>
      <c r="E1" s="3118" t="s">
        <v>210</v>
      </c>
      <c r="F1" s="3118" t="s">
        <v>211</v>
      </c>
      <c r="G1" s="3118" t="s">
        <v>212</v>
      </c>
      <c r="H1" s="3118" t="s">
        <v>213</v>
      </c>
      <c r="I1" s="3118" t="s">
        <v>214</v>
      </c>
      <c r="J1" s="3118" t="s">
        <v>215</v>
      </c>
      <c r="K1" s="3118" t="s">
        <v>216</v>
      </c>
      <c r="L1" s="3118" t="s">
        <v>217</v>
      </c>
      <c r="M1" s="3118" t="s">
        <v>218</v>
      </c>
      <c r="N1" s="3118" t="s">
        <v>219</v>
      </c>
      <c r="O1" s="3118" t="s">
        <v>220</v>
      </c>
      <c r="P1" s="3119" t="s">
        <v>221</v>
      </c>
      <c r="Q1" s="3119" t="s">
        <v>222</v>
      </c>
      <c r="R1" s="3118" t="s">
        <v>223</v>
      </c>
      <c r="S1" s="3118" t="s">
        <v>224</v>
      </c>
      <c r="T1" s="3119" t="s">
        <v>225</v>
      </c>
      <c r="U1" s="3118" t="s">
        <v>226</v>
      </c>
      <c r="V1" s="3118" t="s">
        <v>227</v>
      </c>
      <c r="W1" s="3118" t="s">
        <v>228</v>
      </c>
      <c r="X1" s="3118" t="s">
        <v>229</v>
      </c>
      <c r="Y1" s="3118" t="s">
        <v>230</v>
      </c>
      <c r="Z1" s="3118" t="s">
        <v>231</v>
      </c>
      <c r="AA1" s="3118" t="s">
        <v>232</v>
      </c>
      <c r="AB1" s="3118" t="s">
        <v>233</v>
      </c>
    </row>
    <row r="2" spans="1:28">
      <c r="A2" s="3120" t="s">
        <v>124</v>
      </c>
      <c r="B2" s="3120" t="s">
        <v>234</v>
      </c>
      <c r="C2" s="3121" t="s">
        <v>235</v>
      </c>
      <c r="D2" s="3115" t="s">
        <v>236</v>
      </c>
      <c r="E2" s="3115" t="s">
        <v>237</v>
      </c>
      <c r="F2" s="3115" t="s">
        <v>159</v>
      </c>
      <c r="G2" s="3115">
        <v>20</v>
      </c>
      <c r="H2" s="3115" t="s">
        <v>159</v>
      </c>
      <c r="I2" s="3115" t="s">
        <v>238</v>
      </c>
      <c r="J2" s="3115" t="s">
        <v>239</v>
      </c>
      <c r="K2" s="3115" t="s">
        <v>240</v>
      </c>
      <c r="L2" s="3115" t="s">
        <v>240</v>
      </c>
      <c r="M2" s="3115" t="s">
        <v>240</v>
      </c>
      <c r="N2" s="3115" t="s">
        <v>240</v>
      </c>
      <c r="O2" s="3115" t="s">
        <v>240</v>
      </c>
      <c r="P2" s="3115" t="s">
        <v>240</v>
      </c>
      <c r="Q2" s="3115" t="s">
        <v>240</v>
      </c>
      <c r="R2" s="3115" t="s">
        <v>241</v>
      </c>
      <c r="S2" s="3115" t="s">
        <v>240</v>
      </c>
      <c r="T2" s="3115" t="s">
        <v>242</v>
      </c>
      <c r="U2" s="3115" t="s">
        <v>240</v>
      </c>
      <c r="V2" s="3115" t="s">
        <v>243</v>
      </c>
      <c r="W2" s="3115" t="s">
        <v>240</v>
      </c>
      <c r="X2" s="3114" t="s">
        <v>244</v>
      </c>
      <c r="Y2" s="3114" t="s">
        <v>245</v>
      </c>
      <c r="Z2" s="3114" t="s">
        <v>246</v>
      </c>
      <c r="AA2" s="3114" t="s">
        <v>247</v>
      </c>
      <c r="AB2" s="3114" t="s">
        <v>248</v>
      </c>
    </row>
    <row r="3" spans="1:28">
      <c r="A3" s="3120" t="s">
        <v>249</v>
      </c>
      <c r="B3" s="3122" t="s">
        <v>250</v>
      </c>
      <c r="C3" s="3121" t="s">
        <v>251</v>
      </c>
      <c r="D3" s="3115" t="s">
        <v>252</v>
      </c>
      <c r="E3" s="3115" t="s">
        <v>124</v>
      </c>
      <c r="F3" s="3115" t="s">
        <v>160</v>
      </c>
      <c r="G3" s="3115">
        <v>40</v>
      </c>
      <c r="H3" s="3115" t="s">
        <v>160</v>
      </c>
      <c r="I3" s="3115" t="s">
        <v>253</v>
      </c>
      <c r="J3" s="3115" t="s">
        <v>254</v>
      </c>
      <c r="K3" s="3115" t="s">
        <v>255</v>
      </c>
      <c r="L3" s="3115" t="s">
        <v>255</v>
      </c>
      <c r="M3" s="3115" t="s">
        <v>255</v>
      </c>
      <c r="N3" s="3115" t="s">
        <v>255</v>
      </c>
      <c r="O3" s="3115" t="s">
        <v>255</v>
      </c>
      <c r="P3" s="3115" t="s">
        <v>255</v>
      </c>
      <c r="Q3" s="3115" t="s">
        <v>255</v>
      </c>
      <c r="R3" s="3115" t="s">
        <v>256</v>
      </c>
      <c r="S3" s="3115" t="s">
        <v>255</v>
      </c>
      <c r="T3" s="3115" t="s">
        <v>257</v>
      </c>
      <c r="U3" s="3115" t="s">
        <v>255</v>
      </c>
      <c r="V3" s="3115" t="s">
        <v>258</v>
      </c>
      <c r="W3" s="3115" t="s">
        <v>255</v>
      </c>
      <c r="X3" s="3114" t="s">
        <v>259</v>
      </c>
      <c r="Z3" s="3114" t="s">
        <v>260</v>
      </c>
      <c r="AB3" s="3114" t="s">
        <v>261</v>
      </c>
    </row>
    <row r="4" spans="1:28">
      <c r="A4" s="3120" t="s">
        <v>262</v>
      </c>
      <c r="B4" s="3120" t="s">
        <v>263</v>
      </c>
      <c r="C4" s="3121" t="s">
        <v>264</v>
      </c>
      <c r="D4" s="3115" t="s">
        <v>124</v>
      </c>
      <c r="E4" s="3115" t="s">
        <v>265</v>
      </c>
      <c r="F4" s="3115" t="s">
        <v>161</v>
      </c>
      <c r="G4" s="3115">
        <v>50</v>
      </c>
      <c r="H4" s="3115" t="s">
        <v>161</v>
      </c>
      <c r="I4" s="3115" t="s">
        <v>266</v>
      </c>
      <c r="K4" s="3115" t="s">
        <v>267</v>
      </c>
      <c r="L4" s="3115" t="s">
        <v>267</v>
      </c>
      <c r="M4" s="3115" t="s">
        <v>267</v>
      </c>
      <c r="N4" s="3115" t="s">
        <v>267</v>
      </c>
      <c r="O4" s="3115" t="s">
        <v>267</v>
      </c>
      <c r="P4" s="3115" t="s">
        <v>267</v>
      </c>
      <c r="Q4" s="3115" t="s">
        <v>267</v>
      </c>
      <c r="R4" s="3115" t="s">
        <v>268</v>
      </c>
      <c r="S4" s="3115" t="s">
        <v>267</v>
      </c>
      <c r="T4" s="3115" t="s">
        <v>269</v>
      </c>
      <c r="U4" s="3115" t="s">
        <v>267</v>
      </c>
      <c r="W4" s="3115" t="s">
        <v>267</v>
      </c>
      <c r="X4" s="3114" t="s">
        <v>270</v>
      </c>
      <c r="Z4" s="3114" t="s">
        <v>271</v>
      </c>
      <c r="AB4" s="3114" t="s">
        <v>272</v>
      </c>
    </row>
    <row r="5" spans="1:28">
      <c r="A5" s="3120" t="s">
        <v>273</v>
      </c>
      <c r="B5" s="3120" t="s">
        <v>274</v>
      </c>
      <c r="C5" s="3121" t="s">
        <v>275</v>
      </c>
      <c r="F5" s="3115" t="s">
        <v>162</v>
      </c>
      <c r="G5" s="3115">
        <v>70</v>
      </c>
      <c r="H5" s="3115" t="s">
        <v>276</v>
      </c>
      <c r="I5" s="3115" t="s">
        <v>277</v>
      </c>
      <c r="K5" s="3115" t="s">
        <v>278</v>
      </c>
      <c r="L5" s="3115" t="s">
        <v>278</v>
      </c>
      <c r="M5" s="3115" t="s">
        <v>278</v>
      </c>
      <c r="N5" s="3115" t="s">
        <v>278</v>
      </c>
      <c r="O5" s="3115" t="s">
        <v>278</v>
      </c>
      <c r="P5" s="3115" t="s">
        <v>278</v>
      </c>
      <c r="Q5" s="3115" t="s">
        <v>278</v>
      </c>
      <c r="R5" s="3115" t="s">
        <v>279</v>
      </c>
      <c r="S5" s="3115" t="s">
        <v>278</v>
      </c>
      <c r="T5" s="3115" t="s">
        <v>280</v>
      </c>
      <c r="U5" s="3115" t="s">
        <v>278</v>
      </c>
      <c r="W5" s="3115" t="s">
        <v>278</v>
      </c>
      <c r="X5" s="3114" t="s">
        <v>281</v>
      </c>
      <c r="Z5" s="3114" t="s">
        <v>282</v>
      </c>
      <c r="AB5" s="3114" t="s">
        <v>283</v>
      </c>
    </row>
    <row r="6" spans="1:28">
      <c r="A6" s="3120" t="s">
        <v>284</v>
      </c>
      <c r="B6" s="3122" t="s">
        <v>285</v>
      </c>
      <c r="C6" s="3123" t="s">
        <v>286</v>
      </c>
      <c r="F6" s="3115" t="s">
        <v>276</v>
      </c>
      <c r="H6" s="3115" t="s">
        <v>164</v>
      </c>
      <c r="I6" s="3115" t="s">
        <v>287</v>
      </c>
      <c r="K6" s="3115" t="s">
        <v>288</v>
      </c>
      <c r="L6" s="3115" t="s">
        <v>288</v>
      </c>
      <c r="M6" s="3115" t="s">
        <v>288</v>
      </c>
      <c r="N6" s="3115" t="s">
        <v>288</v>
      </c>
      <c r="O6" s="3115" t="s">
        <v>288</v>
      </c>
      <c r="P6" s="3115" t="s">
        <v>288</v>
      </c>
      <c r="Q6" s="3115" t="s">
        <v>288</v>
      </c>
      <c r="R6" s="3115" t="s">
        <v>289</v>
      </c>
      <c r="S6" s="3115" t="s">
        <v>288</v>
      </c>
      <c r="T6" s="3115"/>
      <c r="U6" s="3115" t="s">
        <v>288</v>
      </c>
      <c r="W6" s="3115" t="s">
        <v>288</v>
      </c>
      <c r="X6" s="3114" t="s">
        <v>290</v>
      </c>
      <c r="Z6" s="3114" t="s">
        <v>291</v>
      </c>
      <c r="AB6" s="3114" t="s">
        <v>292</v>
      </c>
    </row>
    <row r="7" spans="1:28">
      <c r="A7" s="3120" t="s">
        <v>293</v>
      </c>
      <c r="B7" s="3122" t="s">
        <v>294</v>
      </c>
      <c r="C7" s="3121" t="s">
        <v>295</v>
      </c>
      <c r="F7" s="3115" t="s">
        <v>296</v>
      </c>
      <c r="H7" s="3115" t="s">
        <v>162</v>
      </c>
      <c r="I7" s="3115" t="s">
        <v>297</v>
      </c>
      <c r="X7" s="3114" t="s">
        <v>298</v>
      </c>
      <c r="Z7" s="3114" t="s">
        <v>299</v>
      </c>
      <c r="AB7" s="3114" t="s">
        <v>300</v>
      </c>
    </row>
    <row r="8" spans="1:28">
      <c r="A8" s="3120" t="s">
        <v>301</v>
      </c>
      <c r="B8" s="3120" t="s">
        <v>302</v>
      </c>
      <c r="C8" s="3121" t="s">
        <v>303</v>
      </c>
      <c r="F8" s="3115" t="s">
        <v>304</v>
      </c>
      <c r="H8" s="3115" t="s">
        <v>231</v>
      </c>
      <c r="I8" s="3115" t="s">
        <v>305</v>
      </c>
      <c r="X8" s="3114" t="s">
        <v>306</v>
      </c>
      <c r="Z8" s="3114" t="s">
        <v>307</v>
      </c>
      <c r="AB8" s="3114" t="s">
        <v>308</v>
      </c>
    </row>
    <row r="9" spans="1:28">
      <c r="A9" s="3120" t="s">
        <v>309</v>
      </c>
      <c r="B9" s="3120" t="s">
        <v>310</v>
      </c>
      <c r="C9" s="3121" t="s">
        <v>311</v>
      </c>
      <c r="F9" s="3115" t="s">
        <v>164</v>
      </c>
      <c r="H9" s="3115"/>
      <c r="I9" s="3114" t="s">
        <v>312</v>
      </c>
      <c r="X9" s="3114" t="s">
        <v>313</v>
      </c>
      <c r="Z9" s="3114" t="s">
        <v>314</v>
      </c>
      <c r="AB9" s="3114" t="s">
        <v>315</v>
      </c>
    </row>
    <row r="10" spans="1:28">
      <c r="A10" s="3120" t="s">
        <v>316</v>
      </c>
      <c r="B10" s="3120" t="s">
        <v>317</v>
      </c>
      <c r="C10" s="3121" t="s">
        <v>318</v>
      </c>
      <c r="F10" s="3115" t="s">
        <v>231</v>
      </c>
      <c r="I10" s="3114" t="s">
        <v>319</v>
      </c>
      <c r="Z10" s="3114" t="s">
        <v>320</v>
      </c>
      <c r="AB10" s="3114" t="s">
        <v>321</v>
      </c>
    </row>
    <row r="11" spans="1:28">
      <c r="A11" s="3120" t="s">
        <v>322</v>
      </c>
      <c r="B11" s="3120" t="s">
        <v>323</v>
      </c>
      <c r="C11" s="3121" t="s">
        <v>324</v>
      </c>
      <c r="F11" s="3115" t="s">
        <v>124</v>
      </c>
      <c r="I11" s="3114" t="s">
        <v>325</v>
      </c>
      <c r="Z11" s="3114" t="s">
        <v>326</v>
      </c>
      <c r="AB11" s="3114" t="s">
        <v>327</v>
      </c>
    </row>
    <row r="12" spans="1:28">
      <c r="A12" s="3120" t="s">
        <v>328</v>
      </c>
      <c r="B12" s="3120" t="s">
        <v>329</v>
      </c>
      <c r="C12" s="3121" t="s">
        <v>330</v>
      </c>
      <c r="I12" s="3114" t="s">
        <v>331</v>
      </c>
      <c r="Z12" s="3114" t="s">
        <v>332</v>
      </c>
      <c r="AB12" s="3114" t="s">
        <v>333</v>
      </c>
    </row>
    <row r="13" spans="1:28">
      <c r="A13" s="3120" t="s">
        <v>334</v>
      </c>
      <c r="B13" s="3120" t="s">
        <v>335</v>
      </c>
      <c r="C13" s="3121" t="s">
        <v>336</v>
      </c>
      <c r="I13" s="3114" t="s">
        <v>337</v>
      </c>
      <c r="Z13" s="3114" t="s">
        <v>338</v>
      </c>
    </row>
    <row r="14" spans="1:28">
      <c r="A14" s="3120" t="s">
        <v>339</v>
      </c>
      <c r="B14" s="3120" t="s">
        <v>340</v>
      </c>
      <c r="C14" s="3115" t="s">
        <v>124</v>
      </c>
      <c r="I14" s="3114" t="s">
        <v>341</v>
      </c>
      <c r="Z14" s="3114" t="s">
        <v>342</v>
      </c>
    </row>
    <row r="15" spans="1:28">
      <c r="A15" s="3120" t="s">
        <v>343</v>
      </c>
      <c r="B15" s="3120" t="s">
        <v>344</v>
      </c>
      <c r="C15" s="3121"/>
      <c r="I15" s="3114" t="s">
        <v>345</v>
      </c>
    </row>
    <row r="16" spans="1:28">
      <c r="A16" s="3120" t="s">
        <v>346</v>
      </c>
      <c r="B16" s="3120" t="s">
        <v>347</v>
      </c>
      <c r="C16" s="3121"/>
    </row>
    <row r="17" spans="1:3">
      <c r="A17" s="3120" t="s">
        <v>348</v>
      </c>
      <c r="B17" s="3120" t="s">
        <v>349</v>
      </c>
      <c r="C17" s="3121"/>
    </row>
    <row r="18" spans="1:3">
      <c r="A18" s="3120" t="s">
        <v>350</v>
      </c>
      <c r="B18" s="3120" t="s">
        <v>351</v>
      </c>
      <c r="C18" s="3121"/>
    </row>
    <row r="19" spans="1:3">
      <c r="A19" s="3120" t="s">
        <v>352</v>
      </c>
      <c r="B19" s="3120" t="s">
        <v>353</v>
      </c>
      <c r="C19" s="3121"/>
    </row>
    <row r="20" spans="1:3">
      <c r="A20" s="3120" t="s">
        <v>354</v>
      </c>
      <c r="B20" s="3120" t="s">
        <v>353</v>
      </c>
      <c r="C20" s="3121"/>
    </row>
    <row r="21" spans="1:3">
      <c r="A21" s="3120" t="s">
        <v>276</v>
      </c>
      <c r="B21" s="3120" t="s">
        <v>353</v>
      </c>
      <c r="C21" s="3121"/>
    </row>
    <row r="22" spans="1:3">
      <c r="A22" s="3120" t="s">
        <v>355</v>
      </c>
      <c r="B22" s="3120" t="s">
        <v>353</v>
      </c>
      <c r="C22" s="3121"/>
    </row>
    <row r="23" spans="1:3">
      <c r="A23" s="3120" t="s">
        <v>356</v>
      </c>
      <c r="B23" s="3120" t="s">
        <v>353</v>
      </c>
      <c r="C23" s="3121"/>
    </row>
    <row r="24" spans="1:3">
      <c r="A24" s="3120" t="s">
        <v>357</v>
      </c>
      <c r="B24" s="3120" t="s">
        <v>353</v>
      </c>
      <c r="C24" s="3121"/>
    </row>
    <row r="25" spans="1:3">
      <c r="A25" s="3120" t="s">
        <v>358</v>
      </c>
      <c r="B25" s="3120" t="s">
        <v>353</v>
      </c>
      <c r="C25" s="3121"/>
    </row>
    <row r="26" spans="1:3">
      <c r="A26" s="3120" t="s">
        <v>359</v>
      </c>
      <c r="B26" s="3120" t="s">
        <v>353</v>
      </c>
      <c r="C26" s="3121"/>
    </row>
    <row r="27" spans="1:3">
      <c r="A27" s="3120" t="s">
        <v>353</v>
      </c>
      <c r="B27" s="3120" t="s">
        <v>353</v>
      </c>
      <c r="C27" s="3121"/>
    </row>
    <row r="28" spans="1:3">
      <c r="A28" s="3120" t="s">
        <v>353</v>
      </c>
      <c r="B28" s="3120" t="s">
        <v>353</v>
      </c>
      <c r="C28" s="3121"/>
    </row>
    <row r="29" spans="1:3">
      <c r="A29" s="3120" t="s">
        <v>353</v>
      </c>
      <c r="B29" s="3120" t="s">
        <v>353</v>
      </c>
      <c r="C29" s="3121"/>
    </row>
    <row r="30" spans="1:3">
      <c r="A30" s="3120" t="s">
        <v>353</v>
      </c>
      <c r="B30" s="3120" t="s">
        <v>353</v>
      </c>
      <c r="C30" s="3121"/>
    </row>
    <row r="31" spans="1:3">
      <c r="A31" s="3120" t="s">
        <v>353</v>
      </c>
      <c r="B31" s="3120" t="s">
        <v>353</v>
      </c>
      <c r="C31" s="3121"/>
    </row>
    <row r="32" spans="1:3">
      <c r="A32" s="3120" t="s">
        <v>353</v>
      </c>
      <c r="B32" s="3120" t="s">
        <v>353</v>
      </c>
      <c r="C32" s="3121"/>
    </row>
    <row r="33" spans="1:3">
      <c r="A33" s="3120" t="s">
        <v>353</v>
      </c>
      <c r="B33" s="3120" t="s">
        <v>353</v>
      </c>
      <c r="C33" s="3121"/>
    </row>
    <row r="34" spans="1:3">
      <c r="A34" s="3120" t="s">
        <v>353</v>
      </c>
      <c r="B34" s="3120" t="s">
        <v>353</v>
      </c>
      <c r="C34" s="3121"/>
    </row>
    <row r="35" spans="1:3">
      <c r="A35" s="3120" t="s">
        <v>353</v>
      </c>
      <c r="B35" s="3120" t="s">
        <v>353</v>
      </c>
      <c r="C35" s="3121"/>
    </row>
    <row r="36" spans="1:3">
      <c r="A36" s="3120" t="s">
        <v>353</v>
      </c>
      <c r="B36" s="3120" t="s">
        <v>353</v>
      </c>
      <c r="C36" s="3121"/>
    </row>
    <row r="37" spans="1:3">
      <c r="A37" s="3120" t="s">
        <v>353</v>
      </c>
      <c r="B37" s="3120" t="s">
        <v>353</v>
      </c>
      <c r="C37" s="3121"/>
    </row>
    <row r="38" spans="1:3">
      <c r="A38" s="3120" t="s">
        <v>353</v>
      </c>
      <c r="B38" s="3120" t="s">
        <v>353</v>
      </c>
      <c r="C38" s="3121"/>
    </row>
    <row r="39" spans="1:3">
      <c r="A39" s="3120" t="s">
        <v>353</v>
      </c>
      <c r="B39" s="3120" t="s">
        <v>353</v>
      </c>
      <c r="C39" s="3121"/>
    </row>
    <row r="40" spans="1:3">
      <c r="A40" s="3120" t="s">
        <v>353</v>
      </c>
      <c r="B40" s="3120" t="s">
        <v>353</v>
      </c>
      <c r="C40" s="3121"/>
    </row>
    <row r="41" spans="1:3">
      <c r="A41" s="3120" t="s">
        <v>353</v>
      </c>
      <c r="B41" s="3120" t="s">
        <v>353</v>
      </c>
      <c r="C41" s="3121"/>
    </row>
    <row r="42" spans="1:3">
      <c r="A42" s="3120" t="s">
        <v>353</v>
      </c>
      <c r="B42" s="3120" t="s">
        <v>353</v>
      </c>
      <c r="C42" s="3121"/>
    </row>
    <row r="43" spans="1:3">
      <c r="A43" s="3120" t="s">
        <v>353</v>
      </c>
      <c r="B43" s="3120" t="s">
        <v>353</v>
      </c>
      <c r="C43" s="3121"/>
    </row>
    <row r="44" spans="1:3">
      <c r="A44" s="3120" t="s">
        <v>353</v>
      </c>
      <c r="B44" s="3120" t="s">
        <v>353</v>
      </c>
      <c r="C44" s="3121"/>
    </row>
    <row r="45" spans="1:3">
      <c r="A45" s="3120" t="s">
        <v>353</v>
      </c>
      <c r="B45" s="3120" t="s">
        <v>353</v>
      </c>
      <c r="C45" s="3121"/>
    </row>
    <row r="46" spans="1:3">
      <c r="A46" s="3120" t="s">
        <v>353</v>
      </c>
      <c r="B46" s="3120" t="s">
        <v>353</v>
      </c>
      <c r="C46" s="3121"/>
    </row>
    <row r="47" spans="1:3">
      <c r="A47" s="3120" t="s">
        <v>353</v>
      </c>
      <c r="B47" s="3120" t="s">
        <v>353</v>
      </c>
      <c r="C47" s="3121"/>
    </row>
    <row r="48" spans="1:3">
      <c r="A48" s="3120" t="s">
        <v>353</v>
      </c>
      <c r="B48" s="3120" t="s">
        <v>353</v>
      </c>
      <c r="C48" s="3121"/>
    </row>
    <row r="49" spans="1:4">
      <c r="A49" s="3120" t="s">
        <v>353</v>
      </c>
      <c r="B49" s="3120" t="s">
        <v>353</v>
      </c>
      <c r="C49" s="3121"/>
    </row>
    <row r="50" spans="1:4">
      <c r="A50" s="3120" t="s">
        <v>353</v>
      </c>
      <c r="B50" s="3120" t="s">
        <v>353</v>
      </c>
      <c r="C50" s="3121"/>
    </row>
    <row r="51" spans="1:4">
      <c r="A51" s="3124" t="s">
        <v>360</v>
      </c>
      <c r="B51" s="3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3124" t="s">
        <v>361</v>
      </c>
    </row>
    <row r="52" spans="1:4">
      <c r="A52" s="3124" t="s">
        <v>362</v>
      </c>
      <c r="B52" s="3124" t="s">
        <v>363</v>
      </c>
      <c r="C52" s="3114" t="s">
        <v>364</v>
      </c>
      <c r="D52" s="3114" t="s">
        <v>365</v>
      </c>
    </row>
    <row r="53" spans="1:4">
      <c r="A53" s="3277" t="s">
        <v>366</v>
      </c>
      <c r="B53" s="3124" t="s">
        <v>367</v>
      </c>
      <c r="C53" s="3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124" t="s">
        <v>368</v>
      </c>
      <c r="C54" s="3114" t="s">
        <v>369</v>
      </c>
    </row>
    <row r="55" spans="1:4">
      <c r="A55" s="3277"/>
      <c r="B55" s="3124" t="s">
        <v>370</v>
      </c>
      <c r="C55" s="3114" t="s">
        <v>371</v>
      </c>
    </row>
    <row r="56" spans="1:4">
      <c r="A56" s="3277"/>
      <c r="B56" s="3124" t="s">
        <v>372</v>
      </c>
      <c r="C56" s="3114" t="s">
        <v>373</v>
      </c>
    </row>
    <row r="57" spans="1:4">
      <c r="A57" s="3277"/>
      <c r="B57" s="3124" t="s">
        <v>374</v>
      </c>
      <c r="C57" s="3114" t="s">
        <v>375</v>
      </c>
    </row>
    <row r="58" spans="1:4">
      <c r="A58" s="3115"/>
      <c r="B58" s="3114"/>
    </row>
    <row r="59" spans="1:4">
      <c r="A59" s="3115"/>
      <c r="B59" s="3114"/>
    </row>
    <row r="60" spans="1:4">
      <c r="A60" s="3115"/>
      <c r="B60" s="3114"/>
    </row>
    <row r="61" spans="1:4">
      <c r="A61" s="3115"/>
      <c r="B61" s="3114"/>
    </row>
    <row r="62" spans="1:4">
      <c r="A62" s="3115"/>
      <c r="B62" s="3114"/>
    </row>
    <row r="63" spans="1:4">
      <c r="A63" s="3115"/>
      <c r="B63" s="3114"/>
    </row>
    <row r="64" spans="1:4">
      <c r="A64" s="3115"/>
      <c r="B64" s="3114"/>
    </row>
    <row r="65" spans="1:2">
      <c r="A65" s="3115"/>
      <c r="B65" s="3114"/>
    </row>
    <row r="66" spans="1:2">
      <c r="A66" s="3115"/>
      <c r="B66" s="3114"/>
    </row>
    <row r="67" spans="1:2">
      <c r="A67" s="3115"/>
      <c r="B67" s="3114"/>
    </row>
    <row r="68" spans="1:2">
      <c r="A68" s="3115"/>
      <c r="B68" s="3114"/>
    </row>
    <row r="69" spans="1:2">
      <c r="A69" s="3115"/>
      <c r="B69" s="3114"/>
    </row>
    <row r="70" spans="1:2">
      <c r="A70" s="3115"/>
      <c r="B70" s="3114"/>
    </row>
    <row r="71" spans="1:2">
      <c r="A71" s="3115"/>
      <c r="B71" s="3114"/>
    </row>
    <row r="72" spans="1:2">
      <c r="A72" s="3115"/>
      <c r="B72" s="3114"/>
    </row>
    <row r="73" spans="1:2">
      <c r="A73" s="3115"/>
      <c r="B73" s="3114"/>
    </row>
    <row r="74" spans="1:2">
      <c r="A74" s="3115"/>
      <c r="B74" s="3114"/>
    </row>
    <row r="75" spans="1:2">
      <c r="A75" s="3115"/>
      <c r="B75" s="3114"/>
    </row>
    <row r="76" spans="1:2">
      <c r="A76" s="3115"/>
      <c r="B76" s="3114"/>
    </row>
    <row r="77" spans="1:2">
      <c r="A77" s="3115"/>
      <c r="B77" s="3114"/>
    </row>
    <row r="78" spans="1:2">
      <c r="A78" s="3115"/>
      <c r="B78" s="3114"/>
    </row>
    <row r="79" spans="1:2">
      <c r="A79" s="3115"/>
      <c r="B79" s="3114"/>
    </row>
    <row r="80" spans="1:2">
      <c r="A80" s="3115"/>
      <c r="B80" s="3114"/>
    </row>
    <row r="81" spans="1:2">
      <c r="A81" s="3115"/>
      <c r="B81" s="3114"/>
    </row>
    <row r="82" spans="1:2">
      <c r="A82" s="3115"/>
      <c r="B82" s="3114"/>
    </row>
    <row r="83" spans="1:2">
      <c r="A83" s="3115"/>
      <c r="B83" s="3114"/>
    </row>
    <row r="84" spans="1:2">
      <c r="A84" s="3115"/>
      <c r="B84" s="3114"/>
    </row>
    <row r="85" spans="1:2">
      <c r="A85" s="3115"/>
      <c r="B85" s="3114"/>
    </row>
    <row r="86" spans="1:2">
      <c r="A86" s="3115"/>
      <c r="B86" s="3114"/>
    </row>
    <row r="87" spans="1:2">
      <c r="A87" s="3115"/>
      <c r="B87" s="3114"/>
    </row>
    <row r="88" spans="1:2">
      <c r="A88" s="3115"/>
      <c r="B88" s="3114"/>
    </row>
    <row r="89" spans="1:2">
      <c r="A89" s="3115"/>
      <c r="B89" s="3114"/>
    </row>
    <row r="90" spans="1:2">
      <c r="A90" s="3115"/>
      <c r="B90" s="3114"/>
    </row>
    <row r="91" spans="1:2">
      <c r="A91" s="3115"/>
      <c r="B91" s="3114"/>
    </row>
    <row r="92" spans="1:2">
      <c r="A92" s="3115"/>
      <c r="B92" s="3114"/>
    </row>
    <row r="93" spans="1:2">
      <c r="A93" s="3115"/>
      <c r="B93" s="3114"/>
    </row>
    <row r="94" spans="1:2">
      <c r="A94" s="3115"/>
      <c r="B94" s="3114"/>
    </row>
    <row r="95" spans="1:2">
      <c r="A95" s="3115"/>
      <c r="B95" s="3114"/>
    </row>
    <row r="96" spans="1:2">
      <c r="A96" s="3115"/>
      <c r="B96" s="3114"/>
    </row>
    <row r="97" spans="1:2">
      <c r="A97" s="3115"/>
      <c r="B97" s="3114"/>
    </row>
    <row r="98" spans="1:2">
      <c r="A98" s="3115"/>
      <c r="B98" s="3114"/>
    </row>
    <row r="99" spans="1:2">
      <c r="A99" s="3115"/>
      <c r="B99" s="3114"/>
    </row>
    <row r="100" spans="1:2">
      <c r="A100" s="3115"/>
      <c r="B100" s="3114"/>
    </row>
    <row r="101" spans="1:2">
      <c r="A101" s="3115"/>
      <c r="B101" s="3114"/>
    </row>
    <row r="102" spans="1:2">
      <c r="A102" s="3115"/>
      <c r="B102" s="3114"/>
    </row>
    <row r="103" spans="1:2">
      <c r="A103" s="3115"/>
      <c r="B103" s="3114"/>
    </row>
    <row r="104" spans="1:2">
      <c r="A104" s="3115"/>
      <c r="B104" s="3114"/>
    </row>
    <row r="105" spans="1:2">
      <c r="A105" s="3115"/>
      <c r="B105" s="3114"/>
    </row>
    <row r="106" spans="1:2">
      <c r="A106" s="3115"/>
      <c r="B106" s="3114"/>
    </row>
    <row r="107" spans="1:2">
      <c r="A107" s="3115"/>
      <c r="B107" s="3114"/>
    </row>
    <row r="108" spans="1:2">
      <c r="A108" s="3115"/>
      <c r="B108" s="3114"/>
    </row>
    <row r="109" spans="1:2">
      <c r="A109" s="3115"/>
      <c r="B109" s="3114"/>
    </row>
    <row r="110" spans="1:2">
      <c r="A110" s="3115"/>
      <c r="B110" s="3114"/>
    </row>
    <row r="111" spans="1:2">
      <c r="A111" s="3115"/>
      <c r="B111" s="3114"/>
    </row>
    <row r="112" spans="1:2">
      <c r="A112" s="3115"/>
      <c r="B112" s="3114"/>
    </row>
    <row r="113" spans="1:2">
      <c r="A113" s="3115"/>
      <c r="B113" s="3114"/>
    </row>
    <row r="114" spans="1:2">
      <c r="A114" s="3115"/>
      <c r="B114" s="3114"/>
    </row>
    <row r="115" spans="1:2">
      <c r="A115" s="3115"/>
      <c r="B115" s="3114"/>
    </row>
    <row r="116" spans="1:2">
      <c r="A116" s="3115"/>
      <c r="B116" s="3114"/>
    </row>
    <row r="117" spans="1:2">
      <c r="A117" s="3115"/>
      <c r="B117" s="3114"/>
    </row>
    <row r="118" spans="1:2">
      <c r="A118" s="3115"/>
      <c r="B118" s="3114"/>
    </row>
    <row r="119" spans="1:2">
      <c r="A119" s="3115"/>
      <c r="B119" s="3114"/>
    </row>
    <row r="120" spans="1:2">
      <c r="A120" s="3115"/>
      <c r="B120" s="3114"/>
    </row>
    <row r="121" spans="1:2">
      <c r="A121" s="3115"/>
      <c r="B121" s="3114"/>
    </row>
    <row r="122" spans="1:2">
      <c r="A122" s="3115"/>
      <c r="B122" s="3114"/>
    </row>
    <row r="123" spans="1:2">
      <c r="A123" s="3115"/>
      <c r="B123" s="3114"/>
    </row>
    <row r="124" spans="1:2">
      <c r="A124" s="3115"/>
      <c r="B124" s="3114"/>
    </row>
    <row r="125" spans="1:2">
      <c r="A125" s="3115"/>
      <c r="B125" s="3114"/>
    </row>
    <row r="126" spans="1:2">
      <c r="A126" s="3115"/>
      <c r="B126" s="3114"/>
    </row>
    <row r="127" spans="1:2">
      <c r="A127" s="3115"/>
      <c r="B127" s="3114"/>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58"/>
    <col min="8" max="8" width="5.44140625" style="3058" customWidth="1"/>
    <col min="9" max="13" width="9.44140625" style="3059" customWidth="1"/>
    <col min="14" max="18" width="9.44140625" style="3058" customWidth="1"/>
    <col min="19" max="16384" width="15.21875" style="3058"/>
  </cols>
  <sheetData>
    <row r="1" spans="1:18">
      <c r="A1" s="3060" t="s">
        <v>376</v>
      </c>
      <c r="B1" s="3061"/>
      <c r="C1" s="3061"/>
      <c r="D1" s="3061"/>
      <c r="E1" s="3061"/>
      <c r="F1" s="3062"/>
      <c r="I1" s="3063" t="s">
        <v>377</v>
      </c>
      <c r="J1" s="74"/>
      <c r="K1" s="74"/>
      <c r="L1" s="74"/>
      <c r="M1" s="74"/>
      <c r="N1" s="298"/>
      <c r="O1" s="298"/>
      <c r="P1" s="298"/>
      <c r="Q1" s="298"/>
      <c r="R1" s="298"/>
    </row>
    <row r="2" spans="1:18">
      <c r="A2" s="3064"/>
      <c r="B2" s="3065"/>
      <c r="C2" s="3065"/>
      <c r="D2" s="3065"/>
      <c r="E2" s="3065"/>
      <c r="F2" s="3066"/>
      <c r="I2" s="3278" t="s">
        <v>378</v>
      </c>
      <c r="J2" s="3278"/>
      <c r="K2" s="3278"/>
      <c r="L2" s="3278"/>
      <c r="M2" s="3278"/>
      <c r="N2" s="3278"/>
      <c r="O2" s="3278"/>
      <c r="P2" s="3278"/>
      <c r="Q2" s="3278"/>
      <c r="R2" s="3278"/>
    </row>
    <row r="3" spans="1:18">
      <c r="A3" s="448" t="s">
        <v>379</v>
      </c>
      <c r="B3" s="3067">
        <f>项目基本情况!D3</f>
        <v>46026</v>
      </c>
      <c r="C3" s="449"/>
      <c r="D3" s="449"/>
      <c r="E3" s="449"/>
      <c r="F3" s="3066"/>
      <c r="I3" s="3068"/>
      <c r="J3" s="3068" t="s">
        <v>380</v>
      </c>
      <c r="K3" s="3068" t="s">
        <v>381</v>
      </c>
      <c r="L3" s="3068" t="s">
        <v>382</v>
      </c>
      <c r="M3" s="3068" t="s">
        <v>383</v>
      </c>
      <c r="N3" s="3069" t="s">
        <v>384</v>
      </c>
      <c r="O3" s="3069" t="s">
        <v>385</v>
      </c>
      <c r="P3" s="3069" t="s">
        <v>386</v>
      </c>
      <c r="Q3" s="3069" t="s">
        <v>387</v>
      </c>
      <c r="R3" s="3069" t="s">
        <v>388</v>
      </c>
    </row>
    <row r="4" spans="1:18">
      <c r="A4" s="448" t="s">
        <v>389</v>
      </c>
      <c r="B4" s="449" t="s">
        <v>390</v>
      </c>
      <c r="C4" s="449" t="s">
        <v>391</v>
      </c>
      <c r="D4" s="449" t="s">
        <v>392</v>
      </c>
      <c r="E4" s="449" t="s">
        <v>393</v>
      </c>
      <c r="F4" s="3066"/>
      <c r="I4" s="3068" t="s">
        <v>394</v>
      </c>
      <c r="J4" s="3068">
        <v>80</v>
      </c>
      <c r="K4" s="3068">
        <v>70</v>
      </c>
      <c r="L4" s="3068">
        <v>20</v>
      </c>
      <c r="M4" s="3068">
        <v>30</v>
      </c>
      <c r="N4" s="449">
        <v>45</v>
      </c>
      <c r="O4" s="449">
        <v>60</v>
      </c>
      <c r="P4" s="449">
        <v>50</v>
      </c>
      <c r="Q4" s="449">
        <v>20</v>
      </c>
      <c r="R4" s="449">
        <v>375</v>
      </c>
    </row>
    <row r="5" spans="1:18">
      <c r="A5" s="3070">
        <v>40</v>
      </c>
      <c r="B5" s="3067">
        <v>46375</v>
      </c>
      <c r="C5" s="449">
        <f>ROUNDDOWN(MIN((B5-B3)/365,A5),2)</f>
        <v>0.95</v>
      </c>
      <c r="D5" s="3071">
        <f>IF(ISERROR(ROUND(POWER(1+E5,A5-C5)*(POWER(1+E5,C5)-1)/(POWER(1+E5,A5)-1),3)),0,ROUND(POWER(1+E5,A5-C5)*(POWER(1+E5,C5)-1)/(POWER(1+E5,A5)-1),4))</f>
        <v>4.6199999999999998E-2</v>
      </c>
      <c r="E5" s="3072">
        <v>0.04</v>
      </c>
      <c r="F5" s="3066"/>
      <c r="I5" s="3068" t="s">
        <v>395</v>
      </c>
      <c r="J5" s="3068">
        <v>70</v>
      </c>
      <c r="K5" s="3068">
        <v>60</v>
      </c>
      <c r="L5" s="3068">
        <v>15</v>
      </c>
      <c r="M5" s="3068">
        <v>25</v>
      </c>
      <c r="N5" s="449">
        <v>40</v>
      </c>
      <c r="O5" s="449">
        <v>50</v>
      </c>
      <c r="P5" s="449">
        <v>40</v>
      </c>
      <c r="Q5" s="449">
        <v>15</v>
      </c>
      <c r="R5" s="449">
        <v>315</v>
      </c>
    </row>
    <row r="6" spans="1:18">
      <c r="A6" s="3070">
        <v>50</v>
      </c>
      <c r="B6" s="3067">
        <v>50028</v>
      </c>
      <c r="C6" s="449">
        <f>ROUNDDOWN(MIN((B6-B3)/365,A6),2)</f>
        <v>10.96</v>
      </c>
      <c r="D6" s="3071">
        <f>IF(ISERROR(ROUND(POWER(1+E6,A6-C6)*(POWER(1+E6,C6)-1)/(POWER(1+E6,A6)-1),3)),0,ROUND(POWER(1+E6,A6-C6)*(POWER(1+E6,C6)-1)/(POWER(1+E6,A6)-1),4))</f>
        <v>0.40660000000000002</v>
      </c>
      <c r="E6" s="3072">
        <v>0.04</v>
      </c>
      <c r="F6" s="3066"/>
      <c r="I6" s="3068" t="s">
        <v>396</v>
      </c>
      <c r="J6" s="3068">
        <v>60</v>
      </c>
      <c r="K6" s="3068">
        <v>50</v>
      </c>
      <c r="L6" s="3068">
        <v>10</v>
      </c>
      <c r="M6" s="3068">
        <v>20</v>
      </c>
      <c r="N6" s="449">
        <v>35</v>
      </c>
      <c r="O6" s="449">
        <v>40</v>
      </c>
      <c r="P6" s="449">
        <v>30</v>
      </c>
      <c r="Q6" s="449">
        <v>10</v>
      </c>
      <c r="R6" s="449">
        <v>255</v>
      </c>
    </row>
    <row r="7" spans="1:18">
      <c r="A7" s="3070">
        <v>70</v>
      </c>
      <c r="B7" s="3067">
        <v>57333</v>
      </c>
      <c r="C7" s="449">
        <f>ROUNDDOWN(MIN((B7-B3)/365,A7),2)</f>
        <v>30.97</v>
      </c>
      <c r="D7" s="3071">
        <f>IF(ISERROR(ROUND(POWER(1+E7,A7-C7)*(POWER(1+E7,C7)-1)/(POWER(1+E7,A7)-1),3)),0,ROUND(POWER(1+E7,A7-C7)*(POWER(1+E7,C7)-1)/(POWER(1+E7,A7)-1),4))</f>
        <v>0.75139999999999996</v>
      </c>
      <c r="E7" s="3072">
        <v>0.04</v>
      </c>
      <c r="F7" s="3066"/>
    </row>
    <row r="8" spans="1:18">
      <c r="A8" s="3064"/>
      <c r="B8" s="3065"/>
      <c r="C8" s="3065"/>
      <c r="D8" s="3065"/>
      <c r="E8" s="3065"/>
      <c r="F8" s="3066"/>
    </row>
    <row r="9" spans="1:18">
      <c r="A9" s="448" t="s">
        <v>397</v>
      </c>
      <c r="B9" s="449"/>
      <c r="C9" s="449"/>
      <c r="D9" s="449"/>
      <c r="E9" s="449"/>
      <c r="F9" s="451"/>
    </row>
    <row r="10" spans="1:18">
      <c r="A10" s="448" t="s">
        <v>398</v>
      </c>
      <c r="B10" s="449"/>
      <c r="C10" s="449"/>
      <c r="D10" s="449" t="s">
        <v>393</v>
      </c>
      <c r="E10" s="449"/>
      <c r="F10" s="451" t="s">
        <v>392</v>
      </c>
    </row>
    <row r="11" spans="1:18">
      <c r="A11" s="448" t="s">
        <v>399</v>
      </c>
      <c r="B11" s="3073">
        <v>70</v>
      </c>
      <c r="C11" s="449" t="s">
        <v>400</v>
      </c>
      <c r="D11" s="3073">
        <v>4.4999999999999998E-2</v>
      </c>
      <c r="E11" s="449" t="s">
        <v>401</v>
      </c>
      <c r="F11" s="3074">
        <f>ROUND(1-(1/(POWER(1+D11,B11))),4)</f>
        <v>0.95409999999999995</v>
      </c>
    </row>
    <row r="12" spans="1:18">
      <c r="A12" s="448" t="s">
        <v>402</v>
      </c>
      <c r="B12" s="3073">
        <v>40</v>
      </c>
      <c r="C12" s="449" t="s">
        <v>403</v>
      </c>
      <c r="D12" s="3073">
        <v>4.4999999999999998E-2</v>
      </c>
      <c r="E12" s="449" t="s">
        <v>404</v>
      </c>
      <c r="F12" s="3074">
        <f>ROUND(1-(1/(POWER(1+D12,B12))),4)</f>
        <v>0.82809999999999995</v>
      </c>
    </row>
    <row r="13" spans="1:18">
      <c r="A13" s="448" t="s">
        <v>405</v>
      </c>
      <c r="B13" s="449"/>
      <c r="C13" s="449"/>
      <c r="D13" s="3065"/>
      <c r="E13" s="3065"/>
      <c r="F13" s="3066"/>
    </row>
    <row r="14" spans="1:18">
      <c r="A14" s="448" t="s">
        <v>406</v>
      </c>
      <c r="B14" s="3073">
        <v>5000</v>
      </c>
      <c r="C14" s="3075"/>
      <c r="D14" s="3065"/>
      <c r="E14" s="3065"/>
      <c r="F14" s="3066"/>
    </row>
    <row r="15" spans="1:18">
      <c r="A15" s="448" t="s">
        <v>407</v>
      </c>
      <c r="B15" s="449">
        <f>ROUND(B14*F12/F11,2)</f>
        <v>4339.6899999999996</v>
      </c>
      <c r="C15" s="449">
        <f>ROUND(F12/F11,4)</f>
        <v>0.8679</v>
      </c>
      <c r="D15" s="3065"/>
      <c r="E15" s="3065"/>
      <c r="F15" s="3066"/>
    </row>
    <row r="16" spans="1:18">
      <c r="A16" s="448" t="s">
        <v>408</v>
      </c>
      <c r="B16" s="449"/>
      <c r="C16" s="449"/>
      <c r="D16" s="3065"/>
      <c r="E16" s="3065"/>
      <c r="F16" s="3066"/>
    </row>
    <row r="17" spans="1:14">
      <c r="A17" s="448" t="s">
        <v>407</v>
      </c>
      <c r="B17" s="3073">
        <v>4810</v>
      </c>
      <c r="C17" s="3075"/>
      <c r="D17" s="3065"/>
      <c r="E17" s="3065"/>
      <c r="F17" s="3066"/>
    </row>
    <row r="18" spans="1:14">
      <c r="A18" s="3076" t="s">
        <v>406</v>
      </c>
      <c r="B18" s="459">
        <f>ROUND(B17*F11/F12,2)</f>
        <v>5541.87</v>
      </c>
      <c r="C18" s="459">
        <f>ROUND(F11/F12,4)</f>
        <v>1.1521999999999999</v>
      </c>
      <c r="D18" s="3077"/>
      <c r="E18" s="3077"/>
      <c r="F18" s="3078"/>
    </row>
    <row r="20" spans="1:14" s="3057" customFormat="1">
      <c r="A20" s="3079" t="s">
        <v>409</v>
      </c>
      <c r="B20" s="3080"/>
      <c r="C20" s="3080"/>
      <c r="D20" s="3080"/>
      <c r="E20" s="3080"/>
      <c r="F20" s="3080"/>
      <c r="G20" s="3081"/>
      <c r="I20" s="3082" t="s">
        <v>410</v>
      </c>
      <c r="J20" s="3082" t="s">
        <v>411</v>
      </c>
      <c r="K20" s="3082"/>
      <c r="L20" s="3082"/>
      <c r="M20" s="3082"/>
    </row>
    <row r="21" spans="1:14">
      <c r="A21" s="3083"/>
      <c r="B21" s="3068" t="s">
        <v>412</v>
      </c>
      <c r="C21" s="3068" t="s">
        <v>391</v>
      </c>
      <c r="D21" s="3068" t="s">
        <v>413</v>
      </c>
      <c r="E21" s="3068" t="s">
        <v>392</v>
      </c>
      <c r="F21" s="3068" t="s">
        <v>414</v>
      </c>
      <c r="G21" s="3084" t="s">
        <v>415</v>
      </c>
      <c r="I21" s="3059">
        <v>5</v>
      </c>
      <c r="J21" s="3059">
        <v>54.2</v>
      </c>
    </row>
    <row r="22" spans="1:14">
      <c r="A22" s="3083" t="s">
        <v>416</v>
      </c>
      <c r="B22" s="3085">
        <v>70</v>
      </c>
      <c r="C22" s="3085">
        <v>30</v>
      </c>
      <c r="D22" s="3086">
        <v>0.04</v>
      </c>
      <c r="E22" s="3068">
        <f>ROUND(POWER(1+D22,B22-C22)*(POWER(1+D22,C22)-1)/(POWER(1+D22,B22)-1),3)</f>
        <v>0.73899999999999999</v>
      </c>
      <c r="F22" s="3086">
        <v>0.7</v>
      </c>
      <c r="G22" s="3084">
        <f>ROUND(100*(1-(1-E22)*F22),1)</f>
        <v>81.7</v>
      </c>
      <c r="I22" s="3059">
        <v>10</v>
      </c>
      <c r="J22" s="3059">
        <v>65.400000000000006</v>
      </c>
      <c r="K22" s="3059">
        <f>J22-J21</f>
        <v>11.2</v>
      </c>
    </row>
    <row r="23" spans="1:14">
      <c r="A23" s="3083" t="s">
        <v>417</v>
      </c>
      <c r="B23" s="3085">
        <v>70</v>
      </c>
      <c r="C23" s="3085">
        <v>40</v>
      </c>
      <c r="D23" s="3086">
        <v>0.04</v>
      </c>
      <c r="E23" s="3068">
        <f t="shared" ref="E23:E25" si="0">ROUND(POWER(1+D23,B23-C23)*(POWER(1+D23,C23)-1)/(POWER(1+D23,B23)-1),3)</f>
        <v>0.84599999999999997</v>
      </c>
      <c r="F23" s="3086">
        <f>F22</f>
        <v>0.7</v>
      </c>
      <c r="G23" s="3084">
        <f t="shared" ref="G23:G25" si="1">ROUND(100*(1-(1-E23)*F23),1)</f>
        <v>89.2</v>
      </c>
      <c r="I23" s="3059">
        <v>15</v>
      </c>
      <c r="J23" s="3059">
        <v>74.099999999999994</v>
      </c>
      <c r="K23" s="3059">
        <f t="shared" ref="K23:K30" si="2">J23-J22</f>
        <v>8.6999999999999904</v>
      </c>
      <c r="L23" s="3059" t="s">
        <v>418</v>
      </c>
      <c r="N23" s="3087" t="s">
        <v>419</v>
      </c>
    </row>
    <row r="24" spans="1:14">
      <c r="A24" s="3083" t="s">
        <v>420</v>
      </c>
      <c r="B24" s="3085">
        <v>70</v>
      </c>
      <c r="C24" s="3085">
        <v>50</v>
      </c>
      <c r="D24" s="3086">
        <v>0.04</v>
      </c>
      <c r="E24" s="3068">
        <f t="shared" si="0"/>
        <v>0.91800000000000004</v>
      </c>
      <c r="F24" s="3086">
        <f>F23</f>
        <v>0.7</v>
      </c>
      <c r="G24" s="3084">
        <f t="shared" si="1"/>
        <v>94.3</v>
      </c>
      <c r="I24" s="3059">
        <v>20</v>
      </c>
      <c r="J24" s="3059">
        <v>81</v>
      </c>
      <c r="K24" s="3059">
        <f t="shared" si="2"/>
        <v>6.9000000000000101</v>
      </c>
      <c r="L24" s="3059" t="s">
        <v>421</v>
      </c>
      <c r="N24" s="3087">
        <v>10</v>
      </c>
    </row>
    <row r="25" spans="1:14">
      <c r="A25" s="3083" t="s">
        <v>422</v>
      </c>
      <c r="B25" s="3085">
        <v>70</v>
      </c>
      <c r="C25" s="3085">
        <v>60</v>
      </c>
      <c r="D25" s="3086">
        <v>0.04</v>
      </c>
      <c r="E25" s="3068">
        <f t="shared" si="0"/>
        <v>0.96699999999999997</v>
      </c>
      <c r="F25" s="3086">
        <f>F24</f>
        <v>0.7</v>
      </c>
      <c r="G25" s="3084">
        <f t="shared" si="1"/>
        <v>97.7</v>
      </c>
      <c r="I25" s="3059">
        <v>25</v>
      </c>
      <c r="J25" s="3059">
        <v>86.3</v>
      </c>
      <c r="K25" s="3059">
        <f t="shared" si="2"/>
        <v>5.3</v>
      </c>
      <c r="L25" s="3059" t="s">
        <v>423</v>
      </c>
      <c r="N25" s="3087">
        <v>8</v>
      </c>
    </row>
    <row r="26" spans="1:14">
      <c r="A26" s="73"/>
      <c r="B26" s="74"/>
      <c r="C26" s="74"/>
      <c r="D26" s="74"/>
      <c r="E26" s="74"/>
      <c r="F26" s="74"/>
      <c r="G26" s="3088"/>
      <c r="I26" s="3059">
        <v>30</v>
      </c>
      <c r="J26" s="3059">
        <v>90.5</v>
      </c>
      <c r="K26" s="3059">
        <f t="shared" si="2"/>
        <v>4.2</v>
      </c>
      <c r="L26" s="3059" t="s">
        <v>424</v>
      </c>
      <c r="N26" s="3087">
        <v>5</v>
      </c>
    </row>
    <row r="27" spans="1:14">
      <c r="A27" s="73" t="s">
        <v>425</v>
      </c>
      <c r="B27" s="74"/>
      <c r="C27" s="74"/>
      <c r="D27" s="74"/>
      <c r="E27" s="74"/>
      <c r="F27" s="74"/>
      <c r="G27" s="3088"/>
      <c r="I27" s="3059">
        <v>35</v>
      </c>
      <c r="J27" s="3059">
        <v>93.8</v>
      </c>
      <c r="K27" s="3059">
        <f t="shared" si="2"/>
        <v>3.3</v>
      </c>
      <c r="L27" s="3059" t="s">
        <v>426</v>
      </c>
      <c r="N27" s="3087">
        <v>3</v>
      </c>
    </row>
    <row r="28" spans="1:14">
      <c r="A28" s="73" t="s">
        <v>427</v>
      </c>
      <c r="B28" s="74"/>
      <c r="C28" s="74"/>
      <c r="D28" s="74"/>
      <c r="E28" s="74"/>
      <c r="F28" s="74"/>
      <c r="G28" s="3088"/>
      <c r="I28" s="3059">
        <v>40</v>
      </c>
      <c r="J28" s="3059">
        <v>96.4</v>
      </c>
      <c r="K28" s="3059">
        <f t="shared" si="2"/>
        <v>2.6000000000000099</v>
      </c>
      <c r="L28" s="3059" t="s">
        <v>428</v>
      </c>
      <c r="N28" s="3087">
        <v>2</v>
      </c>
    </row>
    <row r="29" spans="1:14">
      <c r="A29" s="73" t="s">
        <v>429</v>
      </c>
      <c r="B29" s="74"/>
      <c r="C29" s="74"/>
      <c r="D29" s="74"/>
      <c r="E29" s="74"/>
      <c r="F29" s="74"/>
      <c r="G29" s="3088"/>
      <c r="I29" s="3059">
        <v>45</v>
      </c>
      <c r="J29" s="3059">
        <v>98.4</v>
      </c>
      <c r="K29" s="3059">
        <f t="shared" si="2"/>
        <v>2</v>
      </c>
    </row>
    <row r="30" spans="1:14">
      <c r="A30" s="73" t="s">
        <v>430</v>
      </c>
      <c r="B30" s="74"/>
      <c r="C30" s="74"/>
      <c r="D30" s="74"/>
      <c r="E30" s="74"/>
      <c r="F30" s="74"/>
      <c r="G30" s="3088"/>
      <c r="I30" s="3059">
        <v>50</v>
      </c>
      <c r="J30" s="3059">
        <v>100</v>
      </c>
      <c r="K30" s="3059">
        <f t="shared" si="2"/>
        <v>1.5999999999999901</v>
      </c>
    </row>
    <row r="31" spans="1:14">
      <c r="A31" s="73" t="s">
        <v>431</v>
      </c>
      <c r="B31" s="74"/>
      <c r="C31" s="74"/>
      <c r="D31" s="74"/>
      <c r="E31" s="74"/>
      <c r="F31" s="74"/>
      <c r="G31" s="3088"/>
      <c r="I31" s="3059" t="s">
        <v>432</v>
      </c>
    </row>
    <row r="32" spans="1:14">
      <c r="A32" s="73" t="s">
        <v>433</v>
      </c>
      <c r="B32" s="74"/>
      <c r="C32" s="74"/>
      <c r="D32" s="74"/>
      <c r="E32" s="74"/>
      <c r="F32" s="74"/>
      <c r="G32" s="3088"/>
    </row>
    <row r="33" spans="1:14">
      <c r="A33" s="73" t="s">
        <v>434</v>
      </c>
      <c r="B33" s="74"/>
      <c r="C33" s="74"/>
      <c r="D33" s="74"/>
      <c r="E33" s="74"/>
      <c r="F33" s="74"/>
      <c r="G33" s="3088"/>
      <c r="I33" s="3059" t="s">
        <v>410</v>
      </c>
      <c r="J33" s="3059" t="s">
        <v>435</v>
      </c>
    </row>
    <row r="34" spans="1:14">
      <c r="A34" s="73" t="s">
        <v>436</v>
      </c>
      <c r="B34" s="74"/>
      <c r="C34" s="74"/>
      <c r="D34" s="74"/>
      <c r="E34" s="74"/>
      <c r="F34" s="74"/>
      <c r="G34" s="3088"/>
      <c r="I34" s="3059">
        <v>5</v>
      </c>
      <c r="J34" s="3059">
        <v>55.1</v>
      </c>
    </row>
    <row r="35" spans="1:14">
      <c r="A35" s="73" t="s">
        <v>437</v>
      </c>
      <c r="B35" s="74"/>
      <c r="C35" s="74"/>
      <c r="D35" s="74"/>
      <c r="E35" s="74"/>
      <c r="F35" s="74"/>
      <c r="G35" s="3088"/>
      <c r="I35" s="3059">
        <v>10</v>
      </c>
      <c r="J35" s="3059">
        <v>67</v>
      </c>
      <c r="K35" s="3059">
        <f>J35-J34</f>
        <v>11.9</v>
      </c>
    </row>
    <row r="36" spans="1:14">
      <c r="A36" s="73" t="s">
        <v>438</v>
      </c>
      <c r="B36" s="74"/>
      <c r="C36" s="74"/>
      <c r="D36" s="74"/>
      <c r="E36" s="74"/>
      <c r="F36" s="74"/>
      <c r="G36" s="3088"/>
      <c r="I36" s="3059">
        <v>15</v>
      </c>
      <c r="J36" s="3059">
        <v>76.3</v>
      </c>
      <c r="K36" s="3059">
        <f t="shared" ref="K36:K41" si="3">J36-J35</f>
        <v>9.3000000000000007</v>
      </c>
      <c r="L36" s="3059" t="s">
        <v>418</v>
      </c>
      <c r="N36" s="3087" t="s">
        <v>419</v>
      </c>
    </row>
    <row r="37" spans="1:14">
      <c r="A37" s="73" t="s">
        <v>439</v>
      </c>
      <c r="B37" s="74"/>
      <c r="C37" s="74"/>
      <c r="D37" s="74"/>
      <c r="E37" s="74"/>
      <c r="F37" s="74"/>
      <c r="G37" s="3088"/>
      <c r="I37" s="3059">
        <v>20</v>
      </c>
      <c r="J37" s="3059">
        <v>83.6</v>
      </c>
      <c r="K37" s="3059">
        <f t="shared" si="3"/>
        <v>7.3</v>
      </c>
      <c r="L37" s="3059" t="s">
        <v>421</v>
      </c>
      <c r="N37" s="3087">
        <v>10</v>
      </c>
    </row>
    <row r="38" spans="1:14">
      <c r="A38" s="73" t="s">
        <v>440</v>
      </c>
      <c r="B38" s="74"/>
      <c r="C38" s="74"/>
      <c r="D38" s="74"/>
      <c r="E38" s="74"/>
      <c r="F38" s="74"/>
      <c r="G38" s="3088"/>
      <c r="I38" s="3059">
        <v>25</v>
      </c>
      <c r="J38" s="3059">
        <v>89.3</v>
      </c>
      <c r="K38" s="3059">
        <f t="shared" si="3"/>
        <v>5.7</v>
      </c>
      <c r="L38" s="3059" t="s">
        <v>423</v>
      </c>
      <c r="N38" s="3087">
        <v>8</v>
      </c>
    </row>
    <row r="39" spans="1:14">
      <c r="A39" s="73"/>
      <c r="B39" s="74"/>
      <c r="C39" s="74"/>
      <c r="D39" s="74"/>
      <c r="E39" s="74"/>
      <c r="F39" s="74"/>
      <c r="G39" s="3088"/>
      <c r="I39" s="3059">
        <v>30</v>
      </c>
      <c r="J39" s="3059">
        <v>93.8</v>
      </c>
      <c r="K39" s="3059">
        <f t="shared" si="3"/>
        <v>4.5</v>
      </c>
      <c r="L39" s="3059" t="s">
        <v>424</v>
      </c>
      <c r="N39" s="3087">
        <v>6</v>
      </c>
    </row>
    <row r="40" spans="1:14">
      <c r="A40" s="3089" t="s">
        <v>441</v>
      </c>
      <c r="B40" s="3090"/>
      <c r="C40" s="3090"/>
      <c r="D40" s="3090"/>
      <c r="E40" s="3090"/>
      <c r="F40" s="3090"/>
      <c r="G40" s="3091"/>
      <c r="I40" s="3059">
        <v>35</v>
      </c>
      <c r="J40" s="3059">
        <v>97.2</v>
      </c>
      <c r="K40" s="3059">
        <f t="shared" si="3"/>
        <v>3.4000000000000101</v>
      </c>
      <c r="L40" s="3059" t="s">
        <v>426</v>
      </c>
      <c r="N40" s="3087">
        <v>3</v>
      </c>
    </row>
    <row r="41" spans="1:14">
      <c r="A41" s="3092" t="s">
        <v>442</v>
      </c>
      <c r="B41" s="3093" t="s">
        <v>443</v>
      </c>
      <c r="C41" s="3094" t="s">
        <v>444</v>
      </c>
      <c r="D41" s="3094" t="s">
        <v>445</v>
      </c>
      <c r="E41" s="3095"/>
      <c r="F41" s="3096"/>
      <c r="G41" s="3097"/>
      <c r="I41" s="3059">
        <v>40</v>
      </c>
      <c r="J41" s="3059">
        <v>100</v>
      </c>
      <c r="K41" s="3059">
        <f t="shared" si="3"/>
        <v>2.8</v>
      </c>
    </row>
    <row r="42" spans="1:14">
      <c r="A42" s="3092" t="s">
        <v>233</v>
      </c>
      <c r="B42" s="3093" t="s">
        <v>446</v>
      </c>
      <c r="C42" s="3094" t="s">
        <v>446</v>
      </c>
      <c r="D42" s="3098" t="s">
        <v>447</v>
      </c>
      <c r="E42" s="3090" t="s">
        <v>448</v>
      </c>
      <c r="F42" s="3090"/>
      <c r="G42" s="3091"/>
    </row>
    <row r="43" spans="1:14">
      <c r="A43" s="3092" t="s">
        <v>232</v>
      </c>
      <c r="B43" s="3093" t="s">
        <v>449</v>
      </c>
      <c r="C43" s="3094" t="s">
        <v>450</v>
      </c>
      <c r="D43" s="3094" t="s">
        <v>451</v>
      </c>
      <c r="E43" s="3095" t="s">
        <v>452</v>
      </c>
      <c r="F43" s="3096"/>
      <c r="G43" s="3097"/>
      <c r="I43" s="3059" t="s">
        <v>410</v>
      </c>
      <c r="J43" s="3059" t="s">
        <v>453</v>
      </c>
    </row>
    <row r="44" spans="1:14">
      <c r="A44" s="3092" t="s">
        <v>454</v>
      </c>
      <c r="B44" s="3093" t="s">
        <v>455</v>
      </c>
      <c r="C44" s="3094" t="s">
        <v>456</v>
      </c>
      <c r="D44" s="3098">
        <v>0.5</v>
      </c>
      <c r="E44" s="3095" t="s">
        <v>457</v>
      </c>
      <c r="F44" s="3096"/>
      <c r="G44" s="3097"/>
      <c r="I44" s="3059">
        <v>30</v>
      </c>
      <c r="J44" s="3059">
        <v>81.7</v>
      </c>
    </row>
    <row r="45" spans="1:14">
      <c r="A45" s="3099" t="s">
        <v>458</v>
      </c>
      <c r="B45" s="3100" t="s">
        <v>446</v>
      </c>
      <c r="C45" s="3101" t="s">
        <v>446</v>
      </c>
      <c r="D45" s="3101" t="s">
        <v>459</v>
      </c>
      <c r="E45" s="3102" t="s">
        <v>460</v>
      </c>
      <c r="F45" s="3102"/>
      <c r="G45" s="3103"/>
      <c r="I45" s="3059">
        <v>40</v>
      </c>
      <c r="J45" s="3059">
        <v>89.2</v>
      </c>
      <c r="K45" s="3059">
        <f>J45-J44</f>
        <v>7.5</v>
      </c>
    </row>
    <row r="46" spans="1:14">
      <c r="I46" s="3059">
        <v>50</v>
      </c>
      <c r="J46" s="3059">
        <v>94.3</v>
      </c>
      <c r="K46" s="3059">
        <f t="shared" ref="K46:K47" si="4">J46-J45</f>
        <v>5.0999999999999899</v>
      </c>
    </row>
    <row r="47" spans="1:14">
      <c r="I47" s="3059">
        <v>60</v>
      </c>
      <c r="J47" s="3059">
        <v>97.7</v>
      </c>
      <c r="K47" s="3059">
        <f t="shared" si="4"/>
        <v>3.4000000000000101</v>
      </c>
    </row>
    <row r="49" spans="1:4">
      <c r="A49" s="3060" t="s">
        <v>461</v>
      </c>
    </row>
    <row r="50" spans="1:4">
      <c r="A50" s="3104" t="s">
        <v>462</v>
      </c>
      <c r="B50" s="3104" t="s">
        <v>463</v>
      </c>
      <c r="C50" s="3104" t="s">
        <v>464</v>
      </c>
      <c r="D50" s="3104" t="s">
        <v>465</v>
      </c>
    </row>
    <row r="51" spans="1:4">
      <c r="A51" s="3104" t="s">
        <v>466</v>
      </c>
      <c r="B51" s="3075">
        <f>B52+B53</f>
        <v>15000</v>
      </c>
      <c r="C51" s="3105">
        <f>D51/B51</f>
        <v>2666.6666666666702</v>
      </c>
      <c r="D51" s="3075">
        <f>D52+D53</f>
        <v>40000000</v>
      </c>
    </row>
    <row r="52" spans="1:4">
      <c r="A52" s="3106" t="s">
        <v>467</v>
      </c>
      <c r="B52" s="3107">
        <v>10000</v>
      </c>
      <c r="C52" s="3107">
        <v>1500</v>
      </c>
      <c r="D52" s="3108">
        <f>C52*B52</f>
        <v>15000000</v>
      </c>
    </row>
    <row r="53" spans="1:4">
      <c r="A53" s="3106" t="s">
        <v>468</v>
      </c>
      <c r="B53" s="3107">
        <v>5000</v>
      </c>
      <c r="C53" s="3107">
        <v>5000</v>
      </c>
      <c r="D53" s="3108">
        <f>C53*B53</f>
        <v>25000000</v>
      </c>
    </row>
    <row r="54" spans="1:4">
      <c r="A54" s="3104" t="s">
        <v>469</v>
      </c>
      <c r="B54" s="3075">
        <f>B51</f>
        <v>15000</v>
      </c>
      <c r="C54" s="3073">
        <v>700</v>
      </c>
      <c r="D54" s="3075">
        <f t="shared" ref="D54:D55" si="5">C54*B54</f>
        <v>10500000</v>
      </c>
    </row>
    <row r="55" spans="1:4">
      <c r="A55" s="3104" t="s">
        <v>470</v>
      </c>
      <c r="B55" s="3075">
        <f>B51</f>
        <v>15000</v>
      </c>
      <c r="C55" s="3073">
        <v>1500</v>
      </c>
      <c r="D55" s="3075">
        <f t="shared" si="5"/>
        <v>22500000</v>
      </c>
    </row>
    <row r="56" spans="1:4">
      <c r="A56" s="3104" t="s">
        <v>471</v>
      </c>
      <c r="B56" s="3075">
        <f>B51</f>
        <v>15000</v>
      </c>
      <c r="C56" s="3109">
        <f>C51+C54+C55</f>
        <v>4866.6666666666697</v>
      </c>
      <c r="D56" s="3075">
        <f>D51+D54+D55</f>
        <v>73000000</v>
      </c>
    </row>
    <row r="58" spans="1:4">
      <c r="A58" s="3104" t="s">
        <v>472</v>
      </c>
      <c r="B58" s="3110">
        <v>0.05</v>
      </c>
      <c r="C58" s="3075">
        <f>C56*(1+B58)</f>
        <v>5110</v>
      </c>
      <c r="D58" s="3075">
        <f>D56*B58</f>
        <v>3650000</v>
      </c>
    </row>
    <row r="60" spans="1:4">
      <c r="A60" s="3104" t="s">
        <v>473</v>
      </c>
      <c r="B60" s="3073">
        <v>3500</v>
      </c>
      <c r="C60" s="3073">
        <f>C53</f>
        <v>5000</v>
      </c>
      <c r="D60" s="3075">
        <f>C60*B60</f>
        <v>17500000</v>
      </c>
    </row>
    <row r="62" spans="1:4">
      <c r="A62" s="3104" t="s">
        <v>388</v>
      </c>
      <c r="B62" s="3073">
        <f>B51</f>
        <v>15000</v>
      </c>
      <c r="C62" s="3111">
        <f>D62/B62</f>
        <v>6276.6666666666697</v>
      </c>
      <c r="D62" s="3073">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7" sqref="G27"/>
    </sheetView>
  </sheetViews>
  <sheetFormatPr defaultColWidth="10" defaultRowHeight="13.2"/>
  <cols>
    <col min="1" max="1" width="16.88671875" style="2562" customWidth="1"/>
    <col min="2" max="2" width="10" style="2562" customWidth="1"/>
    <col min="3" max="3" width="11.44140625" style="2562" customWidth="1"/>
    <col min="4" max="4" width="10" style="2562" customWidth="1"/>
    <col min="5" max="5" width="12.6640625" style="2562" customWidth="1"/>
    <col min="6" max="6" width="10" style="2562" customWidth="1"/>
    <col min="7" max="7" width="10.77734375" style="2562" customWidth="1"/>
    <col min="8" max="8" width="10" style="2562" customWidth="1"/>
    <col min="9" max="9" width="11.109375" style="2801" customWidth="1"/>
    <col min="10" max="10" width="10" style="2737" customWidth="1"/>
    <col min="11" max="11" width="10" style="2942" customWidth="1"/>
    <col min="12" max="13" width="10" style="2943" customWidth="1"/>
    <col min="14" max="14" width="10" style="2737" customWidth="1"/>
    <col min="15" max="15" width="10" style="898" customWidth="1"/>
    <col min="16" max="17" width="10" style="2737"/>
    <col min="18" max="18" width="10" style="2737" customWidth="1"/>
    <col min="19" max="30" width="10" style="2737"/>
    <col min="31" max="16384" width="10" style="2562"/>
  </cols>
  <sheetData>
    <row r="1" spans="1:30">
      <c r="A1" s="2944" t="s">
        <v>474</v>
      </c>
      <c r="B1" s="3279"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80"/>
      <c r="D1" s="3280"/>
      <c r="E1" s="3280"/>
      <c r="F1" s="3280"/>
      <c r="G1" s="3280"/>
      <c r="H1" s="3280"/>
      <c r="I1" s="3281"/>
      <c r="J1" s="2525"/>
      <c r="K1" s="2945"/>
      <c r="L1" s="2946"/>
      <c r="M1" s="2946"/>
      <c r="N1" s="2947"/>
      <c r="O1" s="2374"/>
      <c r="P1" s="2947"/>
      <c r="Q1" s="2947"/>
      <c r="R1" s="2947"/>
      <c r="S1" s="2223"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2562"/>
      <c r="U1" s="2562"/>
      <c r="V1" s="2562"/>
      <c r="W1" s="2562"/>
      <c r="X1" s="2562"/>
      <c r="Y1" s="2562"/>
      <c r="Z1" s="2562"/>
      <c r="AA1" s="2562"/>
      <c r="AB1" s="2562"/>
    </row>
    <row r="2" spans="1:30">
      <c r="A2" s="2947" t="s">
        <v>475</v>
      </c>
      <c r="B2" s="900"/>
      <c r="D2" s="2948"/>
      <c r="E2" s="2949"/>
      <c r="F2" s="2949"/>
      <c r="G2" s="2735"/>
      <c r="H2" s="2735"/>
      <c r="I2" s="2735"/>
      <c r="J2" s="2525"/>
      <c r="K2" s="2945"/>
      <c r="L2" s="2946"/>
      <c r="M2" s="2946"/>
      <c r="N2" s="2947"/>
      <c r="O2" s="2374"/>
      <c r="P2" s="2947"/>
      <c r="Q2" s="2947"/>
      <c r="R2" s="2947"/>
      <c r="S2" s="2223"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2562"/>
      <c r="U2" s="2562"/>
      <c r="V2" s="2562"/>
      <c r="W2" s="2562"/>
      <c r="X2" s="2562"/>
      <c r="Y2" s="2562"/>
      <c r="Z2" s="2562"/>
      <c r="AA2" s="2562"/>
      <c r="AB2" s="2562"/>
    </row>
    <row r="3" spans="1:30">
      <c r="A3" s="1853" t="s">
        <v>476</v>
      </c>
      <c r="B3" s="2950"/>
      <c r="C3" s="2951" t="s">
        <v>477</v>
      </c>
      <c r="D3" s="2950">
        <v>46026</v>
      </c>
      <c r="E3" s="2735"/>
      <c r="F3" s="2735"/>
      <c r="G3" s="2735"/>
      <c r="H3" s="2735"/>
      <c r="I3" s="2735"/>
      <c r="J3" s="2525"/>
      <c r="K3" s="2945"/>
      <c r="L3" s="2946"/>
      <c r="M3" s="2946"/>
      <c r="N3" s="2947"/>
      <c r="O3" s="2374"/>
      <c r="P3" s="2947"/>
      <c r="Q3" s="2947"/>
      <c r="R3" s="2947"/>
      <c r="S3" s="2223"/>
      <c r="T3" s="2562"/>
      <c r="U3" s="2562"/>
      <c r="V3" s="2562"/>
      <c r="W3" s="2562"/>
      <c r="X3" s="2562"/>
      <c r="Y3" s="2562"/>
      <c r="Z3" s="2562"/>
      <c r="AA3" s="2562"/>
      <c r="AB3" s="2562"/>
    </row>
    <row r="4" spans="1:30">
      <c r="A4" s="1880" t="s">
        <v>478</v>
      </c>
      <c r="B4" s="2952" t="s">
        <v>191</v>
      </c>
      <c r="C4" s="2953">
        <f ca="1">SUMIF(注册房地产估价师,B4,估价师及机构信息!B3:B24)</f>
        <v>0</v>
      </c>
      <c r="D4" s="2952" t="s">
        <v>188</v>
      </c>
      <c r="E4" s="2953">
        <f ca="1">SUMIF(注册房地产估价师,D4,估价师及机构信息!B3:B24)</f>
        <v>0</v>
      </c>
      <c r="F4" s="2952"/>
      <c r="G4" s="2953">
        <f>SUMIF(注册房地产估价师,F4,估价师及机构信息!B3:B24)</f>
        <v>0</v>
      </c>
      <c r="H4" s="2952"/>
      <c r="I4" s="2953">
        <f>SUMIF(注册房地产估价师,H4,估价师及机构信息!B3:B24)</f>
        <v>0</v>
      </c>
      <c r="J4" s="2525"/>
      <c r="K4" s="2338" t="str">
        <f ca="1">CONCATENATE(B4,"（注册号：",C4,")、",D4,"（注册号：",E4,")")</f>
        <v>郑燚（注册号：0)、吴薇（注册号：0)</v>
      </c>
      <c r="L4" s="2946"/>
      <c r="M4" s="2946"/>
      <c r="N4" s="2947"/>
      <c r="O4" s="2374"/>
      <c r="P4" s="2947"/>
      <c r="Q4" s="2947"/>
      <c r="R4" s="2947"/>
      <c r="S4" s="2223"/>
      <c r="T4" s="2562"/>
      <c r="U4" s="2562"/>
      <c r="V4" s="2562"/>
      <c r="W4" s="2562"/>
      <c r="X4" s="2562"/>
      <c r="Y4" s="2562"/>
      <c r="Z4" s="2562"/>
      <c r="AA4" s="2562"/>
      <c r="AB4" s="2562"/>
    </row>
    <row r="5" spans="1:30">
      <c r="A5" s="2954" t="s">
        <v>479</v>
      </c>
      <c r="B5" s="2955"/>
      <c r="C5" s="2956"/>
      <c r="D5" s="2957"/>
      <c r="E5" s="2735"/>
      <c r="F5" s="2735"/>
      <c r="G5" s="2735"/>
      <c r="H5" s="2735"/>
      <c r="I5" s="2735"/>
      <c r="J5" s="2525"/>
      <c r="K5" s="2338" t="str">
        <f>IF(F4="——","",IF(H4="——",F4&amp;"（注册号："&amp;G4&amp;")",CONCATENATE(F4,"（注册号：",G4,")、",H4,"（注册号：",I4,")")))</f>
        <v>（注册号：0)、（注册号：0)</v>
      </c>
      <c r="L5" s="2946"/>
      <c r="M5" s="2946"/>
      <c r="N5" s="2947"/>
      <c r="O5" s="2374"/>
      <c r="P5" s="2947"/>
      <c r="Q5" s="2947"/>
      <c r="R5" s="2947"/>
      <c r="S5" s="2562"/>
      <c r="T5" s="2562"/>
      <c r="U5" s="2562"/>
      <c r="V5" s="2562"/>
      <c r="W5" s="2562"/>
      <c r="X5" s="2562"/>
      <c r="Y5" s="2562"/>
      <c r="Z5" s="2562"/>
      <c r="AA5" s="2562"/>
      <c r="AB5" s="2562"/>
    </row>
    <row r="6" spans="1:30">
      <c r="A6" s="2958" t="s">
        <v>480</v>
      </c>
      <c r="B6" s="2959"/>
      <c r="C6" s="2960"/>
      <c r="D6" s="2961"/>
      <c r="E6" s="2949"/>
      <c r="F6" s="2735"/>
      <c r="G6" s="2735"/>
      <c r="H6" s="2735"/>
      <c r="I6" s="2735"/>
      <c r="J6" s="2525"/>
      <c r="K6" s="2962" t="str">
        <f>IF(COUNTIF(B6,"*上海银行*"),"上海银行","")</f>
        <v/>
      </c>
      <c r="L6" s="2963"/>
      <c r="M6" s="2963"/>
      <c r="N6" s="2525"/>
      <c r="O6" s="2354"/>
      <c r="P6" s="2525"/>
      <c r="Q6" s="2525"/>
      <c r="R6" s="2525"/>
    </row>
    <row r="7" spans="1:30">
      <c r="A7" s="2958" t="s">
        <v>481</v>
      </c>
      <c r="B7" s="2964"/>
      <c r="C7" s="2960"/>
      <c r="D7" s="2961"/>
      <c r="E7" s="2949"/>
      <c r="F7" s="2735"/>
      <c r="G7" s="2735"/>
      <c r="H7" s="2735"/>
      <c r="I7" s="2735"/>
      <c r="J7" s="2525"/>
      <c r="K7" s="2965"/>
      <c r="L7" s="2963"/>
      <c r="M7" s="2963"/>
      <c r="N7" s="2525"/>
      <c r="O7" s="2354"/>
      <c r="P7" s="2525"/>
      <c r="Q7" s="2525"/>
      <c r="R7" s="2525"/>
    </row>
    <row r="8" spans="1:30">
      <c r="A8" s="2966" t="s">
        <v>482</v>
      </c>
      <c r="B8" s="2967" t="s">
        <v>363</v>
      </c>
      <c r="C8" s="2968"/>
      <c r="D8" s="3305" t="s">
        <v>483</v>
      </c>
      <c r="E8" s="2969" t="s">
        <v>368</v>
      </c>
      <c r="F8" s="2970"/>
      <c r="G8" s="2735"/>
      <c r="H8" s="2735"/>
      <c r="I8" s="2735"/>
      <c r="J8" s="2525"/>
      <c r="K8" s="2971"/>
      <c r="L8" s="2963"/>
      <c r="M8" s="2963"/>
      <c r="N8" s="2525"/>
      <c r="O8" s="2354"/>
      <c r="P8" s="2525"/>
      <c r="Q8" s="2525"/>
      <c r="R8" s="2525"/>
    </row>
    <row r="9" spans="1:30">
      <c r="A9" s="2972" t="s">
        <v>484</v>
      </c>
      <c r="B9" s="2973" t="s">
        <v>368</v>
      </c>
      <c r="C9" s="2974"/>
      <c r="D9" s="3306"/>
      <c r="E9" s="2973"/>
      <c r="F9" s="2975"/>
      <c r="G9" s="2976"/>
      <c r="H9" s="2976"/>
      <c r="I9" s="2976"/>
      <c r="J9" s="2525"/>
      <c r="K9" s="2965"/>
      <c r="L9" s="2963"/>
      <c r="M9" s="2963"/>
      <c r="N9" s="2525"/>
      <c r="O9" s="2354"/>
      <c r="P9" s="2525"/>
      <c r="Q9" s="2525"/>
      <c r="R9" s="2525"/>
    </row>
    <row r="10" spans="1:30">
      <c r="A10" s="2977" t="s">
        <v>485</v>
      </c>
      <c r="B10" s="2978" t="s">
        <v>486</v>
      </c>
      <c r="C10" s="2979"/>
      <c r="D10" s="2957"/>
      <c r="E10" s="2980" t="s">
        <v>487</v>
      </c>
      <c r="F10" s="2981" t="s">
        <v>488</v>
      </c>
      <c r="G10" s="2982"/>
      <c r="H10" s="2983"/>
      <c r="I10" s="2984"/>
      <c r="J10" s="2525"/>
      <c r="K10" s="2965"/>
      <c r="L10" s="2963"/>
      <c r="M10" s="2963"/>
      <c r="N10" s="2525"/>
      <c r="O10" s="2354"/>
      <c r="P10" s="2525"/>
      <c r="Q10" s="2525"/>
      <c r="R10" s="2525"/>
    </row>
    <row r="11" spans="1:30">
      <c r="A11" s="2985" t="s">
        <v>489</v>
      </c>
      <c r="B11" s="2986" t="s">
        <v>490</v>
      </c>
      <c r="C11" s="2987"/>
      <c r="D11" s="2988"/>
      <c r="E11" s="2947"/>
      <c r="F11" s="2947"/>
      <c r="G11" s="2947"/>
      <c r="H11" s="2947"/>
      <c r="I11" s="2947"/>
      <c r="J11" s="2989"/>
      <c r="K11" s="2963"/>
      <c r="L11" s="2963"/>
      <c r="M11" s="2963"/>
      <c r="N11" s="2525"/>
      <c r="O11" s="2354"/>
      <c r="P11" s="2525"/>
      <c r="Q11" s="2525"/>
      <c r="R11" s="2525"/>
    </row>
    <row r="12" spans="1:30">
      <c r="A12" s="2990" t="s">
        <v>491</v>
      </c>
      <c r="B12" s="1916" t="s">
        <v>492</v>
      </c>
      <c r="C12" s="2991" t="s">
        <v>493</v>
      </c>
      <c r="D12" s="2991" t="s">
        <v>494</v>
      </c>
      <c r="E12" s="2991" t="s">
        <v>495</v>
      </c>
      <c r="F12" s="2991" t="s">
        <v>496</v>
      </c>
      <c r="G12" s="2991" t="s">
        <v>497</v>
      </c>
      <c r="H12" s="2991" t="s">
        <v>498</v>
      </c>
      <c r="I12" s="2992" t="s">
        <v>231</v>
      </c>
      <c r="J12" s="2993"/>
      <c r="K12" s="2963"/>
      <c r="L12" s="2963"/>
      <c r="M12" s="2525"/>
      <c r="N12" s="2354"/>
      <c r="O12" s="2525"/>
      <c r="P12" s="2525"/>
      <c r="Q12" s="2525"/>
      <c r="AD12" s="2562"/>
    </row>
    <row r="13" spans="1:30">
      <c r="A13" s="2994" t="s">
        <v>499</v>
      </c>
      <c r="B13" s="2995" t="s">
        <v>500</v>
      </c>
      <c r="C13" s="2996"/>
      <c r="D13" s="2996">
        <v>58329</v>
      </c>
      <c r="E13" s="2996">
        <v>61982</v>
      </c>
      <c r="F13" s="2996"/>
      <c r="G13" s="2996"/>
      <c r="H13" s="2996"/>
      <c r="I13" s="2996"/>
      <c r="J13" s="2993"/>
      <c r="K13" s="2963"/>
      <c r="L13" s="2963"/>
      <c r="M13" s="2525"/>
      <c r="N13" s="2354"/>
      <c r="O13" s="2525"/>
      <c r="P13" s="2525"/>
      <c r="Q13" s="2525"/>
      <c r="AD13" s="2562"/>
    </row>
    <row r="14" spans="1:30">
      <c r="A14" s="1887"/>
      <c r="B14" s="2995" t="s">
        <v>501</v>
      </c>
      <c r="C14" s="2997"/>
      <c r="D14" s="2997">
        <v>40</v>
      </c>
      <c r="E14" s="2997">
        <v>50</v>
      </c>
      <c r="F14" s="2997"/>
      <c r="G14" s="2997"/>
      <c r="H14" s="2997"/>
      <c r="I14" s="2997"/>
      <c r="J14" s="2998"/>
      <c r="K14" s="2963"/>
      <c r="L14" s="2963"/>
      <c r="M14" s="2525"/>
      <c r="N14" s="2354"/>
      <c r="O14" s="2525"/>
      <c r="P14" s="2525"/>
      <c r="Q14" s="2525"/>
      <c r="AD14" s="2562"/>
    </row>
    <row r="15" spans="1:30">
      <c r="A15" s="1901"/>
      <c r="B15" s="2999" t="s">
        <v>502</v>
      </c>
      <c r="C15" s="3000" t="str">
        <f>IF(A13="出让",IF(C13="","",ROUNDDOWN(MIN((C13-$D$3)/365,C14),2)),C14)</f>
        <v/>
      </c>
      <c r="D15" s="3000">
        <f>IF(A13="出让",IF(D13="","",ROUNDDOWN(MIN((D13-$D$3)/365,D14),2)),D14)</f>
        <v>33.700000000000003</v>
      </c>
      <c r="E15" s="3000">
        <f>IF(A13="出让",IF(E13="","",ROUNDDOWN(MIN((E13-$D$3)/365,E14),2)),E14)</f>
        <v>43.71</v>
      </c>
      <c r="F15" s="3000" t="str">
        <f>IF(A13="出让",IF(F13="","",ROUNDDOWN(MIN((F13-$D$3)/365,F14),2)),F14)</f>
        <v/>
      </c>
      <c r="G15" s="3000" t="str">
        <f>IF(A13="出让",IF(G13="","",ROUNDDOWN(MIN((G13-$D$3)/365,G14),2)),G14)</f>
        <v/>
      </c>
      <c r="H15" s="3000" t="str">
        <f>IF(A13="出让",IF(H13="","",ROUNDDOWN(MIN((H13-$D$3)/365,H14),2)),H14)</f>
        <v/>
      </c>
      <c r="I15" s="3000" t="str">
        <f>IF(A13="出让",IF(I13="","",ROUNDDOWN(MIN((I13-$D$3)/365,I14),2)),I14)</f>
        <v/>
      </c>
      <c r="J15" s="3001"/>
      <c r="K15" s="2354"/>
      <c r="L15" s="2354"/>
      <c r="M15" s="2525"/>
      <c r="N15" s="2354"/>
      <c r="O15" s="2525"/>
      <c r="P15" s="2525"/>
      <c r="Q15" s="2525"/>
      <c r="AD15" s="2562"/>
    </row>
    <row r="16" spans="1:30">
      <c r="A16" s="2980" t="s">
        <v>503</v>
      </c>
      <c r="B16" s="3282"/>
      <c r="C16" s="3283"/>
      <c r="D16" s="3284"/>
      <c r="E16" s="3002" t="s">
        <v>504</v>
      </c>
      <c r="F16" s="3285"/>
      <c r="G16" s="3286"/>
      <c r="H16" s="3286"/>
      <c r="I16" s="3287"/>
      <c r="J16" s="2525"/>
      <c r="K16" s="3003"/>
      <c r="L16" s="2354"/>
      <c r="M16" s="2354"/>
      <c r="N16" s="2525"/>
      <c r="O16" s="2354"/>
      <c r="P16" s="2525"/>
      <c r="Q16" s="2525"/>
      <c r="R16" s="2525"/>
    </row>
    <row r="17" spans="1:28">
      <c r="A17" s="1864" t="s">
        <v>505</v>
      </c>
      <c r="B17" s="1853" t="s">
        <v>506</v>
      </c>
      <c r="C17" s="1000">
        <f>'数据-汇总表'!E3</f>
        <v>154306.03</v>
      </c>
      <c r="D17" s="1912" t="s">
        <v>507</v>
      </c>
      <c r="E17" s="3288" t="s">
        <v>508</v>
      </c>
      <c r="F17" s="3289"/>
      <c r="G17" s="3289"/>
      <c r="H17" s="3289"/>
      <c r="I17" s="3290"/>
      <c r="J17" s="2525"/>
      <c r="K17" s="3004"/>
      <c r="L17" s="2354"/>
      <c r="M17" s="2354"/>
      <c r="N17" s="2525"/>
      <c r="O17" s="2354"/>
      <c r="P17" s="2525"/>
      <c r="Q17" s="2525"/>
      <c r="R17" s="2525"/>
      <c r="S17" s="2525"/>
      <c r="T17" s="2525"/>
      <c r="U17" s="2525"/>
      <c r="V17" s="2525"/>
    </row>
    <row r="18" spans="1:28" ht="24">
      <c r="A18" s="3005" t="s">
        <v>509</v>
      </c>
      <c r="B18" s="1880" t="s">
        <v>510</v>
      </c>
      <c r="C18" s="3006">
        <f>'数据-汇总表'!D3</f>
        <v>42276.47</v>
      </c>
      <c r="D18" s="1928" t="s">
        <v>507</v>
      </c>
      <c r="E18" s="3291" t="s">
        <v>511</v>
      </c>
      <c r="F18" s="3292"/>
      <c r="G18" s="3292"/>
      <c r="H18" s="3292"/>
      <c r="I18" s="3293"/>
      <c r="J18" s="2525"/>
      <c r="K18" s="3004"/>
      <c r="L18" s="2354"/>
      <c r="M18" s="2354"/>
      <c r="N18" s="2525"/>
      <c r="O18" s="2354"/>
      <c r="P18" s="2525"/>
      <c r="Q18" s="2525"/>
      <c r="R18" s="2525"/>
      <c r="S18" s="2525"/>
      <c r="T18" s="2525"/>
      <c r="U18" s="2525"/>
      <c r="V18" s="2525"/>
    </row>
    <row r="19" spans="1:28" ht="36">
      <c r="A19" s="1923" t="s">
        <v>512</v>
      </c>
      <c r="B19" s="1859" t="s">
        <v>513</v>
      </c>
      <c r="C19" s="3007"/>
      <c r="D19" s="3008" t="s">
        <v>514</v>
      </c>
      <c r="E19" s="3009"/>
      <c r="F19" s="3010" t="str">
        <f>IF(AND(C19="是",E19="否"),"是否提供他项权证或相关说明","")</f>
        <v/>
      </c>
      <c r="G19" s="3011"/>
      <c r="H19" s="2735"/>
      <c r="I19" s="2735"/>
      <c r="J19" s="2525"/>
      <c r="K19" s="2965"/>
      <c r="L19" s="2963"/>
      <c r="M19" s="2963"/>
      <c r="N19" s="2525"/>
      <c r="O19" s="2354"/>
      <c r="P19" s="2525"/>
      <c r="Q19" s="2525"/>
      <c r="R19" s="2525"/>
      <c r="S19" s="2525"/>
      <c r="T19" s="2525"/>
      <c r="U19" s="2525"/>
      <c r="V19" s="2525"/>
    </row>
    <row r="20" spans="1:28">
      <c r="A20" s="3012" t="s">
        <v>515</v>
      </c>
      <c r="B20" s="3294" t="s">
        <v>516</v>
      </c>
      <c r="C20" s="3295"/>
      <c r="D20" s="3296" t="s">
        <v>517</v>
      </c>
      <c r="E20" s="3297"/>
      <c r="F20" s="3013" t="s">
        <v>518</v>
      </c>
      <c r="G20" s="2735"/>
      <c r="H20" s="2735"/>
      <c r="I20" s="2735"/>
      <c r="J20" s="2525"/>
      <c r="K20" s="3307" t="s">
        <v>519</v>
      </c>
      <c r="L20" s="18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6"/>
      <c r="N20" s="2947"/>
      <c r="O20" s="2374"/>
      <c r="P20" s="2947"/>
      <c r="Q20" s="2947"/>
      <c r="R20" s="2947"/>
      <c r="S20" s="2947"/>
      <c r="T20" s="2947"/>
      <c r="U20" s="2947"/>
      <c r="V20" s="2947"/>
      <c r="W20" s="2562"/>
      <c r="X20" s="2562"/>
      <c r="Y20" s="2562"/>
      <c r="Z20" s="2562"/>
      <c r="AA20" s="2562"/>
      <c r="AB20" s="2562"/>
    </row>
    <row r="21" spans="1:28" ht="36">
      <c r="A21" s="3012"/>
      <c r="B21" s="3014" t="s">
        <v>520</v>
      </c>
      <c r="C21" s="2554" t="s">
        <v>521</v>
      </c>
      <c r="D21" s="3015" t="s">
        <v>522</v>
      </c>
      <c r="E21" s="3016" t="s">
        <v>521</v>
      </c>
      <c r="F21" s="3017"/>
      <c r="G21" s="2735"/>
      <c r="H21" s="2735"/>
      <c r="I21" s="2735"/>
      <c r="J21" s="2525"/>
      <c r="K21" s="3307"/>
      <c r="L21" s="18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6"/>
      <c r="N21" s="2947"/>
      <c r="O21" s="2374"/>
      <c r="P21" s="2947"/>
      <c r="Q21" s="2947"/>
      <c r="R21" s="2947"/>
      <c r="S21" s="2947"/>
      <c r="T21" s="2947"/>
      <c r="U21" s="2947"/>
      <c r="V21" s="2947"/>
      <c r="W21" s="2562"/>
      <c r="X21" s="2562"/>
      <c r="Y21" s="2562"/>
      <c r="Z21" s="2562"/>
      <c r="AA21" s="2562"/>
      <c r="AB21" s="2562"/>
    </row>
    <row r="22" spans="1:28" ht="36">
      <c r="A22" s="3012"/>
      <c r="B22" s="3018" t="s">
        <v>523</v>
      </c>
      <c r="C22" s="2554" t="s">
        <v>524</v>
      </c>
      <c r="D22" s="2735"/>
      <c r="E22" s="2735"/>
      <c r="F22" s="2735"/>
      <c r="G22" s="2735"/>
      <c r="H22" s="2735"/>
      <c r="I22" s="2735"/>
      <c r="J22" s="2525"/>
      <c r="K22" s="3307"/>
      <c r="L22" s="18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6"/>
      <c r="N22" s="2947"/>
      <c r="O22" s="2374"/>
      <c r="P22" s="2947"/>
      <c r="Q22" s="2947"/>
      <c r="R22" s="2947"/>
      <c r="S22" s="2947"/>
      <c r="T22" s="2947"/>
      <c r="U22" s="2947"/>
      <c r="V22" s="2947"/>
      <c r="W22" s="2562"/>
      <c r="X22" s="2562"/>
      <c r="Y22" s="2562"/>
      <c r="Z22" s="2562"/>
      <c r="AA22" s="2562"/>
      <c r="AB22" s="2562"/>
    </row>
    <row r="23" spans="1:28">
      <c r="A23" s="3019" t="s">
        <v>525</v>
      </c>
      <c r="B23" s="2551" t="s">
        <v>526</v>
      </c>
      <c r="C23" s="3020"/>
      <c r="D23" s="3021" t="s">
        <v>526</v>
      </c>
      <c r="E23" s="3022"/>
      <c r="F23" s="2735"/>
      <c r="G23" s="2735"/>
      <c r="H23" s="2735"/>
      <c r="I23" s="2735"/>
      <c r="J23" s="2525"/>
      <c r="K23" s="2962"/>
      <c r="L23" s="985"/>
      <c r="M23" s="2963"/>
      <c r="N23" s="2525"/>
      <c r="O23" s="2354"/>
      <c r="P23" s="2525"/>
      <c r="Q23" s="2525"/>
      <c r="R23" s="2525"/>
      <c r="S23" s="2525"/>
      <c r="T23" s="2525"/>
      <c r="U23" s="2525"/>
      <c r="V23" s="2525"/>
    </row>
    <row r="24" spans="1:28">
      <c r="A24" s="3019"/>
      <c r="B24" s="2551" t="s">
        <v>527</v>
      </c>
      <c r="C24" s="2523"/>
      <c r="D24" s="3019" t="s">
        <v>527</v>
      </c>
      <c r="E24" s="3023"/>
      <c r="F24" s="2735"/>
      <c r="G24" s="2735"/>
      <c r="H24" s="2735"/>
      <c r="I24" s="2735"/>
      <c r="J24" s="2525"/>
      <c r="K24" s="2962"/>
      <c r="L24" s="985"/>
      <c r="M24" s="2963"/>
      <c r="N24" s="2525"/>
      <c r="O24" s="2354"/>
      <c r="P24" s="2525"/>
      <c r="Q24" s="2525"/>
      <c r="R24" s="2525"/>
      <c r="S24" s="2525"/>
      <c r="T24" s="2525"/>
      <c r="U24" s="2525"/>
      <c r="V24" s="2525"/>
    </row>
    <row r="25" spans="1:28">
      <c r="A25" s="3019"/>
      <c r="B25" s="2551" t="s">
        <v>528</v>
      </c>
      <c r="C25" s="2523"/>
      <c r="D25" s="3019" t="s">
        <v>528</v>
      </c>
      <c r="E25" s="3023"/>
      <c r="F25" s="2735"/>
      <c r="G25" s="2735"/>
      <c r="H25" s="2735"/>
      <c r="I25" s="2735"/>
      <c r="J25" s="2525"/>
      <c r="K25" s="2965"/>
      <c r="L25" s="2963"/>
      <c r="M25" s="2963"/>
      <c r="N25" s="2525"/>
      <c r="O25" s="2354"/>
      <c r="P25" s="2525"/>
      <c r="Q25" s="2525"/>
      <c r="R25" s="2525"/>
      <c r="S25" s="2525"/>
      <c r="T25" s="2525"/>
      <c r="U25" s="2525"/>
      <c r="V25" s="2525"/>
    </row>
    <row r="26" spans="1:28">
      <c r="A26" s="3024"/>
      <c r="B26" s="3025" t="s">
        <v>529</v>
      </c>
      <c r="C26" s="3026"/>
      <c r="D26" s="3024" t="s">
        <v>529</v>
      </c>
      <c r="E26" s="3027"/>
      <c r="F26" s="2976"/>
      <c r="G26" s="2976"/>
      <c r="H26" s="2976"/>
      <c r="I26" s="2976"/>
      <c r="J26" s="2525"/>
      <c r="K26" s="2965"/>
      <c r="L26" s="2963"/>
      <c r="M26" s="2963"/>
      <c r="N26" s="2525"/>
      <c r="O26" s="2354"/>
      <c r="P26" s="2525"/>
      <c r="Q26" s="2525"/>
      <c r="R26" s="2525"/>
      <c r="S26" s="2525"/>
      <c r="T26" s="2525"/>
      <c r="U26" s="2525"/>
      <c r="V26" s="2525"/>
    </row>
    <row r="27" spans="1:28">
      <c r="A27" s="3301" t="s">
        <v>530</v>
      </c>
      <c r="B27" s="1901" t="s">
        <v>531</v>
      </c>
      <c r="C27" s="3028"/>
      <c r="D27" s="3029"/>
      <c r="E27" s="2735"/>
      <c r="F27" s="2735"/>
      <c r="G27" s="2735"/>
      <c r="H27" s="2735"/>
      <c r="I27" s="2735"/>
      <c r="J27" s="2525"/>
      <c r="K27" s="3003"/>
      <c r="L27" s="2354"/>
      <c r="M27" s="2354"/>
      <c r="N27" s="2525"/>
      <c r="O27" s="2354"/>
      <c r="P27" s="2525"/>
      <c r="Q27" s="2525"/>
      <c r="R27" s="2525"/>
      <c r="S27" s="2525"/>
      <c r="T27" s="2525"/>
      <c r="U27" s="2525"/>
      <c r="V27" s="2525"/>
    </row>
    <row r="28" spans="1:28">
      <c r="A28" s="3301"/>
      <c r="B28" s="1853" t="s">
        <v>532</v>
      </c>
      <c r="C28" s="3030"/>
      <c r="D28" s="3031"/>
      <c r="E28" s="2735"/>
      <c r="F28" s="2735"/>
      <c r="G28" s="2735"/>
      <c r="H28" s="2735"/>
      <c r="I28" s="2735"/>
      <c r="J28" s="2525"/>
      <c r="K28" s="2965"/>
      <c r="L28" s="2963"/>
      <c r="M28" s="2963"/>
      <c r="N28" s="2525"/>
      <c r="O28" s="2354"/>
      <c r="P28" s="2525"/>
      <c r="Q28" s="2525"/>
      <c r="R28" s="2525"/>
      <c r="S28" s="2525"/>
      <c r="T28" s="2525"/>
      <c r="U28" s="2525"/>
      <c r="V28" s="2525"/>
    </row>
    <row r="29" spans="1:28">
      <c r="A29" s="3301"/>
      <c r="B29" s="1853" t="s">
        <v>533</v>
      </c>
      <c r="C29" s="3032"/>
      <c r="D29" s="3033"/>
      <c r="E29" s="2735"/>
      <c r="F29" s="2735"/>
      <c r="G29" s="2735"/>
      <c r="H29" s="2735"/>
      <c r="I29" s="2735"/>
      <c r="J29" s="2525"/>
      <c r="K29" s="2965"/>
      <c r="L29" s="2963"/>
      <c r="M29" s="2963"/>
      <c r="N29" s="2525"/>
      <c r="O29" s="2354"/>
      <c r="P29" s="2525"/>
      <c r="Q29" s="2525"/>
      <c r="R29" s="2525"/>
      <c r="S29" s="2525"/>
      <c r="T29" s="2525"/>
      <c r="U29" s="2525"/>
      <c r="V29" s="2525"/>
    </row>
    <row r="30" spans="1:28">
      <c r="A30" s="3302"/>
      <c r="B30" s="1853" t="s">
        <v>534</v>
      </c>
      <c r="C30" s="3298"/>
      <c r="D30" s="3299"/>
      <c r="E30" s="2735"/>
      <c r="F30" s="2735"/>
      <c r="G30" s="2735"/>
      <c r="H30" s="2735"/>
      <c r="I30" s="2735"/>
      <c r="J30" s="2525"/>
      <c r="K30" s="2965"/>
      <c r="L30" s="2963"/>
      <c r="M30" s="2963"/>
      <c r="N30" s="2525"/>
      <c r="O30" s="2354"/>
      <c r="P30" s="2525"/>
      <c r="Q30" s="2525"/>
      <c r="R30" s="2525"/>
      <c r="S30" s="2525"/>
      <c r="T30" s="2525"/>
      <c r="U30" s="2525"/>
      <c r="V30" s="2525"/>
    </row>
    <row r="31" spans="1:28">
      <c r="A31" s="3303" t="s">
        <v>535</v>
      </c>
      <c r="B31" s="3034"/>
      <c r="C31" s="1898" t="str">
        <f>IF(B31="现房","成新及维护状况正常否",IF(B31="在建","工程状态是否正常",IF(B31="土地","是否闲置","-")))</f>
        <v>-</v>
      </c>
      <c r="D31" s="2093"/>
      <c r="E31" s="3035"/>
      <c r="F31" s="2735"/>
      <c r="G31" s="2735"/>
      <c r="H31" s="2735"/>
      <c r="I31" s="2735"/>
      <c r="J31" s="2525"/>
      <c r="K31" s="2962"/>
      <c r="L31" s="2963"/>
      <c r="M31" s="2963"/>
      <c r="N31" s="2525"/>
      <c r="O31" s="2354"/>
      <c r="P31" s="2525"/>
      <c r="Q31" s="2525"/>
      <c r="R31" s="2525"/>
      <c r="S31" s="2525"/>
      <c r="T31" s="2525"/>
      <c r="U31" s="2525"/>
      <c r="V31" s="2525"/>
    </row>
    <row r="32" spans="1:28">
      <c r="A32" s="3304"/>
      <c r="B32" s="3034"/>
      <c r="C32" s="1898" t="str">
        <f>IF(B32="现房","成新及维护状况是否正常",IF(B32="在建","工程状态是否正常",IF(B32="土地","是否闲置","-")))</f>
        <v>-</v>
      </c>
      <c r="D32" s="2093"/>
      <c r="E32" s="3035"/>
      <c r="F32" s="2735"/>
      <c r="G32" s="2735"/>
      <c r="H32" s="2735"/>
      <c r="I32" s="2735"/>
      <c r="J32" s="2525"/>
      <c r="K32" s="2965"/>
      <c r="L32" s="2963"/>
      <c r="M32" s="2963"/>
      <c r="N32" s="2525"/>
      <c r="O32" s="2354"/>
      <c r="P32" s="2525"/>
      <c r="Q32" s="2525"/>
      <c r="R32" s="2525"/>
      <c r="S32" s="2525"/>
      <c r="T32" s="2525"/>
      <c r="U32" s="2525"/>
      <c r="V32" s="2525"/>
    </row>
    <row r="33" spans="1:30">
      <c r="A33" s="3304"/>
      <c r="B33" s="3036"/>
      <c r="C33" s="2333" t="str">
        <f>IF(B33="现房","成新及维护状况是否正常",IF(B33="在建","工程状态是否正常",IF(B33="土地","是否闲置","-")))</f>
        <v>-</v>
      </c>
      <c r="D33" s="1866"/>
      <c r="E33" s="3037"/>
      <c r="F33" s="2735"/>
      <c r="G33" s="2735"/>
      <c r="H33" s="2735"/>
      <c r="I33" s="2735"/>
      <c r="J33" s="2525"/>
      <c r="K33" s="2965"/>
      <c r="L33" s="2963"/>
      <c r="M33" s="2963"/>
      <c r="N33" s="2525"/>
      <c r="O33" s="2354"/>
      <c r="P33" s="2525"/>
      <c r="Q33" s="2525"/>
      <c r="R33" s="2525"/>
      <c r="S33" s="2525"/>
      <c r="T33" s="2525"/>
      <c r="U33" s="2525"/>
      <c r="V33" s="2525"/>
    </row>
    <row r="34" spans="1:30">
      <c r="A34" s="1853" t="s">
        <v>536</v>
      </c>
      <c r="B34" s="567" t="s">
        <v>380</v>
      </c>
      <c r="C34" s="567" t="s">
        <v>381</v>
      </c>
      <c r="D34" s="567" t="s">
        <v>382</v>
      </c>
      <c r="E34" s="567" t="s">
        <v>383</v>
      </c>
      <c r="F34" s="567" t="s">
        <v>384</v>
      </c>
      <c r="G34" s="567" t="s">
        <v>537</v>
      </c>
      <c r="H34" s="567"/>
      <c r="I34" s="2735"/>
      <c r="J34" s="2525"/>
      <c r="K34" s="1000">
        <f>COUNTIF(B34:H34,"——")</f>
        <v>0</v>
      </c>
      <c r="L34" s="1916" t="s">
        <v>538</v>
      </c>
      <c r="M34" s="1916" t="s">
        <v>539</v>
      </c>
      <c r="N34" s="1916" t="s">
        <v>540</v>
      </c>
      <c r="O34" s="1916" t="s">
        <v>541</v>
      </c>
      <c r="P34" s="1916" t="s">
        <v>542</v>
      </c>
      <c r="Q34" s="1916" t="s">
        <v>543</v>
      </c>
      <c r="R34" s="1916" t="s">
        <v>544</v>
      </c>
      <c r="S34" s="3300" t="s">
        <v>545</v>
      </c>
      <c r="T34" s="1916" t="str">
        <f>NUMBERSTRING(7-K34,1)&amp;"通"</f>
        <v>七通</v>
      </c>
      <c r="U34" s="2525"/>
      <c r="V34" s="2525"/>
    </row>
    <row r="35" spans="1:30">
      <c r="A35" s="3038"/>
      <c r="B35" s="3300" t="s">
        <v>546</v>
      </c>
      <c r="C35" s="3300"/>
      <c r="D35" s="3300"/>
      <c r="E35" s="3300"/>
      <c r="F35" s="1000">
        <f>C10</f>
        <v>0</v>
      </c>
      <c r="G35" s="2735"/>
      <c r="H35" s="2735"/>
      <c r="I35" s="2735"/>
      <c r="J35" s="2525"/>
      <c r="K35" s="1916"/>
      <c r="L35" s="1916"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300"/>
      <c r="T35" s="902" t="str">
        <f>IF(T34="一通",L35,IF(T34="二通",M35,IF(T34="三通",N35,IF(T34="四通",O35,IF(T34="五通",P35,IF(T34="六通",Q35,R35))))))</f>
        <v>通路、通电、通讯、通上水、通下水、燃气、</v>
      </c>
      <c r="U35" s="2525"/>
      <c r="V35" s="2525"/>
    </row>
    <row r="36" spans="1:30">
      <c r="A36" s="2945"/>
      <c r="B36" s="1000" t="s">
        <v>494</v>
      </c>
      <c r="C36" s="1000" t="s">
        <v>495</v>
      </c>
      <c r="D36" s="1000" t="s">
        <v>493</v>
      </c>
      <c r="E36" s="1000" t="s">
        <v>498</v>
      </c>
      <c r="F36" s="2992" t="s">
        <v>231</v>
      </c>
      <c r="G36" s="2735"/>
      <c r="H36" s="2735"/>
      <c r="I36" s="2735"/>
      <c r="J36" s="2525"/>
      <c r="K36" s="2965"/>
      <c r="L36" s="2963"/>
      <c r="M36" s="2963"/>
      <c r="N36" s="2525"/>
      <c r="O36" s="2354"/>
      <c r="P36" s="2525"/>
      <c r="Q36" s="2525"/>
      <c r="R36" s="2525"/>
      <c r="S36" s="2525"/>
      <c r="T36" s="2525"/>
      <c r="U36" s="2525"/>
      <c r="V36" s="2525"/>
    </row>
    <row r="37" spans="1:30">
      <c r="A37" s="3039" t="s">
        <v>547</v>
      </c>
      <c r="B37" s="3040" t="s">
        <v>303</v>
      </c>
      <c r="C37" s="3040" t="s">
        <v>303</v>
      </c>
      <c r="D37" s="3040" t="s">
        <v>303</v>
      </c>
      <c r="E37" s="3040"/>
      <c r="F37" s="3040"/>
      <c r="G37" s="2735"/>
      <c r="H37" s="2735"/>
      <c r="I37" s="2735"/>
      <c r="J37" s="2525"/>
      <c r="K37" s="2965"/>
      <c r="L37" s="2963"/>
      <c r="M37" s="2963"/>
      <c r="N37" s="2525"/>
      <c r="O37" s="2354"/>
      <c r="P37" s="2525"/>
      <c r="Q37" s="2525"/>
      <c r="R37" s="2525"/>
      <c r="S37" s="2525"/>
      <c r="T37" s="2525"/>
      <c r="U37" s="2525"/>
      <c r="V37" s="2525"/>
    </row>
    <row r="38" spans="1:30">
      <c r="A38" s="3041" t="s">
        <v>548</v>
      </c>
      <c r="B38" s="3042" t="s">
        <v>549</v>
      </c>
      <c r="C38" s="3042" t="s">
        <v>549</v>
      </c>
      <c r="D38" s="3042"/>
      <c r="E38" s="3042"/>
      <c r="F38" s="3042"/>
      <c r="G38" s="2976"/>
      <c r="H38" s="2976"/>
      <c r="I38" s="2976"/>
      <c r="J38" s="2525"/>
      <c r="K38" s="2965"/>
      <c r="L38" s="2963"/>
      <c r="M38" s="2963"/>
      <c r="N38" s="2525"/>
      <c r="O38" s="2354"/>
      <c r="P38" s="2525"/>
      <c r="Q38" s="2525"/>
      <c r="R38" s="2525"/>
      <c r="S38" s="2525"/>
      <c r="T38" s="2525"/>
      <c r="U38" s="2525"/>
      <c r="V38" s="2525"/>
    </row>
    <row r="39" spans="1:30" s="2941" customFormat="1">
      <c r="A39" s="3043" t="s">
        <v>550</v>
      </c>
      <c r="B39" s="3044"/>
      <c r="C39" s="3044"/>
      <c r="D39" s="3044"/>
      <c r="E39" s="3044"/>
      <c r="F39" s="3044"/>
      <c r="G39" s="3044"/>
      <c r="H39" s="3044"/>
      <c r="I39" s="3044"/>
      <c r="J39" s="3045"/>
      <c r="K39" s="3046"/>
      <c r="L39" s="3045"/>
      <c r="M39" s="3045"/>
      <c r="N39" s="3045"/>
      <c r="O39" s="3047"/>
      <c r="P39" s="3045"/>
      <c r="Q39" s="3045"/>
      <c r="R39" s="3045"/>
      <c r="S39" s="3045"/>
      <c r="T39" s="3045"/>
      <c r="U39" s="3045"/>
      <c r="V39" s="3045"/>
      <c r="W39" s="3048"/>
      <c r="X39" s="3048"/>
      <c r="Y39" s="3048"/>
      <c r="Z39" s="3048"/>
      <c r="AA39" s="3048"/>
      <c r="AB39" s="3048"/>
      <c r="AC39" s="3048"/>
      <c r="AD39" s="3048"/>
    </row>
    <row r="40" spans="1:30">
      <c r="A40" s="2947"/>
      <c r="B40" s="2947"/>
      <c r="C40" s="2947"/>
      <c r="D40" s="2947"/>
      <c r="E40" s="2947"/>
      <c r="F40" s="2947"/>
      <c r="G40" s="2947"/>
      <c r="H40" s="2947"/>
      <c r="I40" s="2374"/>
      <c r="J40" s="2525"/>
      <c r="K40" s="2962"/>
      <c r="L40" s="2354"/>
      <c r="M40" s="2354"/>
      <c r="N40" s="2525"/>
      <c r="O40" s="2354"/>
      <c r="P40" s="2525"/>
      <c r="Q40" s="2525"/>
      <c r="R40" s="2525"/>
      <c r="S40" s="2525"/>
      <c r="T40" s="2525"/>
      <c r="U40" s="2525"/>
      <c r="V40" s="2525"/>
    </row>
    <row r="41" spans="1:30">
      <c r="A41" s="3049" t="s">
        <v>551</v>
      </c>
      <c r="B41" s="2236"/>
      <c r="C41" s="2093"/>
      <c r="D41" s="2947"/>
      <c r="E41" s="2947"/>
      <c r="F41" s="2947"/>
      <c r="G41" s="2947"/>
      <c r="H41" s="2947"/>
      <c r="I41" s="2374"/>
      <c r="J41" s="2525"/>
      <c r="K41" s="2965"/>
      <c r="L41" s="2963"/>
      <c r="M41" s="2963"/>
      <c r="N41" s="2525"/>
      <c r="O41" s="2354"/>
      <c r="P41" s="2525"/>
      <c r="Q41" s="2525"/>
      <c r="R41" s="2525"/>
      <c r="S41" s="2525"/>
      <c r="T41" s="2525"/>
      <c r="U41" s="2525"/>
      <c r="V41" s="2525"/>
    </row>
    <row r="42" spans="1:30" ht="25.2">
      <c r="A42" s="1916" t="s">
        <v>552</v>
      </c>
      <c r="B42" s="1000" t="s">
        <v>553</v>
      </c>
      <c r="C42" s="1000" t="s">
        <v>554</v>
      </c>
      <c r="D42" s="1000" t="s">
        <v>555</v>
      </c>
      <c r="E42" s="1000" t="s">
        <v>556</v>
      </c>
      <c r="F42" s="1000" t="s">
        <v>557</v>
      </c>
      <c r="G42" s="1000" t="s">
        <v>558</v>
      </c>
      <c r="H42" s="1000" t="s">
        <v>559</v>
      </c>
      <c r="I42" s="1000" t="s">
        <v>560</v>
      </c>
      <c r="J42" s="3050" t="s">
        <v>561</v>
      </c>
      <c r="K42" s="3051" t="s">
        <v>562</v>
      </c>
      <c r="L42" s="3051" t="s">
        <v>563</v>
      </c>
      <c r="M42" s="3051" t="s">
        <v>564</v>
      </c>
      <c r="N42" s="3052" t="s">
        <v>565</v>
      </c>
      <c r="O42" s="3052" t="s">
        <v>566</v>
      </c>
      <c r="P42" s="3052" t="s">
        <v>567</v>
      </c>
      <c r="Q42" s="3053" t="s">
        <v>568</v>
      </c>
      <c r="R42" s="3053" t="s">
        <v>569</v>
      </c>
      <c r="S42" s="2525"/>
      <c r="T42" s="2525"/>
      <c r="U42" s="2525"/>
      <c r="V42" s="2525"/>
    </row>
    <row r="43" spans="1:30" s="2737" customFormat="1">
      <c r="A43" s="2869"/>
      <c r="B43" s="914"/>
      <c r="C43" s="914"/>
      <c r="D43" s="914"/>
      <c r="E43" s="914"/>
      <c r="F43" s="914"/>
      <c r="G43" s="914"/>
      <c r="H43" s="914"/>
      <c r="I43" s="914"/>
      <c r="J43" s="3054"/>
      <c r="K43" s="3055"/>
      <c r="L43" s="3055"/>
      <c r="M43" s="914"/>
      <c r="N43" s="914"/>
      <c r="O43" s="914"/>
      <c r="P43" s="914"/>
      <c r="Q43" s="914"/>
      <c r="R43" s="914"/>
      <c r="S43" s="2525"/>
      <c r="T43" s="2525"/>
      <c r="U43" s="2525"/>
      <c r="V43" s="2525"/>
    </row>
    <row r="44" spans="1:30" s="2737" customFormat="1">
      <c r="A44" s="2869"/>
      <c r="B44" s="2869"/>
      <c r="C44" s="914"/>
      <c r="D44" s="914"/>
      <c r="E44" s="914"/>
      <c r="F44" s="914"/>
      <c r="G44" s="914"/>
      <c r="H44" s="914"/>
      <c r="I44" s="914"/>
      <c r="J44" s="3054"/>
      <c r="K44" s="3055"/>
      <c r="L44" s="3055"/>
      <c r="M44" s="914"/>
      <c r="N44" s="914"/>
      <c r="O44" s="914"/>
      <c r="P44" s="914"/>
      <c r="Q44" s="914"/>
      <c r="R44" s="914"/>
      <c r="S44" s="2525"/>
      <c r="T44" s="2525"/>
      <c r="U44" s="2525"/>
      <c r="V44" s="2525"/>
    </row>
    <row r="45" spans="1:30" s="2737" customFormat="1">
      <c r="A45" s="2869"/>
      <c r="B45" s="2869"/>
      <c r="C45" s="914"/>
      <c r="D45" s="914"/>
      <c r="E45" s="914"/>
      <c r="F45" s="914"/>
      <c r="G45" s="914"/>
      <c r="H45" s="914"/>
      <c r="I45" s="914"/>
      <c r="J45" s="3054"/>
      <c r="K45" s="3055"/>
      <c r="L45" s="3055"/>
      <c r="M45" s="914"/>
      <c r="N45" s="914"/>
      <c r="O45" s="914"/>
      <c r="P45" s="914"/>
      <c r="Q45" s="914"/>
      <c r="R45" s="914"/>
      <c r="S45" s="2525"/>
      <c r="T45" s="2525"/>
      <c r="U45" s="2525"/>
      <c r="V45" s="2525"/>
    </row>
    <row r="46" spans="1:30" s="2737" customFormat="1">
      <c r="A46" s="2869"/>
      <c r="B46" s="2869"/>
      <c r="C46" s="914"/>
      <c r="D46" s="914"/>
      <c r="E46" s="914"/>
      <c r="F46" s="914"/>
      <c r="G46" s="914"/>
      <c r="H46" s="914"/>
      <c r="I46" s="914"/>
      <c r="J46" s="3054"/>
      <c r="K46" s="3055"/>
      <c r="L46" s="3055"/>
      <c r="M46" s="914"/>
      <c r="N46" s="914"/>
      <c r="O46" s="914"/>
      <c r="P46" s="914"/>
      <c r="Q46" s="914"/>
      <c r="R46" s="914"/>
      <c r="S46" s="2525"/>
      <c r="T46" s="2525"/>
      <c r="U46" s="2525"/>
      <c r="V46" s="2525"/>
    </row>
    <row r="47" spans="1:30" s="2737" customFormat="1">
      <c r="A47" s="2869"/>
      <c r="B47" s="2869"/>
      <c r="C47" s="914"/>
      <c r="D47" s="914"/>
      <c r="E47" s="914"/>
      <c r="F47" s="914"/>
      <c r="G47" s="914"/>
      <c r="H47" s="914"/>
      <c r="I47" s="914"/>
      <c r="J47" s="3054"/>
      <c r="K47" s="3055"/>
      <c r="L47" s="3055"/>
      <c r="M47" s="914"/>
      <c r="N47" s="914"/>
      <c r="O47" s="914"/>
      <c r="P47" s="914"/>
      <c r="Q47" s="914"/>
      <c r="R47" s="914"/>
      <c r="S47" s="2525"/>
      <c r="T47" s="2525"/>
      <c r="U47" s="2525"/>
      <c r="V47" s="2525"/>
    </row>
    <row r="48" spans="1:30" s="2737" customFormat="1">
      <c r="A48" s="2869"/>
      <c r="B48" s="2869"/>
      <c r="C48" s="914"/>
      <c r="D48" s="914"/>
      <c r="E48" s="914"/>
      <c r="F48" s="914"/>
      <c r="G48" s="914"/>
      <c r="H48" s="914"/>
      <c r="I48" s="914"/>
      <c r="J48" s="3054"/>
      <c r="K48" s="3055"/>
      <c r="L48" s="3055"/>
      <c r="M48" s="914"/>
      <c r="N48" s="914"/>
      <c r="O48" s="914"/>
      <c r="P48" s="914"/>
      <c r="Q48" s="914"/>
      <c r="R48" s="914"/>
      <c r="S48" s="2525"/>
      <c r="T48" s="2525"/>
      <c r="U48" s="2525"/>
      <c r="V48" s="2525"/>
    </row>
    <row r="49" spans="1:22" s="2737" customFormat="1">
      <c r="A49" s="2869"/>
      <c r="B49" s="2869"/>
      <c r="C49" s="914"/>
      <c r="D49" s="914"/>
      <c r="E49" s="914"/>
      <c r="F49" s="914"/>
      <c r="G49" s="914"/>
      <c r="H49" s="914"/>
      <c r="I49" s="914"/>
      <c r="J49" s="3054"/>
      <c r="K49" s="3055"/>
      <c r="L49" s="3055"/>
      <c r="M49" s="914"/>
      <c r="N49" s="914"/>
      <c r="O49" s="914"/>
      <c r="P49" s="914"/>
      <c r="Q49" s="914"/>
      <c r="R49" s="914"/>
      <c r="S49" s="2525"/>
      <c r="T49" s="2525"/>
      <c r="U49" s="2525"/>
      <c r="V49" s="2525"/>
    </row>
    <row r="50" spans="1:22" s="2737" customFormat="1">
      <c r="A50" s="2869"/>
      <c r="B50" s="2869"/>
      <c r="C50" s="914"/>
      <c r="D50" s="914"/>
      <c r="E50" s="914"/>
      <c r="F50" s="914"/>
      <c r="G50" s="914"/>
      <c r="H50" s="914"/>
      <c r="I50" s="914"/>
      <c r="J50" s="3054"/>
      <c r="K50" s="3055"/>
      <c r="L50" s="3055"/>
      <c r="M50" s="914"/>
      <c r="N50" s="914"/>
      <c r="O50" s="914"/>
      <c r="P50" s="914"/>
      <c r="Q50" s="914"/>
      <c r="R50" s="914"/>
      <c r="S50" s="2525"/>
      <c r="T50" s="2525"/>
      <c r="U50" s="2525"/>
      <c r="V50" s="2525"/>
    </row>
    <row r="51" spans="1:22" s="2737" customFormat="1">
      <c r="A51" s="2869"/>
      <c r="B51" s="2869"/>
      <c r="C51" s="914"/>
      <c r="D51" s="914"/>
      <c r="E51" s="914"/>
      <c r="F51" s="914"/>
      <c r="G51" s="914"/>
      <c r="H51" s="914"/>
      <c r="I51" s="914"/>
      <c r="J51" s="3054"/>
      <c r="K51" s="3055"/>
      <c r="L51" s="3055"/>
      <c r="M51" s="914"/>
      <c r="N51" s="914"/>
      <c r="O51" s="914"/>
      <c r="P51" s="914"/>
      <c r="Q51" s="914"/>
      <c r="R51" s="914"/>
    </row>
    <row r="52" spans="1:22" s="2737" customFormat="1">
      <c r="A52" s="2869"/>
      <c r="B52" s="2869"/>
      <c r="C52" s="2869"/>
      <c r="D52" s="2869"/>
      <c r="E52" s="2869"/>
      <c r="F52" s="914"/>
      <c r="G52" s="2869"/>
      <c r="H52" s="2869"/>
      <c r="I52" s="2869"/>
      <c r="J52" s="3056"/>
      <c r="K52" s="3055"/>
      <c r="L52" s="3055"/>
      <c r="M52" s="3055"/>
      <c r="N52" s="2869"/>
      <c r="O52" s="2869"/>
      <c r="P52" s="2869"/>
      <c r="Q52" s="2869"/>
      <c r="R52" s="2869"/>
    </row>
    <row r="53" spans="1:22" s="2737" customFormat="1">
      <c r="A53" s="2869"/>
      <c r="B53" s="2869"/>
      <c r="C53" s="2869"/>
      <c r="D53" s="2869"/>
      <c r="E53" s="2869"/>
      <c r="F53" s="914"/>
      <c r="G53" s="2869"/>
      <c r="H53" s="2869"/>
      <c r="I53" s="2869"/>
      <c r="J53" s="3056"/>
      <c r="K53" s="3055"/>
      <c r="L53" s="3055"/>
      <c r="M53" s="3055"/>
      <c r="N53" s="2869"/>
      <c r="O53" s="2869"/>
      <c r="P53" s="2869"/>
      <c r="Q53" s="2869"/>
      <c r="R53" s="2869"/>
    </row>
    <row r="54" spans="1:22" s="2737" customFormat="1">
      <c r="A54" s="2869"/>
      <c r="B54" s="2869"/>
      <c r="C54" s="2869"/>
      <c r="D54" s="2869"/>
      <c r="E54" s="2869"/>
      <c r="F54" s="914"/>
      <c r="G54" s="2869"/>
      <c r="H54" s="2869"/>
      <c r="I54" s="2869"/>
      <c r="J54" s="3056"/>
      <c r="K54" s="3055"/>
      <c r="L54" s="3055"/>
      <c r="M54" s="3055"/>
      <c r="N54" s="2869"/>
      <c r="O54" s="2869"/>
      <c r="P54" s="2869"/>
      <c r="Q54" s="2869"/>
      <c r="R54" s="2869"/>
    </row>
    <row r="55" spans="1:22" s="2737" customFormat="1">
      <c r="A55" s="2869"/>
      <c r="B55" s="2869"/>
      <c r="C55" s="2869"/>
      <c r="D55" s="2869"/>
      <c r="E55" s="2869"/>
      <c r="F55" s="914"/>
      <c r="G55" s="2869"/>
      <c r="H55" s="2869"/>
      <c r="I55" s="2869"/>
      <c r="J55" s="3056"/>
      <c r="K55" s="3055"/>
      <c r="L55" s="3055"/>
      <c r="M55" s="3055"/>
      <c r="N55" s="2869"/>
      <c r="O55" s="2869"/>
      <c r="P55" s="2869"/>
      <c r="Q55" s="2869"/>
      <c r="R55" s="2869"/>
    </row>
    <row r="56" spans="1:22" s="2737" customFormat="1">
      <c r="A56" s="2869"/>
      <c r="B56" s="2869"/>
      <c r="C56" s="2869"/>
      <c r="D56" s="2869"/>
      <c r="E56" s="2869"/>
      <c r="F56" s="914"/>
      <c r="G56" s="2869"/>
      <c r="H56" s="2869"/>
      <c r="I56" s="2869"/>
      <c r="J56" s="3056"/>
      <c r="K56" s="3055"/>
      <c r="L56" s="3055"/>
      <c r="M56" s="3055"/>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8"/>
  <sheetViews>
    <sheetView topLeftCell="B9" workbookViewId="0">
      <selection activeCell="H41" sqref="H41"/>
    </sheetView>
  </sheetViews>
  <sheetFormatPr defaultColWidth="9" defaultRowHeight="14.4"/>
  <cols>
    <col min="1" max="1" width="9.33203125" style="2883" customWidth="1"/>
    <col min="2" max="2" width="16.109375" style="2883" customWidth="1"/>
    <col min="3" max="3" width="14.44140625" style="2883" customWidth="1"/>
    <col min="4" max="4" width="12.6640625" style="2883" customWidth="1"/>
    <col min="5" max="5" width="13" style="2883" customWidth="1"/>
    <col min="6" max="6" width="16.88671875" style="2883" hidden="1" customWidth="1"/>
    <col min="7" max="7" width="13.88671875" style="2883" customWidth="1"/>
    <col min="8" max="8" width="9.33203125" style="2883"/>
    <col min="9" max="9" width="9" style="2883"/>
    <col min="10" max="10" width="12.6640625" style="2883" customWidth="1"/>
    <col min="11" max="16384" width="9" style="2883"/>
  </cols>
  <sheetData>
    <row r="1" spans="1:18" ht="15.6">
      <c r="A1" s="2884"/>
      <c r="B1" s="2884" t="s">
        <v>570</v>
      </c>
    </row>
    <row r="2" spans="1:18" ht="15.6">
      <c r="A2" s="2884" t="s">
        <v>571</v>
      </c>
      <c r="B2" s="2884" t="s">
        <v>572</v>
      </c>
    </row>
    <row r="3" spans="1:18" ht="15.6">
      <c r="A3" s="2884" t="s">
        <v>390</v>
      </c>
      <c r="B3" s="2885">
        <v>58329</v>
      </c>
    </row>
    <row r="4" spans="1:18" ht="15.6">
      <c r="A4" s="2884"/>
      <c r="B4" s="2885">
        <v>61982</v>
      </c>
    </row>
    <row r="5" spans="1:18" ht="15.6">
      <c r="A5" s="2884" t="s">
        <v>573</v>
      </c>
      <c r="B5" s="2886">
        <v>42276.47</v>
      </c>
    </row>
    <row r="6" spans="1:18" ht="15.6">
      <c r="A6" s="2887" t="s">
        <v>574</v>
      </c>
      <c r="B6" s="2888" t="s">
        <v>575</v>
      </c>
      <c r="H6" s="2883" t="s">
        <v>576</v>
      </c>
    </row>
    <row r="7" spans="1:18">
      <c r="H7" s="2883">
        <v>107000</v>
      </c>
    </row>
    <row r="8" spans="1:18" ht="16.2">
      <c r="A8" s="2889" t="s">
        <v>577</v>
      </c>
      <c r="B8" s="2889" t="s">
        <v>578</v>
      </c>
      <c r="C8" s="2889" t="s">
        <v>579</v>
      </c>
      <c r="D8" s="2889" t="s">
        <v>580</v>
      </c>
      <c r="E8" s="2889" t="s">
        <v>581</v>
      </c>
      <c r="F8" s="2889" t="s">
        <v>582</v>
      </c>
      <c r="G8" s="2889" t="s">
        <v>583</v>
      </c>
    </row>
    <row r="9" spans="1:18" ht="16.2">
      <c r="A9" s="2890">
        <v>1</v>
      </c>
      <c r="B9" s="2891" t="s">
        <v>584</v>
      </c>
      <c r="C9" s="2890">
        <v>20538.810000000001</v>
      </c>
      <c r="D9" s="2890">
        <v>7465.05</v>
      </c>
      <c r="E9" s="2890">
        <f>C9-D9</f>
        <v>13073.76</v>
      </c>
      <c r="F9" s="2890">
        <v>177.5</v>
      </c>
      <c r="G9" s="2890" t="s">
        <v>585</v>
      </c>
      <c r="I9" s="2892" t="s">
        <v>586</v>
      </c>
      <c r="J9" s="2892" t="s">
        <v>463</v>
      </c>
      <c r="K9" s="2892" t="s">
        <v>587</v>
      </c>
      <c r="L9" s="2892" t="s">
        <v>588</v>
      </c>
      <c r="M9" s="2892" t="s">
        <v>589</v>
      </c>
    </row>
    <row r="10" spans="1:18" ht="16.2">
      <c r="A10" s="2890">
        <v>2</v>
      </c>
      <c r="B10" s="2891" t="s">
        <v>590</v>
      </c>
      <c r="C10" s="2890">
        <v>28080.68</v>
      </c>
      <c r="D10" s="2890">
        <v>76.180000000000007</v>
      </c>
      <c r="E10" s="2890">
        <f t="shared" ref="E10:E20" si="0">C10-D10</f>
        <v>28004.5</v>
      </c>
      <c r="F10" s="2890">
        <v>234.4</v>
      </c>
      <c r="G10" s="2890" t="s">
        <v>585</v>
      </c>
      <c r="I10" s="2892">
        <v>1</v>
      </c>
      <c r="J10" s="2892">
        <f>F12</f>
        <v>9434.2999999999993</v>
      </c>
      <c r="K10" s="2892">
        <v>1</v>
      </c>
      <c r="L10" s="2892">
        <v>15</v>
      </c>
      <c r="M10" s="2892">
        <f>J10*L10/E12</f>
        <v>8.4022065555432892</v>
      </c>
      <c r="O10" s="2883">
        <f>L10*J10/E12</f>
        <v>8.4022065555432892</v>
      </c>
      <c r="R10" s="2883">
        <f>L10*J10</f>
        <v>141514.5</v>
      </c>
    </row>
    <row r="11" spans="1:18" ht="16.2">
      <c r="A11" s="2890">
        <v>3</v>
      </c>
      <c r="B11" s="2891" t="s">
        <v>591</v>
      </c>
      <c r="C11" s="2890">
        <v>28880.14</v>
      </c>
      <c r="D11" s="2890">
        <v>80.25</v>
      </c>
      <c r="E11" s="2890">
        <f t="shared" si="0"/>
        <v>28799.89</v>
      </c>
      <c r="F11" s="2890">
        <v>9897.1</v>
      </c>
      <c r="G11" s="2890" t="s">
        <v>592</v>
      </c>
      <c r="H11" s="2883">
        <f>H7-E12-E13-E15-E17-E18-E19</f>
        <v>23083.83</v>
      </c>
      <c r="I11" s="2892">
        <v>2</v>
      </c>
      <c r="J11" s="2892">
        <f>F13</f>
        <v>9238.5</v>
      </c>
      <c r="K11" s="2892">
        <v>0.75</v>
      </c>
      <c r="L11" s="2892">
        <f>$L$10*K11</f>
        <v>11.25</v>
      </c>
      <c r="M11" s="2892">
        <f>J11*L11/E13</f>
        <v>6.5801157072826104</v>
      </c>
      <c r="O11" s="2883">
        <f>L11*J11/(E13+E14)</f>
        <v>6.5515081316187596</v>
      </c>
      <c r="R11" s="2883">
        <f t="shared" ref="R11:R15" si="1">L11*J11</f>
        <v>103933.125</v>
      </c>
    </row>
    <row r="12" spans="1:18" ht="16.2">
      <c r="A12" s="2890">
        <v>4</v>
      </c>
      <c r="B12" s="2891" t="s">
        <v>593</v>
      </c>
      <c r="C12" s="2890">
        <v>16911.669999999998</v>
      </c>
      <c r="D12" s="2890">
        <v>69.13</v>
      </c>
      <c r="E12" s="2890">
        <f t="shared" si="0"/>
        <v>16842.54</v>
      </c>
      <c r="F12" s="2890">
        <v>9434.2999999999993</v>
      </c>
      <c r="G12" s="2890" t="s">
        <v>229</v>
      </c>
      <c r="H12" s="2893">
        <f>F12/E12</f>
        <v>0.56014710370288601</v>
      </c>
      <c r="I12" s="2892">
        <v>3</v>
      </c>
      <c r="J12" s="2892">
        <f>F15</f>
        <v>10172.5</v>
      </c>
      <c r="K12" s="2892">
        <v>0.65</v>
      </c>
      <c r="L12" s="2892">
        <f t="shared" ref="L12:L16" si="2">$L$10*K12</f>
        <v>9.75</v>
      </c>
      <c r="M12" s="2892">
        <f>J12*L12/E15</f>
        <v>5.93307293629515</v>
      </c>
      <c r="O12" s="2883">
        <f>L12*H15</f>
        <v>5.93307293629515</v>
      </c>
      <c r="R12" s="2883">
        <f t="shared" si="1"/>
        <v>99181.875</v>
      </c>
    </row>
    <row r="13" spans="1:18" ht="16.2">
      <c r="A13" s="2890">
        <v>5</v>
      </c>
      <c r="B13" s="2891" t="s">
        <v>594</v>
      </c>
      <c r="C13" s="2890">
        <v>15795.03</v>
      </c>
      <c r="D13" s="2890"/>
      <c r="E13" s="2890">
        <f t="shared" si="0"/>
        <v>15795.03</v>
      </c>
      <c r="F13" s="2890">
        <v>9238.5</v>
      </c>
      <c r="G13" s="2890" t="s">
        <v>229</v>
      </c>
      <c r="H13" s="2893">
        <f>F13/E13</f>
        <v>0.58489917398067603</v>
      </c>
      <c r="I13" s="2892">
        <v>4</v>
      </c>
      <c r="J13" s="2892">
        <f>F17</f>
        <v>9581.6</v>
      </c>
      <c r="K13" s="2892">
        <v>0.6</v>
      </c>
      <c r="L13" s="2892">
        <f t="shared" si="2"/>
        <v>9</v>
      </c>
      <c r="M13" s="2892">
        <f>J13*L13/E17</f>
        <v>5.2824751816581301</v>
      </c>
      <c r="O13" s="2883">
        <f>L13*H17</f>
        <v>5.2824751816581301</v>
      </c>
      <c r="R13" s="2883">
        <f t="shared" si="1"/>
        <v>86234.4</v>
      </c>
    </row>
    <row r="14" spans="1:18" ht="16.2">
      <c r="A14" s="2892">
        <v>6</v>
      </c>
      <c r="B14" s="2894" t="s">
        <v>595</v>
      </c>
      <c r="C14" s="2892">
        <v>68.97</v>
      </c>
      <c r="D14" s="2892"/>
      <c r="E14" s="2892">
        <f t="shared" si="0"/>
        <v>68.97</v>
      </c>
      <c r="F14" s="2892"/>
      <c r="G14" s="2892"/>
      <c r="H14" s="2895"/>
      <c r="I14" s="2892">
        <v>5</v>
      </c>
      <c r="J14" s="2892">
        <f>F18</f>
        <v>11342.6</v>
      </c>
      <c r="K14" s="2892">
        <v>0.5</v>
      </c>
      <c r="L14" s="2892">
        <f t="shared" si="2"/>
        <v>7.5</v>
      </c>
      <c r="M14" s="2892">
        <f t="shared" ref="M14:M15" si="3">J14*L14/E18</f>
        <v>5.2537300343807303</v>
      </c>
      <c r="O14" s="2883">
        <f>L14*J14/E18</f>
        <v>5.2537300343807303</v>
      </c>
      <c r="R14" s="2883">
        <f t="shared" si="1"/>
        <v>85069.5</v>
      </c>
    </row>
    <row r="15" spans="1:18" ht="16.2">
      <c r="A15" s="2890">
        <v>7</v>
      </c>
      <c r="B15" s="2891" t="s">
        <v>596</v>
      </c>
      <c r="C15" s="2890">
        <v>16716.78</v>
      </c>
      <c r="D15" s="2890"/>
      <c r="E15" s="2890">
        <f t="shared" si="0"/>
        <v>16716.78</v>
      </c>
      <c r="F15" s="2890">
        <v>10172.5</v>
      </c>
      <c r="G15" s="2890" t="s">
        <v>229</v>
      </c>
      <c r="H15" s="2893">
        <f>F15/E15</f>
        <v>0.60852030115847699</v>
      </c>
      <c r="I15" s="2892">
        <v>6</v>
      </c>
      <c r="J15" s="2892">
        <f>F19</f>
        <v>1009.7</v>
      </c>
      <c r="K15" s="2892">
        <v>0.4</v>
      </c>
      <c r="L15" s="2892">
        <f t="shared" si="2"/>
        <v>6</v>
      </c>
      <c r="M15" s="2892">
        <f t="shared" si="3"/>
        <v>2.9624594741294601</v>
      </c>
      <c r="O15" s="2883">
        <f>L15*J15/E19</f>
        <v>2.9624594741294601</v>
      </c>
      <c r="R15" s="2883">
        <f t="shared" si="1"/>
        <v>6058.2</v>
      </c>
    </row>
    <row r="16" spans="1:18" ht="16.2">
      <c r="A16" s="2892">
        <v>8</v>
      </c>
      <c r="B16" s="2894" t="s">
        <v>597</v>
      </c>
      <c r="C16" s="2892">
        <v>191.65</v>
      </c>
      <c r="D16" s="2892"/>
      <c r="E16" s="2892">
        <f t="shared" si="0"/>
        <v>191.65</v>
      </c>
      <c r="F16" s="2892"/>
      <c r="G16" s="2892"/>
      <c r="H16" s="2893"/>
      <c r="I16" s="2892">
        <v>-1</v>
      </c>
      <c r="J16" s="2892">
        <f>F11</f>
        <v>9897.1</v>
      </c>
      <c r="K16" s="2892">
        <v>0.4</v>
      </c>
      <c r="L16" s="2892">
        <f t="shared" si="2"/>
        <v>6</v>
      </c>
      <c r="M16" s="2892"/>
    </row>
    <row r="17" spans="1:18" ht="16.2">
      <c r="A17" s="2890">
        <v>9</v>
      </c>
      <c r="B17" s="2891" t="s">
        <v>598</v>
      </c>
      <c r="C17" s="2890">
        <v>16324.62</v>
      </c>
      <c r="D17" s="2890"/>
      <c r="E17" s="2890">
        <f t="shared" si="0"/>
        <v>16324.62</v>
      </c>
      <c r="F17" s="2890">
        <v>9581.6</v>
      </c>
      <c r="G17" s="2890" t="s">
        <v>229</v>
      </c>
      <c r="H17" s="2893">
        <f>F17/E17</f>
        <v>0.58694168685090398</v>
      </c>
      <c r="I17" s="2892"/>
      <c r="J17" s="2896">
        <f>SUM(J10:J16)</f>
        <v>60676.3</v>
      </c>
      <c r="K17" s="2892"/>
      <c r="L17" s="2897">
        <f>SUMPRODUCT(L10:L16,J10:J16)/J17</f>
        <v>9.5815697397501207</v>
      </c>
      <c r="M17" s="2897"/>
      <c r="N17" s="2883">
        <f>J17/(E21-E9-E10-(E11-J16))</f>
        <v>0.64326862300951504</v>
      </c>
      <c r="O17" s="2883">
        <f>L17*N17</f>
        <v>6.1635231727586897</v>
      </c>
      <c r="R17" s="2883">
        <f>L17*J17/(E21-E9-E10-E11-E20)</f>
        <v>6.90658553266287</v>
      </c>
    </row>
    <row r="18" spans="1:18" ht="16.2">
      <c r="A18" s="2890">
        <v>10</v>
      </c>
      <c r="B18" s="2891" t="s">
        <v>599</v>
      </c>
      <c r="C18" s="2890">
        <v>16192.21</v>
      </c>
      <c r="D18" s="2890"/>
      <c r="E18" s="2890">
        <f t="shared" si="0"/>
        <v>16192.21</v>
      </c>
      <c r="F18" s="2890">
        <v>11342.6</v>
      </c>
      <c r="G18" s="2890" t="s">
        <v>229</v>
      </c>
      <c r="I18" s="2892"/>
      <c r="J18" s="2896">
        <f>E21</f>
        <v>154306.03</v>
      </c>
      <c r="K18" s="2892"/>
      <c r="L18" s="2897">
        <f>J17*L17/J18</f>
        <v>3.76766999967532</v>
      </c>
      <c r="M18" s="2897"/>
    </row>
    <row r="19" spans="1:18" ht="16.2">
      <c r="A19" s="2890">
        <v>11</v>
      </c>
      <c r="B19" s="2891" t="s">
        <v>600</v>
      </c>
      <c r="C19" s="2890">
        <v>2055.5500000000002</v>
      </c>
      <c r="D19" s="2890">
        <v>10.56</v>
      </c>
      <c r="E19" s="2890">
        <f t="shared" si="0"/>
        <v>2044.99</v>
      </c>
      <c r="F19" s="2890">
        <v>1009.7</v>
      </c>
      <c r="G19" s="2890" t="s">
        <v>230</v>
      </c>
      <c r="I19" s="2892"/>
      <c r="J19" s="2892">
        <f>'[1]数据-汇总表'!F31</f>
        <v>84427.88</v>
      </c>
      <c r="K19" s="2892"/>
      <c r="L19" s="2897">
        <f>L17*J17/J19</f>
        <v>6.8860452258187701</v>
      </c>
      <c r="M19" s="2897"/>
    </row>
    <row r="20" spans="1:18" ht="16.2">
      <c r="A20" s="2892">
        <v>12</v>
      </c>
      <c r="B20" s="2894" t="s">
        <v>601</v>
      </c>
      <c r="C20" s="2892">
        <v>251.09</v>
      </c>
      <c r="D20" s="2892"/>
      <c r="E20" s="2892">
        <f t="shared" si="0"/>
        <v>251.09</v>
      </c>
      <c r="F20" s="2892"/>
      <c r="G20" s="2892"/>
    </row>
    <row r="21" spans="1:18" s="2882" customFormat="1" ht="16.2">
      <c r="A21" s="2898"/>
      <c r="B21" s="2899" t="s">
        <v>388</v>
      </c>
      <c r="C21" s="2898">
        <f>SUM(C9:C20)</f>
        <v>162007.20000000001</v>
      </c>
      <c r="D21" s="2898">
        <f>SUM(D9:D20)</f>
        <v>7701.17</v>
      </c>
      <c r="E21" s="2898">
        <f>SUM(E9:E20)</f>
        <v>154306.03</v>
      </c>
      <c r="F21" s="2898">
        <f>SUM(F9:F20)</f>
        <v>61088.2</v>
      </c>
      <c r="G21" s="2898"/>
    </row>
    <row r="22" spans="1:18" ht="16.2">
      <c r="A22" s="2892"/>
      <c r="B22" s="2894"/>
      <c r="C22" s="2892"/>
      <c r="D22" s="2892" t="s">
        <v>602</v>
      </c>
      <c r="E22" s="2900">
        <f>(E9+E10+E11)/E21</f>
        <v>0.452854305175242</v>
      </c>
      <c r="F22" s="2892"/>
      <c r="G22" s="2892"/>
    </row>
    <row r="24" spans="1:18">
      <c r="A24" s="2901" t="s">
        <v>603</v>
      </c>
      <c r="B24" s="2901">
        <v>2008</v>
      </c>
    </row>
    <row r="26" spans="1:18">
      <c r="B26" s="2883" t="s">
        <v>604</v>
      </c>
    </row>
    <row r="27" spans="1:18">
      <c r="B27" s="2902"/>
      <c r="C27" s="2903" t="s">
        <v>579</v>
      </c>
      <c r="D27" s="2903" t="s">
        <v>605</v>
      </c>
      <c r="E27" s="2903" t="s">
        <v>388</v>
      </c>
      <c r="F27" s="2902"/>
      <c r="G27" s="2904" t="s">
        <v>606</v>
      </c>
    </row>
    <row r="28" spans="1:18">
      <c r="B28" s="2905" t="s">
        <v>466</v>
      </c>
      <c r="C28" s="2906">
        <f>C29+C30</f>
        <v>153794.32</v>
      </c>
      <c r="D28" s="2906">
        <f>E28/C28</f>
        <v>3635.9026458194298</v>
      </c>
      <c r="E28" s="2906">
        <f>E29+E30</f>
        <v>559181175</v>
      </c>
      <c r="F28" s="2902"/>
      <c r="G28" s="2907">
        <v>1</v>
      </c>
    </row>
    <row r="29" spans="1:18">
      <c r="B29" s="2903" t="s">
        <v>467</v>
      </c>
      <c r="C29" s="2908">
        <f>'[3]数据-汇总表'!F19</f>
        <v>83916.17</v>
      </c>
      <c r="D29" s="2902">
        <v>2500</v>
      </c>
      <c r="E29" s="2902">
        <f>D29*C29</f>
        <v>209790425</v>
      </c>
      <c r="F29" s="2902"/>
      <c r="G29" s="2902"/>
    </row>
    <row r="30" spans="1:18">
      <c r="B30" s="2903" t="s">
        <v>468</v>
      </c>
      <c r="C30" s="2908">
        <f>'[3]数据-汇总表'!G19</f>
        <v>69878.149999999994</v>
      </c>
      <c r="D30" s="2902">
        <v>5000</v>
      </c>
      <c r="E30" s="2902">
        <f t="shared" ref="E30:E33" si="4">D30*C30</f>
        <v>349390750</v>
      </c>
      <c r="F30" s="2902"/>
      <c r="G30" s="2902"/>
    </row>
    <row r="31" spans="1:18">
      <c r="B31" s="2905" t="s">
        <v>470</v>
      </c>
      <c r="C31" s="2906">
        <f>C28</f>
        <v>153794.32</v>
      </c>
      <c r="D31" s="2906">
        <v>1500</v>
      </c>
      <c r="E31" s="2906">
        <f t="shared" si="4"/>
        <v>230691480</v>
      </c>
      <c r="F31" s="2902"/>
      <c r="G31" s="2907">
        <v>1</v>
      </c>
    </row>
    <row r="32" spans="1:18">
      <c r="B32" s="2905" t="s">
        <v>469</v>
      </c>
      <c r="C32" s="2906">
        <f>C28</f>
        <v>153794.32</v>
      </c>
      <c r="D32" s="2906">
        <v>1500</v>
      </c>
      <c r="E32" s="2906">
        <f t="shared" si="4"/>
        <v>230691480</v>
      </c>
      <c r="F32" s="2902"/>
      <c r="G32" s="2907">
        <v>1</v>
      </c>
    </row>
    <row r="33" spans="2:9">
      <c r="B33" s="2905" t="s">
        <v>607</v>
      </c>
      <c r="C33" s="2906">
        <v>0</v>
      </c>
      <c r="D33" s="2906">
        <f>D30</f>
        <v>5000</v>
      </c>
      <c r="E33" s="2906">
        <f t="shared" si="4"/>
        <v>0</v>
      </c>
      <c r="F33" s="2902"/>
      <c r="G33" s="2902"/>
    </row>
    <row r="34" spans="2:9">
      <c r="B34" s="2903" t="s">
        <v>608</v>
      </c>
      <c r="C34" s="2902">
        <f>C28</f>
        <v>153794.32</v>
      </c>
      <c r="D34" s="2902">
        <f>E34/C34</f>
        <v>6635.9026458194303</v>
      </c>
      <c r="E34" s="2902">
        <f>E28+E31+E32+E33</f>
        <v>1020564135</v>
      </c>
      <c r="F34" s="2902"/>
      <c r="G34" s="2905">
        <f>(G28*E28+G31*E31+G32*E32)/E34</f>
        <v>1</v>
      </c>
    </row>
    <row r="38" spans="2:9">
      <c r="B38" s="2883" t="s">
        <v>609</v>
      </c>
    </row>
    <row r="39" spans="2:9">
      <c r="B39" s="2902"/>
      <c r="C39" s="2903" t="s">
        <v>603</v>
      </c>
      <c r="D39" s="2903"/>
      <c r="E39" s="2903" t="s">
        <v>610</v>
      </c>
      <c r="F39" s="2903" t="s">
        <v>611</v>
      </c>
      <c r="G39" s="2903" t="s">
        <v>612</v>
      </c>
      <c r="H39" s="2904" t="s">
        <v>609</v>
      </c>
      <c r="I39" s="2909"/>
    </row>
    <row r="40" spans="2:9">
      <c r="B40" s="2905" t="s">
        <v>613</v>
      </c>
      <c r="C40" s="2906">
        <v>2022</v>
      </c>
      <c r="D40" s="2906">
        <v>2026</v>
      </c>
      <c r="E40" s="2906">
        <v>50</v>
      </c>
      <c r="F40" s="2902">
        <v>60</v>
      </c>
      <c r="G40" s="2902">
        <v>0</v>
      </c>
      <c r="H40" s="2910">
        <f>ROUND(1-(1-0%)*(D40-C40)/60,2)</f>
        <v>0.93</v>
      </c>
      <c r="I40" s="2911"/>
    </row>
    <row r="41" spans="2:9">
      <c r="B41" s="2903" t="s">
        <v>614</v>
      </c>
      <c r="C41" s="2908"/>
      <c r="D41" s="2902"/>
      <c r="E41" s="2902"/>
      <c r="F41" s="2902"/>
      <c r="G41" s="2902"/>
      <c r="H41" s="2907">
        <v>0.9</v>
      </c>
      <c r="I41" s="2912"/>
    </row>
    <row r="42" spans="2:9">
      <c r="B42" s="2903"/>
      <c r="C42" s="2902"/>
      <c r="D42" s="2902"/>
      <c r="E42" s="2902"/>
      <c r="F42" s="2902"/>
      <c r="G42" s="2902"/>
      <c r="H42" s="2913">
        <v>0.94</v>
      </c>
      <c r="I42" s="2914"/>
    </row>
    <row r="44" spans="2:9">
      <c r="B44" s="2902"/>
      <c r="C44" s="2903" t="s">
        <v>603</v>
      </c>
      <c r="D44" s="2903"/>
      <c r="E44" s="2903" t="s">
        <v>610</v>
      </c>
      <c r="F44" s="2903" t="s">
        <v>611</v>
      </c>
      <c r="G44" s="2903" t="s">
        <v>612</v>
      </c>
      <c r="H44" s="2904" t="s">
        <v>609</v>
      </c>
      <c r="I44" s="2909"/>
    </row>
    <row r="45" spans="2:9">
      <c r="B45" s="2905" t="s">
        <v>613</v>
      </c>
      <c r="C45" s="2906">
        <v>2012</v>
      </c>
      <c r="D45" s="2906">
        <v>2033</v>
      </c>
      <c r="E45" s="2906">
        <v>50</v>
      </c>
      <c r="F45" s="2902">
        <v>60</v>
      </c>
      <c r="G45" s="2902">
        <v>0</v>
      </c>
      <c r="H45" s="2910">
        <v>0.65</v>
      </c>
      <c r="I45" s="2911"/>
    </row>
    <row r="46" spans="2:9">
      <c r="B46" s="2903" t="s">
        <v>614</v>
      </c>
      <c r="C46" s="2908"/>
      <c r="D46" s="2902"/>
      <c r="E46" s="2902"/>
      <c r="F46" s="2902"/>
      <c r="G46" s="2902"/>
      <c r="H46" s="2907">
        <v>0.8</v>
      </c>
      <c r="I46" s="2912"/>
    </row>
    <row r="47" spans="2:9">
      <c r="B47" s="2903"/>
      <c r="C47" s="2902"/>
      <c r="D47" s="2902"/>
      <c r="E47" s="2902"/>
      <c r="F47" s="2902"/>
      <c r="G47" s="2902"/>
      <c r="H47" s="2913">
        <v>0.73</v>
      </c>
      <c r="I47" s="2914"/>
    </row>
    <row r="51" spans="2:16" ht="16.2">
      <c r="B51" s="2892" t="s">
        <v>462</v>
      </c>
      <c r="C51" s="2915" t="s">
        <v>615</v>
      </c>
      <c r="D51" s="2892" t="s">
        <v>616</v>
      </c>
      <c r="E51" s="2892" t="s">
        <v>617</v>
      </c>
      <c r="F51" s="2892" t="s">
        <v>618</v>
      </c>
      <c r="G51" s="2892" t="s">
        <v>619</v>
      </c>
    </row>
    <row r="52" spans="2:16" ht="16.2">
      <c r="B52" s="2892" t="s">
        <v>620</v>
      </c>
      <c r="C52" s="2892">
        <v>244340</v>
      </c>
      <c r="D52" s="2892">
        <v>100868</v>
      </c>
      <c r="E52" s="2892">
        <v>254798</v>
      </c>
      <c r="F52" s="2892">
        <v>314362</v>
      </c>
      <c r="G52" s="2892">
        <v>261876</v>
      </c>
    </row>
    <row r="53" spans="2:16" ht="16.2">
      <c r="B53" s="2892" t="s">
        <v>621</v>
      </c>
      <c r="C53" s="2892">
        <v>23541</v>
      </c>
      <c r="D53" s="2892">
        <v>19190</v>
      </c>
      <c r="E53" s="2892">
        <v>21240</v>
      </c>
      <c r="F53" s="2892">
        <v>14902</v>
      </c>
      <c r="G53" s="2892">
        <v>19533</v>
      </c>
    </row>
    <row r="54" spans="2:16" ht="18" customHeight="1">
      <c r="B54" s="2916" t="s">
        <v>622</v>
      </c>
      <c r="C54" s="2916">
        <v>256807</v>
      </c>
      <c r="D54" s="2916"/>
      <c r="E54" s="2916"/>
      <c r="F54" s="2916"/>
      <c r="G54" s="2916">
        <v>294245</v>
      </c>
    </row>
    <row r="55" spans="2:16" ht="16.2">
      <c r="B55" s="2892"/>
      <c r="C55" s="2892"/>
      <c r="D55" s="2892"/>
      <c r="E55" s="2892"/>
      <c r="F55" s="2892"/>
      <c r="G55" s="2892"/>
    </row>
    <row r="56" spans="2:16" ht="16.2">
      <c r="B56" s="2892" t="s">
        <v>623</v>
      </c>
      <c r="C56" s="2892">
        <v>81158.87</v>
      </c>
      <c r="D56" s="2892">
        <v>39985.24</v>
      </c>
      <c r="E56" s="2892">
        <v>85551.93</v>
      </c>
      <c r="F56" s="2892">
        <v>125418.93</v>
      </c>
      <c r="G56" s="2892">
        <f>42863.29+44140.36</f>
        <v>87003.65</v>
      </c>
    </row>
    <row r="57" spans="2:16" ht="16.2">
      <c r="B57" s="2892" t="s">
        <v>624</v>
      </c>
      <c r="C57" s="2892">
        <v>20000</v>
      </c>
      <c r="D57" s="2892">
        <v>12577.49</v>
      </c>
      <c r="E57" s="2892">
        <v>34411.599999999999</v>
      </c>
      <c r="F57" s="2892">
        <v>67925.820000000007</v>
      </c>
      <c r="G57" s="2892">
        <f>134067.08-G56</f>
        <v>47063.43</v>
      </c>
    </row>
    <row r="58" spans="2:16" ht="16.2">
      <c r="B58" s="2892" t="s">
        <v>625</v>
      </c>
      <c r="C58" s="2892">
        <f>SUM(C56:C57)</f>
        <v>101158.87</v>
      </c>
      <c r="D58" s="2892">
        <f>SUM(D56:D57)</f>
        <v>52562.73</v>
      </c>
      <c r="E58" s="2892">
        <f>SUM(E56:E57)</f>
        <v>119963.53</v>
      </c>
      <c r="F58" s="2892">
        <f>SUM(F56:F57)</f>
        <v>193344.75</v>
      </c>
      <c r="G58" s="2892">
        <f>SUM(G56:G57)</f>
        <v>134067.07999999999</v>
      </c>
    </row>
    <row r="59" spans="2:16" ht="16.5" customHeight="1">
      <c r="B59" s="2892" t="s">
        <v>602</v>
      </c>
      <c r="C59" s="2900">
        <f>C57/C58</f>
        <v>0.197708811891631</v>
      </c>
      <c r="D59" s="2900">
        <f t="shared" ref="D59:G59" si="5">D57/D58</f>
        <v>0.239285326313911</v>
      </c>
      <c r="E59" s="2900">
        <f t="shared" si="5"/>
        <v>0.28685051198476702</v>
      </c>
      <c r="F59" s="2900">
        <f t="shared" si="5"/>
        <v>0.35131970224172099</v>
      </c>
      <c r="G59" s="2900">
        <f t="shared" si="5"/>
        <v>0.35104389533955699</v>
      </c>
    </row>
    <row r="60" spans="2:16" ht="16.2">
      <c r="B60" s="2892"/>
      <c r="C60" s="2892"/>
      <c r="D60" s="2892"/>
      <c r="E60" s="2892"/>
      <c r="F60" s="2892"/>
      <c r="G60" s="2892"/>
    </row>
    <row r="61" spans="2:16" ht="16.2">
      <c r="B61" s="2892" t="s">
        <v>626</v>
      </c>
      <c r="C61" s="2917">
        <v>5.5E-2</v>
      </c>
      <c r="D61" s="2917">
        <v>0.06</v>
      </c>
      <c r="E61" s="2917">
        <v>5.5E-2</v>
      </c>
      <c r="F61" s="2917">
        <v>0.06</v>
      </c>
      <c r="G61" s="2917">
        <v>0.06</v>
      </c>
    </row>
    <row r="62" spans="2:16" ht="16.2">
      <c r="B62" s="2892" t="s">
        <v>627</v>
      </c>
      <c r="C62" s="2892">
        <v>3500</v>
      </c>
      <c r="D62" s="2892">
        <v>4500</v>
      </c>
      <c r="E62" s="2892">
        <v>5000</v>
      </c>
      <c r="F62" s="2892">
        <v>4000</v>
      </c>
      <c r="G62" s="2892">
        <v>5200</v>
      </c>
    </row>
    <row r="63" spans="2:16" ht="16.2">
      <c r="B63" s="2892" t="s">
        <v>628</v>
      </c>
      <c r="C63" s="2918">
        <v>0.25</v>
      </c>
      <c r="D63" s="2918">
        <v>0.15</v>
      </c>
      <c r="E63" s="2918">
        <v>0.15</v>
      </c>
      <c r="F63" s="2918">
        <v>0.25</v>
      </c>
      <c r="G63" s="2918">
        <v>0.3</v>
      </c>
    </row>
    <row r="64" spans="2:16" ht="16.2">
      <c r="B64" s="2892" t="s">
        <v>586</v>
      </c>
      <c r="C64" s="2892">
        <v>5.5</v>
      </c>
      <c r="D64" s="2892">
        <v>3.9</v>
      </c>
      <c r="E64" s="2892">
        <v>5.5</v>
      </c>
      <c r="F64" s="2892">
        <v>5</v>
      </c>
      <c r="G64" s="2892">
        <v>5</v>
      </c>
      <c r="J64" s="2919">
        <f>C64*C58/C56</f>
        <v>6.8553663327249401</v>
      </c>
      <c r="K64" s="2919">
        <f>D64*D58/D56</f>
        <v>5.1267579486830597</v>
      </c>
      <c r="L64" s="2919">
        <f>E64*E58/E56</f>
        <v>7.7122680341635803</v>
      </c>
      <c r="M64" s="2919"/>
      <c r="N64" s="2919">
        <f>F64*F58/F56</f>
        <v>7.7079572437749198</v>
      </c>
      <c r="O64" s="2919">
        <f>G64*G58/G56</f>
        <v>7.7046813553224496</v>
      </c>
      <c r="P64" s="2919"/>
    </row>
    <row r="65" spans="2:7" ht="16.2">
      <c r="B65" s="2892" t="s">
        <v>629</v>
      </c>
      <c r="C65" s="2920">
        <v>1.4999999999999999E-2</v>
      </c>
      <c r="D65" s="2920">
        <v>2.5000000000000001E-2</v>
      </c>
      <c r="E65" s="2920">
        <v>2.5000000000000001E-2</v>
      </c>
      <c r="F65" s="2920">
        <v>0.03</v>
      </c>
      <c r="G65" s="2920">
        <v>0</v>
      </c>
    </row>
    <row r="66" spans="2:7" ht="16.2">
      <c r="B66" s="2892" t="s">
        <v>630</v>
      </c>
      <c r="C66" s="2900">
        <v>0.03</v>
      </c>
      <c r="D66" s="2920">
        <v>1.4999999999999999E-2</v>
      </c>
      <c r="E66" s="2920">
        <v>1.4999999999999999E-2</v>
      </c>
      <c r="F66" s="2920">
        <v>1.4999999999999999E-2</v>
      </c>
      <c r="G66" s="2920">
        <v>0.01</v>
      </c>
    </row>
    <row r="67" spans="2:7" ht="16.2">
      <c r="B67" s="2892" t="s">
        <v>631</v>
      </c>
      <c r="C67" s="2900">
        <v>3.0000000000000001E-3</v>
      </c>
      <c r="D67" s="2920">
        <v>2E-3</v>
      </c>
      <c r="E67" s="2920">
        <v>1.5E-3</v>
      </c>
      <c r="F67" s="2920">
        <v>1.5E-3</v>
      </c>
      <c r="G67" s="2920">
        <v>1E-3</v>
      </c>
    </row>
    <row r="68" spans="2:7" ht="16.2">
      <c r="B68" s="2892" t="s">
        <v>632</v>
      </c>
      <c r="C68" s="2900">
        <v>0.03</v>
      </c>
      <c r="D68" s="2920">
        <v>0.03</v>
      </c>
      <c r="E68" s="2920">
        <v>0.02</v>
      </c>
      <c r="F68" s="2920">
        <v>0.03</v>
      </c>
      <c r="G68" s="2920">
        <v>0.02</v>
      </c>
    </row>
    <row r="69" spans="2:7" ht="16.2">
      <c r="B69" s="2892"/>
      <c r="C69" s="2892"/>
      <c r="D69" s="2892"/>
      <c r="E69" s="2892"/>
      <c r="F69" s="2892"/>
      <c r="G69" s="2892"/>
    </row>
    <row r="70" spans="2:7" ht="16.2">
      <c r="B70" s="2892" t="s">
        <v>633</v>
      </c>
      <c r="C70" s="2892" t="s">
        <v>634</v>
      </c>
      <c r="D70" s="2892" t="s">
        <v>635</v>
      </c>
      <c r="E70" s="2892" t="s">
        <v>636</v>
      </c>
      <c r="F70" s="2892" t="s">
        <v>637</v>
      </c>
      <c r="G70" s="2892" t="s">
        <v>634</v>
      </c>
    </row>
    <row r="71" spans="2:7" ht="16.2">
      <c r="B71" s="2892"/>
      <c r="C71" s="2892"/>
      <c r="D71" s="2892"/>
      <c r="E71" s="2892"/>
      <c r="F71" s="2892"/>
      <c r="G71" s="2892"/>
    </row>
    <row r="72" spans="2:7" ht="16.2">
      <c r="B72" s="2892" t="s">
        <v>638</v>
      </c>
      <c r="C72" s="2892">
        <v>18753</v>
      </c>
      <c r="D72" s="2892">
        <v>6734</v>
      </c>
      <c r="E72" s="2892">
        <v>18734</v>
      </c>
      <c r="F72" s="2892">
        <v>23770</v>
      </c>
      <c r="G72" s="2892">
        <f>[4]收益法!$C$6+[5]收益法!$C$6</f>
        <v>17099</v>
      </c>
    </row>
    <row r="73" spans="2:7" ht="16.2">
      <c r="B73" s="2921"/>
      <c r="C73" s="2922">
        <f>C72/C56/365*10000</f>
        <v>6.3305566220649503</v>
      </c>
      <c r="D73" s="2922">
        <f t="shared" ref="D73:G73" si="6">D72/D56/365*10000</f>
        <v>4.6140313446894803</v>
      </c>
      <c r="E73" s="2922">
        <f t="shared" si="6"/>
        <v>5.9994002937467696</v>
      </c>
      <c r="F73" s="2922">
        <f t="shared" si="6"/>
        <v>5.1924607928988804</v>
      </c>
      <c r="G73" s="2922">
        <f t="shared" si="6"/>
        <v>5.3844379336344801</v>
      </c>
    </row>
    <row r="75" spans="2:7">
      <c r="C75" s="2883">
        <v>6000</v>
      </c>
      <c r="D75" s="2883">
        <v>6000</v>
      </c>
      <c r="E75" s="2883">
        <v>6000</v>
      </c>
      <c r="F75" s="2883">
        <v>6000</v>
      </c>
      <c r="G75" s="2883">
        <f>F75</f>
        <v>6000</v>
      </c>
    </row>
    <row r="76" spans="2:7">
      <c r="C76" s="2883">
        <f>C75*C57/10000</f>
        <v>12000</v>
      </c>
      <c r="D76" s="2883">
        <f>D75*D57/10000</f>
        <v>7546.4939999999997</v>
      </c>
      <c r="E76" s="2883">
        <f>E75*E57/10000</f>
        <v>20646.96</v>
      </c>
      <c r="F76" s="2883">
        <f>F75*F57/10000</f>
        <v>40755.491999999998</v>
      </c>
      <c r="G76" s="2883">
        <f>G75*G57/10000</f>
        <v>28238.058000000001</v>
      </c>
    </row>
    <row r="77" spans="2:7">
      <c r="C77" s="2883">
        <f>C52-C76</f>
        <v>232340</v>
      </c>
      <c r="D77" s="2883">
        <f>D52-D76</f>
        <v>93321.505999999994</v>
      </c>
      <c r="E77" s="2883">
        <f>E52-E76</f>
        <v>234151.04000000001</v>
      </c>
      <c r="F77" s="2883">
        <f>F52-F76</f>
        <v>273606.50799999997</v>
      </c>
      <c r="G77" s="2883">
        <f>G52-G76</f>
        <v>233637.94200000001</v>
      </c>
    </row>
    <row r="78" spans="2:7">
      <c r="C78" s="2923">
        <f>C77/C56*10000</f>
        <v>28627.8012495738</v>
      </c>
      <c r="D78" s="2923">
        <f t="shared" ref="D78:G78" si="7">D77/D56*10000</f>
        <v>23338.988586788499</v>
      </c>
      <c r="E78" s="2923">
        <f t="shared" si="7"/>
        <v>27369.463202057501</v>
      </c>
      <c r="F78" s="2923">
        <f t="shared" si="7"/>
        <v>21815.4076103185</v>
      </c>
      <c r="G78" s="2923">
        <f t="shared" si="7"/>
        <v>26853.8092367389</v>
      </c>
    </row>
    <row r="79" spans="2:7">
      <c r="B79" s="2924"/>
      <c r="C79" s="2924">
        <f>(C54-C76)/C56</f>
        <v>3.0163924165035798</v>
      </c>
      <c r="D79" s="2924"/>
      <c r="E79" s="2924"/>
      <c r="F79" s="2924"/>
      <c r="G79" s="2924">
        <f>(G54-G76)/G56</f>
        <v>3.0574227862854002</v>
      </c>
    </row>
    <row r="81" spans="2:19">
      <c r="L81" s="2925"/>
      <c r="M81" s="2925"/>
      <c r="N81" s="2925"/>
      <c r="O81" s="2925"/>
      <c r="P81" s="2925"/>
      <c r="Q81" s="2925"/>
      <c r="R81" s="2925"/>
    </row>
    <row r="82" spans="2:19">
      <c r="L82" s="2925"/>
      <c r="M82" s="2925"/>
      <c r="N82" s="2925"/>
      <c r="O82" s="2925"/>
      <c r="P82" s="2925"/>
      <c r="Q82" s="2925"/>
      <c r="R82" s="2925"/>
    </row>
    <row r="83" spans="2:19">
      <c r="L83" s="2925"/>
      <c r="M83" s="2925"/>
      <c r="N83" s="2925"/>
      <c r="O83" s="2925"/>
      <c r="P83" s="2925"/>
      <c r="Q83" s="2925"/>
      <c r="R83" s="2925"/>
    </row>
    <row r="84" spans="2:19">
      <c r="B84" s="3308" t="s">
        <v>577</v>
      </c>
      <c r="C84" s="3308" t="s">
        <v>579</v>
      </c>
      <c r="D84" s="3310" t="s">
        <v>639</v>
      </c>
      <c r="E84" s="3310" t="s">
        <v>640</v>
      </c>
      <c r="F84" s="3310" t="s">
        <v>641</v>
      </c>
      <c r="G84" s="3310" t="s">
        <v>642</v>
      </c>
      <c r="H84" s="3310" t="s">
        <v>442</v>
      </c>
      <c r="I84" s="3308" t="s">
        <v>643</v>
      </c>
      <c r="J84" s="2926"/>
      <c r="L84" s="2925"/>
      <c r="M84" s="2925"/>
      <c r="N84" s="2925"/>
      <c r="O84" s="2925"/>
      <c r="P84" s="2925"/>
      <c r="Q84" s="2925"/>
      <c r="R84" s="2925"/>
    </row>
    <row r="85" spans="2:19" ht="16.2">
      <c r="B85" s="3309"/>
      <c r="C85" s="3309"/>
      <c r="D85" s="3311"/>
      <c r="E85" s="3311"/>
      <c r="F85" s="3311"/>
      <c r="G85" s="3311"/>
      <c r="H85" s="3311"/>
      <c r="I85" s="3309"/>
      <c r="J85" s="2927"/>
      <c r="L85" s="2925" t="s">
        <v>644</v>
      </c>
      <c r="M85" s="2925" t="s">
        <v>645</v>
      </c>
      <c r="N85" s="2925" t="s">
        <v>646</v>
      </c>
      <c r="O85" s="2925" t="s">
        <v>647</v>
      </c>
      <c r="P85" s="2925" t="s">
        <v>648</v>
      </c>
      <c r="Q85" s="2925" t="s">
        <v>649</v>
      </c>
      <c r="R85" s="2925" t="s">
        <v>650</v>
      </c>
    </row>
    <row r="86" spans="2:19">
      <c r="B86" s="2928">
        <v>1</v>
      </c>
      <c r="C86" s="2929">
        <v>893.47</v>
      </c>
      <c r="D86" s="2930">
        <v>44774</v>
      </c>
      <c r="E86" s="2930">
        <v>46630</v>
      </c>
      <c r="F86" s="2929">
        <v>4</v>
      </c>
      <c r="G86" s="2931" t="s">
        <v>651</v>
      </c>
      <c r="H86" s="2932" t="s">
        <v>229</v>
      </c>
      <c r="I86" s="2933">
        <f>M87</f>
        <v>8.3333333333333301E-2</v>
      </c>
      <c r="J86" s="2934"/>
      <c r="L86" s="2925">
        <v>120</v>
      </c>
      <c r="M86" s="2925">
        <v>130</v>
      </c>
      <c r="N86" s="2925">
        <v>140</v>
      </c>
      <c r="O86" s="2925">
        <v>151</v>
      </c>
      <c r="P86" s="2925">
        <v>163</v>
      </c>
      <c r="Q86" s="2925"/>
      <c r="R86" s="2925"/>
    </row>
    <row r="87" spans="2:19" hidden="1">
      <c r="B87" s="2928"/>
      <c r="C87" s="2929"/>
      <c r="D87" s="2930"/>
      <c r="E87" s="2930"/>
      <c r="F87" s="2929"/>
      <c r="G87" s="2935"/>
      <c r="H87" s="2935"/>
      <c r="I87" s="2936"/>
      <c r="J87" s="2934"/>
      <c r="L87" s="2925"/>
      <c r="M87" s="2937">
        <f>(M86-L86)/L86</f>
        <v>8.3333333333333301E-2</v>
      </c>
      <c r="N87" s="2937">
        <f t="shared" ref="N87:P87" si="8">(N86-M86)/M86</f>
        <v>7.69230769230769E-2</v>
      </c>
      <c r="O87" s="2937">
        <f t="shared" si="8"/>
        <v>7.8571428571428598E-2</v>
      </c>
      <c r="P87" s="2937">
        <f t="shared" si="8"/>
        <v>7.9470198675496706E-2</v>
      </c>
      <c r="Q87" s="2925"/>
      <c r="R87" s="2925"/>
    </row>
    <row r="88" spans="2:19">
      <c r="B88" s="2928">
        <v>2</v>
      </c>
      <c r="C88" s="2929">
        <v>966.37</v>
      </c>
      <c r="D88" s="2930">
        <v>44741</v>
      </c>
      <c r="E88" s="2930">
        <v>47756</v>
      </c>
      <c r="F88" s="2938">
        <f>L88/30</f>
        <v>3.6666666666666701</v>
      </c>
      <c r="G88" s="2935"/>
      <c r="H88" s="2932" t="s">
        <v>229</v>
      </c>
      <c r="I88" s="2939">
        <v>1.8759896295967301E-2</v>
      </c>
      <c r="J88" s="2934"/>
      <c r="L88" s="2925">
        <v>110</v>
      </c>
      <c r="M88" s="2925">
        <v>110</v>
      </c>
      <c r="N88" s="2925">
        <v>115</v>
      </c>
      <c r="O88" s="2925">
        <v>115</v>
      </c>
      <c r="P88" s="2925">
        <v>120</v>
      </c>
      <c r="Q88" s="2925">
        <v>120</v>
      </c>
      <c r="R88" s="2925">
        <v>125</v>
      </c>
      <c r="S88" s="2883">
        <v>125</v>
      </c>
    </row>
    <row r="89" spans="2:19" hidden="1">
      <c r="B89" s="2928"/>
      <c r="C89" s="2929"/>
      <c r="D89" s="2930"/>
      <c r="E89" s="2930"/>
      <c r="F89" s="2929"/>
      <c r="G89" s="2935"/>
      <c r="H89" s="2935"/>
      <c r="I89" s="2939"/>
      <c r="J89" s="2934"/>
      <c r="L89" s="2925"/>
      <c r="M89" s="2937">
        <f>(M88-L88)/L88</f>
        <v>0</v>
      </c>
      <c r="N89" s="2937">
        <f t="shared" ref="N89:Q89" si="9">(N88-M88)/M88</f>
        <v>4.5454545454545497E-2</v>
      </c>
      <c r="O89" s="2937">
        <f t="shared" si="9"/>
        <v>0</v>
      </c>
      <c r="P89" s="2937">
        <f t="shared" si="9"/>
        <v>4.3478260869565202E-2</v>
      </c>
      <c r="Q89" s="2937">
        <f t="shared" si="9"/>
        <v>0</v>
      </c>
      <c r="R89" s="2937">
        <f t="shared" ref="R89:S89" si="10">(R88-Q88)/Q88</f>
        <v>4.1666666666666699E-2</v>
      </c>
      <c r="S89" s="2937">
        <f t="shared" si="10"/>
        <v>0</v>
      </c>
    </row>
    <row r="90" spans="2:19">
      <c r="B90" s="2928">
        <v>3</v>
      </c>
      <c r="C90" s="2929">
        <v>926.28</v>
      </c>
      <c r="D90" s="2930">
        <v>44774</v>
      </c>
      <c r="E90" s="2930">
        <v>46996</v>
      </c>
      <c r="F90" s="2938">
        <f>L90/30</f>
        <v>3.4</v>
      </c>
      <c r="G90" s="2935"/>
      <c r="H90" s="2932" t="s">
        <v>229</v>
      </c>
      <c r="I90" s="2939">
        <v>9.0164883906011004E-2</v>
      </c>
      <c r="J90" s="2934"/>
      <c r="L90" s="2925">
        <v>102</v>
      </c>
      <c r="M90" s="2925">
        <v>113.4</v>
      </c>
      <c r="N90" s="2925">
        <v>122.5</v>
      </c>
      <c r="O90" s="2925">
        <v>132.30000000000001</v>
      </c>
      <c r="P90" s="2925">
        <v>143</v>
      </c>
      <c r="Q90" s="2925">
        <v>154.5</v>
      </c>
      <c r="R90" s="2925"/>
    </row>
    <row r="91" spans="2:19" hidden="1">
      <c r="B91" s="2928"/>
      <c r="C91" s="2929"/>
      <c r="D91" s="2930"/>
      <c r="E91" s="2930"/>
      <c r="F91" s="2929"/>
      <c r="G91" s="2935"/>
      <c r="H91" s="2935"/>
      <c r="I91" s="2939"/>
      <c r="J91" s="2934"/>
      <c r="L91" s="2925"/>
      <c r="M91" s="2937">
        <f>(M90-L90)/L90</f>
        <v>0.111764705882353</v>
      </c>
      <c r="N91" s="2937">
        <f t="shared" ref="N91:Q91" si="11">(N90-M90)/M90</f>
        <v>8.0246913580246895E-2</v>
      </c>
      <c r="O91" s="2937">
        <f t="shared" si="11"/>
        <v>8.0000000000000099E-2</v>
      </c>
      <c r="P91" s="2937">
        <f t="shared" si="11"/>
        <v>8.0876795162509396E-2</v>
      </c>
      <c r="Q91" s="2937">
        <f t="shared" si="11"/>
        <v>8.0419580419580403E-2</v>
      </c>
      <c r="R91" s="2937"/>
    </row>
    <row r="92" spans="2:19">
      <c r="B92" s="2928">
        <v>4</v>
      </c>
      <c r="C92" s="2929">
        <v>1070.3900000000001</v>
      </c>
      <c r="D92" s="2930">
        <v>44743</v>
      </c>
      <c r="E92" s="2930">
        <v>46660</v>
      </c>
      <c r="F92" s="2938">
        <f>L92/30</f>
        <v>3.5</v>
      </c>
      <c r="G92" s="2935"/>
      <c r="H92" s="2932" t="s">
        <v>229</v>
      </c>
      <c r="I92" s="2939">
        <f>M93</f>
        <v>9.5238095238095205E-2</v>
      </c>
      <c r="J92" s="2934"/>
      <c r="L92" s="2925">
        <v>105</v>
      </c>
      <c r="M92" s="2925">
        <v>115</v>
      </c>
      <c r="N92" s="2925">
        <v>127</v>
      </c>
      <c r="O92" s="2925">
        <v>140</v>
      </c>
      <c r="P92" s="2925">
        <v>154</v>
      </c>
      <c r="Q92" s="2925"/>
      <c r="R92" s="2925"/>
    </row>
    <row r="93" spans="2:19" hidden="1">
      <c r="B93" s="2928"/>
      <c r="C93" s="2929"/>
      <c r="D93" s="2930"/>
      <c r="E93" s="2930"/>
      <c r="F93" s="2938"/>
      <c r="G93" s="2935"/>
      <c r="H93" s="2935"/>
      <c r="I93" s="2939"/>
      <c r="J93" s="2934"/>
      <c r="L93" s="2925"/>
      <c r="M93" s="2937">
        <f>(M92-L92)/L92</f>
        <v>9.5238095238095205E-2</v>
      </c>
      <c r="N93" s="2937">
        <f t="shared" ref="N93:P93" si="12">(N92-M92)/M92</f>
        <v>0.104347826086957</v>
      </c>
      <c r="O93" s="2937">
        <f t="shared" si="12"/>
        <v>0.102362204724409</v>
      </c>
      <c r="P93" s="2937">
        <f t="shared" si="12"/>
        <v>0.1</v>
      </c>
      <c r="Q93" s="2925"/>
      <c r="R93" s="2925"/>
    </row>
    <row r="94" spans="2:19">
      <c r="B94" s="2928">
        <v>4</v>
      </c>
      <c r="C94" s="2929">
        <v>948.39</v>
      </c>
      <c r="D94" s="2930">
        <v>45153</v>
      </c>
      <c r="E94" s="2930">
        <v>46978</v>
      </c>
      <c r="F94" s="2938">
        <f>L94/30</f>
        <v>4.8666666666666698</v>
      </c>
      <c r="G94" s="2935"/>
      <c r="H94" s="2932" t="s">
        <v>229</v>
      </c>
      <c r="I94" s="2939">
        <f>M95</f>
        <v>5.00000000000001E-2</v>
      </c>
      <c r="J94" s="2934"/>
      <c r="L94" s="2925">
        <v>146</v>
      </c>
      <c r="M94" s="2925">
        <v>153.30000000000001</v>
      </c>
      <c r="N94" s="2925">
        <v>160.97</v>
      </c>
      <c r="O94" s="2925">
        <v>169.02</v>
      </c>
      <c r="P94" s="2925">
        <v>177.48</v>
      </c>
      <c r="Q94" s="2925"/>
      <c r="R94" s="2925"/>
    </row>
    <row r="95" spans="2:19" hidden="1">
      <c r="B95" s="2928"/>
      <c r="C95" s="2929"/>
      <c r="D95" s="2930"/>
      <c r="E95" s="2930"/>
      <c r="F95" s="2938"/>
      <c r="G95" s="2935"/>
      <c r="H95" s="2935"/>
      <c r="I95" s="2939"/>
      <c r="J95" s="2934"/>
      <c r="L95" s="2925"/>
      <c r="M95" s="2937">
        <f>(M94-L94)/L94</f>
        <v>5.00000000000001E-2</v>
      </c>
      <c r="N95" s="2937">
        <f t="shared" ref="N95:P95" si="13">(N94-M94)/M94</f>
        <v>5.0032615786040402E-2</v>
      </c>
      <c r="O95" s="2937">
        <f t="shared" si="13"/>
        <v>5.0009318506554101E-2</v>
      </c>
      <c r="P95" s="2937">
        <f t="shared" si="13"/>
        <v>5.00532481363151E-2</v>
      </c>
      <c r="Q95" s="2925"/>
      <c r="R95" s="2925"/>
    </row>
    <row r="96" spans="2:19">
      <c r="B96" s="2928">
        <v>6</v>
      </c>
      <c r="C96" s="2929">
        <v>727.7</v>
      </c>
      <c r="D96" s="2930">
        <v>44774</v>
      </c>
      <c r="E96" s="2930">
        <v>46599</v>
      </c>
      <c r="F96" s="2938">
        <f>L96/30</f>
        <v>5.5</v>
      </c>
      <c r="G96" s="2935"/>
      <c r="H96" s="2932" t="s">
        <v>229</v>
      </c>
      <c r="I96" s="2939">
        <f>M97</f>
        <v>0.05</v>
      </c>
      <c r="J96" s="2934"/>
      <c r="L96" s="2925">
        <v>165</v>
      </c>
      <c r="M96" s="2925">
        <v>173.25</v>
      </c>
      <c r="N96" s="2925">
        <v>181.91</v>
      </c>
      <c r="O96" s="2925">
        <v>191.01</v>
      </c>
      <c r="P96" s="2925">
        <v>200.56</v>
      </c>
      <c r="Q96" s="2925"/>
      <c r="R96" s="2925"/>
    </row>
    <row r="97" spans="2:26" hidden="1">
      <c r="B97" s="2928"/>
      <c r="C97" s="2929"/>
      <c r="D97" s="2930"/>
      <c r="E97" s="2930"/>
      <c r="F97" s="2938"/>
      <c r="G97" s="2935"/>
      <c r="H97" s="2935"/>
      <c r="I97" s="2939"/>
      <c r="J97" s="2934"/>
      <c r="L97" s="2925"/>
      <c r="M97" s="2937">
        <f>(M96-L96)/L96</f>
        <v>0.05</v>
      </c>
      <c r="N97" s="2937">
        <f t="shared" ref="N97:P97" si="14">(N96-M96)/M96</f>
        <v>4.9985569985570001E-2</v>
      </c>
      <c r="O97" s="2937">
        <f t="shared" si="14"/>
        <v>5.0024737507558703E-2</v>
      </c>
      <c r="P97" s="2937">
        <f t="shared" si="14"/>
        <v>4.9997382336003399E-2</v>
      </c>
      <c r="Q97" s="2925"/>
      <c r="R97" s="2925"/>
    </row>
    <row r="98" spans="2:26">
      <c r="B98" s="2928">
        <v>7</v>
      </c>
      <c r="C98" s="2929">
        <v>1595.25</v>
      </c>
      <c r="D98" s="2930">
        <v>44774</v>
      </c>
      <c r="E98" s="2930">
        <v>46630</v>
      </c>
      <c r="F98" s="2938">
        <f>L98/30</f>
        <v>2.7</v>
      </c>
      <c r="G98" s="2935"/>
      <c r="H98" s="2932" t="s">
        <v>229</v>
      </c>
      <c r="I98" s="2939">
        <v>8.4000588309002797E-2</v>
      </c>
      <c r="J98" s="2934"/>
      <c r="L98" s="2925">
        <v>81</v>
      </c>
      <c r="M98" s="2925">
        <v>88</v>
      </c>
      <c r="N98" s="2925">
        <v>95</v>
      </c>
      <c r="O98" s="2925">
        <v>103</v>
      </c>
      <c r="P98" s="2925">
        <v>112</v>
      </c>
      <c r="Q98" s="2925"/>
      <c r="R98" s="2925"/>
    </row>
    <row r="99" spans="2:26" hidden="1">
      <c r="B99" s="2928"/>
      <c r="C99" s="2929"/>
      <c r="D99" s="2930"/>
      <c r="E99" s="2930"/>
      <c r="F99" s="2938"/>
      <c r="G99" s="2935"/>
      <c r="H99" s="2935"/>
      <c r="I99" s="2939"/>
      <c r="J99" s="2934"/>
      <c r="L99" s="2925"/>
      <c r="M99" s="2937">
        <f>(M98-L98)/L98</f>
        <v>8.6419753086419707E-2</v>
      </c>
      <c r="N99" s="2937">
        <f t="shared" ref="N99:P99" si="15">(N98-M98)/M98</f>
        <v>7.9545454545454503E-2</v>
      </c>
      <c r="O99" s="2937">
        <f t="shared" si="15"/>
        <v>8.42105263157895E-2</v>
      </c>
      <c r="P99" s="2937">
        <f t="shared" si="15"/>
        <v>8.7378640776699004E-2</v>
      </c>
      <c r="Q99" s="2925"/>
      <c r="R99" s="2925"/>
    </row>
    <row r="100" spans="2:26">
      <c r="B100" s="2928">
        <v>8</v>
      </c>
      <c r="C100" s="2929">
        <v>1361.72</v>
      </c>
      <c r="D100" s="2930">
        <v>44714</v>
      </c>
      <c r="E100" s="2930">
        <v>47726</v>
      </c>
      <c r="F100" s="2938">
        <f>L100/30</f>
        <v>2.6666666666666701</v>
      </c>
      <c r="G100" s="2935"/>
      <c r="H100" s="2932" t="s">
        <v>229</v>
      </c>
      <c r="I100" s="2939">
        <v>2.5448418745266699E-2</v>
      </c>
      <c r="J100" s="2934"/>
      <c r="L100" s="2925">
        <v>80</v>
      </c>
      <c r="M100" s="2925">
        <v>80</v>
      </c>
      <c r="N100" s="2925">
        <v>85</v>
      </c>
      <c r="O100" s="2925">
        <v>85</v>
      </c>
      <c r="P100" s="2925">
        <v>90</v>
      </c>
      <c r="Q100" s="2925">
        <v>90</v>
      </c>
      <c r="R100" s="2925">
        <v>95</v>
      </c>
      <c r="S100" s="2883">
        <v>95</v>
      </c>
    </row>
    <row r="101" spans="2:26" hidden="1">
      <c r="B101" s="2928"/>
      <c r="C101" s="2929"/>
      <c r="D101" s="2930"/>
      <c r="E101" s="2930"/>
      <c r="F101" s="2938"/>
      <c r="G101" s="2935"/>
      <c r="H101" s="2935"/>
      <c r="I101" s="2939"/>
      <c r="J101" s="2934"/>
      <c r="L101" s="2925"/>
      <c r="M101" s="2937">
        <f>(M100-L100)/L100</f>
        <v>0</v>
      </c>
      <c r="N101" s="2937">
        <f t="shared" ref="N101:Q101" si="16">(N100-M100)/M100</f>
        <v>6.25E-2</v>
      </c>
      <c r="O101" s="2937">
        <f t="shared" si="16"/>
        <v>0</v>
      </c>
      <c r="P101" s="2937">
        <f t="shared" si="16"/>
        <v>5.8823529411764698E-2</v>
      </c>
      <c r="Q101" s="2937">
        <f t="shared" si="16"/>
        <v>0</v>
      </c>
      <c r="R101" s="2937">
        <f t="shared" ref="R101:S101" si="17">(R100-Q100)/Q100</f>
        <v>5.5555555555555601E-2</v>
      </c>
      <c r="S101" s="2937">
        <f t="shared" si="17"/>
        <v>0</v>
      </c>
    </row>
    <row r="102" spans="2:26">
      <c r="B102" s="2928">
        <v>9</v>
      </c>
      <c r="C102" s="2929" t="s">
        <v>124</v>
      </c>
      <c r="D102" s="2930">
        <v>44714</v>
      </c>
      <c r="E102" s="2930">
        <v>49096</v>
      </c>
      <c r="F102" s="2938">
        <f>L102/30</f>
        <v>3.3826666666666698</v>
      </c>
      <c r="G102" s="2935"/>
      <c r="H102" s="2932" t="s">
        <v>229</v>
      </c>
      <c r="I102" s="2939">
        <v>1.5303357118551001E-2</v>
      </c>
      <c r="J102" s="2934"/>
      <c r="L102" s="2925">
        <v>101.48</v>
      </c>
      <c r="M102" s="2925">
        <v>101.48</v>
      </c>
      <c r="N102" s="2925">
        <v>101.48</v>
      </c>
      <c r="O102" s="2925">
        <v>107.28</v>
      </c>
      <c r="P102" s="2925">
        <v>107.28</v>
      </c>
      <c r="Q102" s="2925">
        <v>107.28</v>
      </c>
      <c r="R102" s="2925">
        <v>113.37</v>
      </c>
      <c r="S102" s="2925">
        <v>113.37</v>
      </c>
      <c r="T102" s="2925">
        <v>113.37</v>
      </c>
      <c r="U102" s="2925">
        <v>119.76</v>
      </c>
      <c r="V102" s="2925">
        <v>119.76</v>
      </c>
      <c r="W102" s="2925">
        <v>119.76</v>
      </c>
    </row>
    <row r="103" spans="2:26" hidden="1">
      <c r="B103" s="2928"/>
      <c r="C103" s="2929"/>
      <c r="D103" s="2930"/>
      <c r="E103" s="2930"/>
      <c r="F103" s="2938"/>
      <c r="G103" s="2935"/>
      <c r="H103" s="2935"/>
      <c r="I103" s="2939"/>
      <c r="J103" s="2934"/>
      <c r="L103" s="2925"/>
      <c r="M103" s="2937">
        <f>(M102-L102)/L102</f>
        <v>0</v>
      </c>
      <c r="N103" s="2937">
        <f t="shared" ref="N103:W103" si="18">(N102-M102)/M102</f>
        <v>0</v>
      </c>
      <c r="O103" s="2937">
        <f t="shared" si="18"/>
        <v>5.71541190382341E-2</v>
      </c>
      <c r="P103" s="2937">
        <f t="shared" si="18"/>
        <v>0</v>
      </c>
      <c r="Q103" s="2937">
        <f t="shared" si="18"/>
        <v>0</v>
      </c>
      <c r="R103" s="2937">
        <f t="shared" si="18"/>
        <v>5.6767337807606302E-2</v>
      </c>
      <c r="S103" s="2937">
        <f t="shared" si="18"/>
        <v>0</v>
      </c>
      <c r="T103" s="2937">
        <f t="shared" si="18"/>
        <v>0</v>
      </c>
      <c r="U103" s="2937">
        <f t="shared" si="18"/>
        <v>5.6364117491399801E-2</v>
      </c>
      <c r="V103" s="2937">
        <f t="shared" si="18"/>
        <v>0</v>
      </c>
      <c r="W103" s="2937">
        <f t="shared" si="18"/>
        <v>0</v>
      </c>
    </row>
    <row r="104" spans="2:26">
      <c r="B104" s="2928">
        <v>10</v>
      </c>
      <c r="C104" s="2929">
        <v>1393.02</v>
      </c>
      <c r="D104" s="2930">
        <v>44713</v>
      </c>
      <c r="E104" s="2930">
        <v>47756</v>
      </c>
      <c r="F104" s="2938">
        <f>L104/30</f>
        <v>3</v>
      </c>
      <c r="G104" s="2935"/>
      <c r="H104" s="2932" t="s">
        <v>229</v>
      </c>
      <c r="I104" s="2939">
        <v>2.2744737460100001E-2</v>
      </c>
      <c r="J104" s="2934"/>
      <c r="L104" s="2925">
        <v>90</v>
      </c>
      <c r="M104" s="2925">
        <v>90</v>
      </c>
      <c r="N104" s="2925">
        <v>95</v>
      </c>
      <c r="O104" s="2925">
        <v>95</v>
      </c>
      <c r="P104" s="2925">
        <v>100</v>
      </c>
      <c r="Q104" s="2925">
        <v>100</v>
      </c>
      <c r="R104" s="2925">
        <v>105</v>
      </c>
      <c r="S104" s="2883">
        <v>105</v>
      </c>
    </row>
    <row r="105" spans="2:26" hidden="1">
      <c r="B105" s="2928"/>
      <c r="C105" s="2929"/>
      <c r="D105" s="2930"/>
      <c r="E105" s="2930"/>
      <c r="F105" s="2938"/>
      <c r="G105" s="2935"/>
      <c r="H105" s="2935"/>
      <c r="I105" s="2939"/>
      <c r="J105" s="2934"/>
      <c r="L105" s="2925"/>
      <c r="M105" s="2937">
        <f>(M104-L104)/L104</f>
        <v>0</v>
      </c>
      <c r="N105" s="2937">
        <f t="shared" ref="N105:S105" si="19">(N104-M104)/M104</f>
        <v>5.5555555555555601E-2</v>
      </c>
      <c r="O105" s="2937">
        <f t="shared" si="19"/>
        <v>0</v>
      </c>
      <c r="P105" s="2937">
        <f t="shared" si="19"/>
        <v>5.2631578947368397E-2</v>
      </c>
      <c r="Q105" s="2937">
        <f t="shared" si="19"/>
        <v>0</v>
      </c>
      <c r="R105" s="2937">
        <f t="shared" si="19"/>
        <v>0.05</v>
      </c>
      <c r="S105" s="2937">
        <f t="shared" si="19"/>
        <v>0</v>
      </c>
    </row>
    <row r="106" spans="2:26">
      <c r="B106" s="2928">
        <v>11</v>
      </c>
      <c r="C106" s="2929" t="s">
        <v>124</v>
      </c>
      <c r="D106" s="2930">
        <v>44834</v>
      </c>
      <c r="E106" s="2930">
        <v>50312</v>
      </c>
      <c r="F106" s="2938">
        <f>L106/30</f>
        <v>1.629</v>
      </c>
      <c r="G106" s="2935"/>
      <c r="H106" s="2932" t="s">
        <v>229</v>
      </c>
      <c r="I106" s="2939">
        <v>1.6932824616625802E-2</v>
      </c>
      <c r="J106" s="2934"/>
      <c r="L106" s="2925">
        <v>48.87</v>
      </c>
      <c r="M106" s="2925">
        <v>48.87</v>
      </c>
      <c r="N106" s="2925">
        <v>48.87</v>
      </c>
      <c r="O106" s="2925">
        <v>51.85</v>
      </c>
      <c r="P106" s="2925">
        <v>51.85</v>
      </c>
      <c r="Q106" s="2925">
        <v>51.85</v>
      </c>
      <c r="R106" s="2925">
        <v>54.97</v>
      </c>
      <c r="S106" s="2925">
        <v>54.97</v>
      </c>
      <c r="T106" s="2925">
        <v>54.97</v>
      </c>
      <c r="U106" s="2925">
        <v>58.18</v>
      </c>
      <c r="V106" s="2925">
        <v>58.18</v>
      </c>
      <c r="W106" s="2925">
        <v>58.18</v>
      </c>
      <c r="X106" s="2925">
        <v>61.68</v>
      </c>
      <c r="Y106" s="2925">
        <v>61.68</v>
      </c>
      <c r="Z106" s="2925">
        <v>61.68</v>
      </c>
    </row>
    <row r="107" spans="2:26">
      <c r="B107" s="2940" t="s">
        <v>388</v>
      </c>
      <c r="C107" s="2935" t="s">
        <v>124</v>
      </c>
      <c r="D107" s="2935" t="s">
        <v>124</v>
      </c>
      <c r="E107" s="2935" t="s">
        <v>124</v>
      </c>
      <c r="F107" s="2935" t="s">
        <v>124</v>
      </c>
      <c r="G107" s="2929" t="s">
        <v>124</v>
      </c>
      <c r="H107" s="2929" t="s">
        <v>124</v>
      </c>
      <c r="I107" s="2935" t="s">
        <v>652</v>
      </c>
      <c r="J107" s="2934"/>
      <c r="L107" s="2925"/>
      <c r="M107" s="2937">
        <f>(M106-L106)/L106</f>
        <v>0</v>
      </c>
      <c r="N107" s="2937">
        <f t="shared" ref="N107:Y107" si="20">(N106-M106)/M106</f>
        <v>0</v>
      </c>
      <c r="O107" s="2937">
        <f t="shared" si="20"/>
        <v>6.0978105177000301E-2</v>
      </c>
      <c r="P107" s="2937">
        <f t="shared" si="20"/>
        <v>0</v>
      </c>
      <c r="Q107" s="2937">
        <f t="shared" si="20"/>
        <v>0</v>
      </c>
      <c r="R107" s="2937">
        <f t="shared" si="20"/>
        <v>6.0173577627772402E-2</v>
      </c>
      <c r="S107" s="2937">
        <f t="shared" si="20"/>
        <v>0</v>
      </c>
      <c r="T107" s="2937">
        <f t="shared" si="20"/>
        <v>0</v>
      </c>
      <c r="U107" s="2937">
        <f t="shared" si="20"/>
        <v>5.8395488448244499E-2</v>
      </c>
      <c r="V107" s="2937">
        <f t="shared" si="20"/>
        <v>0</v>
      </c>
      <c r="W107" s="2937">
        <f t="shared" si="20"/>
        <v>0</v>
      </c>
      <c r="X107" s="2937">
        <f t="shared" si="20"/>
        <v>6.0158129941560702E-2</v>
      </c>
      <c r="Y107" s="2937">
        <f t="shared" si="20"/>
        <v>0</v>
      </c>
    </row>
    <row r="108" spans="2:26">
      <c r="L108" s="2925"/>
      <c r="M108" s="2925"/>
      <c r="N108" s="2925"/>
      <c r="O108" s="2925"/>
      <c r="P108" s="2925"/>
      <c r="Q108" s="2925"/>
      <c r="R108" s="2925"/>
    </row>
  </sheetData>
  <mergeCells count="8">
    <mergeCell ref="G84:G85"/>
    <mergeCell ref="H84:H85"/>
    <mergeCell ref="I84:I85"/>
    <mergeCell ref="B84:B85"/>
    <mergeCell ref="C84:C85"/>
    <mergeCell ref="D84:D85"/>
    <mergeCell ref="E84:E85"/>
    <mergeCell ref="F84:F85"/>
  </mergeCells>
  <phoneticPr fontId="23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6" sqref="J36"/>
    </sheetView>
  </sheetViews>
  <sheetFormatPr defaultColWidth="8.88671875" defaultRowHeight="13.8"/>
  <cols>
    <col min="1" max="1" width="10.6640625" style="2804" customWidth="1"/>
    <col min="2" max="2" width="11" style="2804" customWidth="1"/>
    <col min="3" max="3" width="10.33203125" style="2804" customWidth="1"/>
    <col min="4" max="4" width="9.109375" style="2804" customWidth="1"/>
    <col min="5" max="8" width="10" style="2804" customWidth="1"/>
    <col min="9" max="9" width="10.6640625" style="2804" customWidth="1"/>
    <col min="10" max="10" width="9.44140625" style="2804" customWidth="1"/>
    <col min="11" max="11" width="11" style="2804" customWidth="1"/>
    <col min="12" max="14" width="9.44140625" style="2804" customWidth="1"/>
    <col min="15" max="15" width="9.88671875" style="2804" customWidth="1"/>
    <col min="16" max="16" width="9.77734375" style="2804" customWidth="1"/>
    <col min="17" max="17" width="9.33203125" style="2804" hidden="1" customWidth="1"/>
    <col min="18" max="18" width="9.21875" style="2804" hidden="1" customWidth="1"/>
    <col min="19" max="19" width="10.88671875" style="2804" hidden="1" customWidth="1"/>
    <col min="20" max="21" width="10.77734375" style="2804" hidden="1" customWidth="1"/>
    <col min="22" max="22" width="10.88671875" style="2804" hidden="1" customWidth="1"/>
    <col min="23" max="27" width="10.77734375" style="2804" hidden="1" customWidth="1"/>
    <col min="28" max="28" width="10.88671875" style="2804" hidden="1" customWidth="1"/>
    <col min="29" max="29" width="11" style="2804" customWidth="1"/>
    <col min="30" max="30" width="10" style="2804" customWidth="1"/>
    <col min="31" max="31" width="9.77734375" style="2804" customWidth="1"/>
    <col min="32" max="46" width="9.44140625" style="2804" customWidth="1"/>
    <col min="47" max="47" width="18.109375" style="2804" customWidth="1"/>
    <col min="48" max="50" width="9.77734375" style="2804" customWidth="1"/>
    <col min="51" max="55" width="10.44140625" style="2804" customWidth="1"/>
    <col min="56" max="56" width="9.44140625" style="2804" customWidth="1"/>
    <col min="57" max="63" width="9.109375" style="2804" customWidth="1"/>
    <col min="64" max="64" width="9.44140625" style="2804" customWidth="1"/>
    <col min="65" max="65" width="9.109375" style="2804" customWidth="1"/>
    <col min="66" max="66" width="9.44140625" style="2804" customWidth="1"/>
    <col min="67" max="69" width="9.109375" style="2804" customWidth="1"/>
    <col min="70" max="70" width="9.44140625" style="2804" customWidth="1"/>
    <col min="71" max="71" width="9" style="2804" customWidth="1"/>
    <col min="72" max="72" width="9.109375" style="2804" customWidth="1"/>
    <col min="73" max="16384" width="8.88671875" style="2804"/>
  </cols>
  <sheetData>
    <row r="1" spans="1:72" ht="21">
      <c r="A1" s="2315" t="s">
        <v>653</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654</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510</v>
      </c>
      <c r="B2" s="1000" t="s">
        <v>506</v>
      </c>
      <c r="C2" s="1000" t="s">
        <v>655</v>
      </c>
      <c r="D2" s="2374"/>
      <c r="E2" s="2312"/>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807" t="s">
        <v>656</v>
      </c>
      <c r="AZ2" s="2808" t="s">
        <v>657</v>
      </c>
      <c r="BA2" s="1000" t="s">
        <v>658</v>
      </c>
      <c r="BB2" s="2374"/>
      <c r="BC2" s="2374"/>
      <c r="BD2" s="2374"/>
      <c r="BE2" s="2374"/>
      <c r="BF2" s="2374"/>
      <c r="BG2" s="2374"/>
      <c r="BH2" s="2374"/>
      <c r="BI2" s="2374"/>
      <c r="BJ2" s="2374"/>
      <c r="BK2" s="2374"/>
      <c r="BL2" s="2374"/>
      <c r="BM2" s="2374"/>
      <c r="BN2" s="2374"/>
      <c r="BO2" s="2374"/>
      <c r="BP2" s="2374"/>
      <c r="BQ2" s="2374"/>
      <c r="BR2" s="2374"/>
      <c r="BS2" s="2374"/>
      <c r="BT2" s="2374"/>
    </row>
    <row r="3" spans="1:72" s="2801" customFormat="1" ht="13.2">
      <c r="A3" s="2809">
        <f>面积!B5</f>
        <v>42276.47</v>
      </c>
      <c r="B3" s="2810">
        <f>IF(C3="否",G5-AT5,G5)</f>
        <v>154306.03</v>
      </c>
      <c r="C3" s="2811" t="s">
        <v>659</v>
      </c>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812"/>
      <c r="AZ3" s="914"/>
      <c r="BA3" s="2813"/>
      <c r="BB3" s="2374"/>
      <c r="BC3" s="2374"/>
      <c r="BD3" s="2374"/>
      <c r="BE3" s="2374"/>
      <c r="BF3" s="2374"/>
      <c r="BG3" s="2374"/>
      <c r="BH3" s="2374"/>
      <c r="BI3" s="2374"/>
      <c r="BJ3" s="2374"/>
      <c r="BK3" s="2374"/>
      <c r="BL3" s="2374"/>
      <c r="BM3" s="2374"/>
      <c r="BN3" s="2374"/>
      <c r="BO3" s="2374"/>
      <c r="BP3" s="2374"/>
      <c r="BQ3" s="2374"/>
      <c r="BR3" s="2374"/>
      <c r="BS3" s="2374"/>
      <c r="BT3" s="2374"/>
    </row>
    <row r="4" spans="1:72" s="2801" customFormat="1" ht="13.2">
      <c r="A4" s="614"/>
      <c r="B4" s="2814"/>
      <c r="C4" s="2815"/>
      <c r="D4" s="2374"/>
      <c r="E4" s="2374"/>
      <c r="F4" s="2374"/>
      <c r="G4" s="2374"/>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816"/>
      <c r="BB4" s="2374"/>
      <c r="BC4" s="2374"/>
      <c r="BD4" s="2374"/>
      <c r="BE4" s="2374"/>
      <c r="BF4" s="2374"/>
      <c r="BG4" s="2374"/>
      <c r="BH4" s="2374"/>
      <c r="BI4" s="2374"/>
      <c r="BJ4" s="2374"/>
      <c r="BK4" s="2374"/>
      <c r="BL4" s="2374"/>
      <c r="BM4" s="2374"/>
      <c r="BN4" s="2374"/>
      <c r="BO4" s="2374"/>
      <c r="BP4" s="2374"/>
      <c r="BQ4" s="2374"/>
      <c r="BR4" s="2374"/>
      <c r="BS4" s="2374"/>
      <c r="BT4" s="2374"/>
    </row>
    <row r="5" spans="1:72" s="2801" customFormat="1" ht="13.2">
      <c r="A5" s="1898" t="s">
        <v>660</v>
      </c>
      <c r="B5" s="2233"/>
      <c r="C5" s="2233"/>
      <c r="D5" s="2234"/>
      <c r="E5" s="2817" t="s">
        <v>124</v>
      </c>
      <c r="F5" s="2817">
        <f>SUM(F13:F587)</f>
        <v>0</v>
      </c>
      <c r="G5" s="2817">
        <f>SUM(G13:G587)</f>
        <v>154306.03</v>
      </c>
      <c r="H5" s="2817">
        <f t="shared" ref="H5:AT5" si="0">SUM(H13:H656)</f>
        <v>153794.32</v>
      </c>
      <c r="I5" s="2817">
        <f t="shared" si="0"/>
        <v>83916.17</v>
      </c>
      <c r="J5" s="2817">
        <f t="shared" si="0"/>
        <v>0</v>
      </c>
      <c r="K5" s="2817">
        <f t="shared" si="0"/>
        <v>23083.83</v>
      </c>
      <c r="L5" s="2817">
        <f t="shared" si="0"/>
        <v>0</v>
      </c>
      <c r="M5" s="2817">
        <f t="shared" si="0"/>
        <v>46794.32</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511.71</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511.71</v>
      </c>
      <c r="AM5" s="2817">
        <f t="shared" si="0"/>
        <v>0</v>
      </c>
      <c r="AN5" s="2817">
        <f t="shared" si="0"/>
        <v>0</v>
      </c>
      <c r="AO5" s="2817">
        <f t="shared" si="0"/>
        <v>0</v>
      </c>
      <c r="AP5" s="2817">
        <f t="shared" si="0"/>
        <v>0</v>
      </c>
      <c r="AQ5" s="2817">
        <f t="shared" si="0"/>
        <v>0</v>
      </c>
      <c r="AR5" s="2817">
        <f t="shared" si="0"/>
        <v>0</v>
      </c>
      <c r="AS5" s="2817">
        <f t="shared" si="0"/>
        <v>0</v>
      </c>
      <c r="AT5" s="2817">
        <f t="shared" si="0"/>
        <v>0</v>
      </c>
      <c r="AU5" s="2232"/>
      <c r="AV5" s="1898" t="s">
        <v>660</v>
      </c>
      <c r="AW5" s="2233"/>
      <c r="AX5" s="2233"/>
      <c r="AY5" s="906" t="s">
        <v>124</v>
      </c>
      <c r="AZ5" s="2818">
        <f t="shared" ref="AZ5:BT5" si="1">SUM(AZ13:AZ656)</f>
        <v>154306.03</v>
      </c>
      <c r="BA5" s="2818">
        <f t="shared" si="1"/>
        <v>153794.32</v>
      </c>
      <c r="BB5" s="2818">
        <f t="shared" si="1"/>
        <v>83916.17</v>
      </c>
      <c r="BC5" s="2818">
        <f t="shared" si="1"/>
        <v>23083.83</v>
      </c>
      <c r="BD5" s="2818">
        <f t="shared" si="1"/>
        <v>46794.32</v>
      </c>
      <c r="BE5" s="2818">
        <f t="shared" si="1"/>
        <v>0</v>
      </c>
      <c r="BF5" s="2818">
        <f t="shared" si="1"/>
        <v>0</v>
      </c>
      <c r="BG5" s="2818">
        <f t="shared" si="1"/>
        <v>0</v>
      </c>
      <c r="BH5" s="2818">
        <f t="shared" si="1"/>
        <v>0</v>
      </c>
      <c r="BI5" s="2818">
        <f t="shared" si="1"/>
        <v>0</v>
      </c>
      <c r="BJ5" s="2818">
        <f t="shared" si="1"/>
        <v>0</v>
      </c>
      <c r="BK5" s="2818">
        <f t="shared" si="1"/>
        <v>0</v>
      </c>
      <c r="BL5" s="2818">
        <f t="shared" si="1"/>
        <v>511.71</v>
      </c>
      <c r="BM5" s="2818">
        <f t="shared" si="1"/>
        <v>0</v>
      </c>
      <c r="BN5" s="2818">
        <f t="shared" si="1"/>
        <v>0</v>
      </c>
      <c r="BO5" s="2818">
        <f t="shared" si="1"/>
        <v>0</v>
      </c>
      <c r="BP5" s="2818">
        <f t="shared" si="1"/>
        <v>0</v>
      </c>
      <c r="BQ5" s="2818">
        <f t="shared" si="1"/>
        <v>511.71</v>
      </c>
      <c r="BR5" s="2818">
        <f t="shared" si="1"/>
        <v>0</v>
      </c>
      <c r="BS5" s="2818">
        <f t="shared" si="1"/>
        <v>0</v>
      </c>
      <c r="BT5" s="2819">
        <f t="shared" si="1"/>
        <v>0</v>
      </c>
    </row>
    <row r="6" spans="1:72" s="2802" customFormat="1" ht="13.2">
      <c r="A6" s="1898" t="s">
        <v>661</v>
      </c>
      <c r="B6" s="2820"/>
      <c r="C6" s="2820"/>
      <c r="D6" s="2821"/>
      <c r="E6" s="2817">
        <f>H6+AC6+AT6</f>
        <v>42276.47</v>
      </c>
      <c r="F6" s="2817" t="s">
        <v>124</v>
      </c>
      <c r="G6" s="2817" t="s">
        <v>124</v>
      </c>
      <c r="H6" s="2822">
        <f>SUMIF(I$12:AB$12,"总值",I6:AB6)</f>
        <v>42136.27</v>
      </c>
      <c r="I6" s="2817">
        <f t="shared" ref="I6:AB6" si="2">ROUND($A$3*I5/$B$3,2)</f>
        <v>22991.19</v>
      </c>
      <c r="J6" s="2817">
        <f t="shared" si="2"/>
        <v>0</v>
      </c>
      <c r="K6" s="2817">
        <f t="shared" si="2"/>
        <v>6324.46</v>
      </c>
      <c r="L6" s="2817">
        <f t="shared" si="2"/>
        <v>0</v>
      </c>
      <c r="M6" s="2817">
        <f t="shared" si="2"/>
        <v>12820.62</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140.19999999999999</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140.19999999999999</v>
      </c>
      <c r="AM6" s="2817">
        <f t="shared" si="3"/>
        <v>0</v>
      </c>
      <c r="AN6" s="2817">
        <f t="shared" si="3"/>
        <v>0</v>
      </c>
      <c r="AO6" s="2817">
        <f t="shared" si="3"/>
        <v>0</v>
      </c>
      <c r="AP6" s="2817">
        <f t="shared" si="3"/>
        <v>0</v>
      </c>
      <c r="AQ6" s="2817">
        <f t="shared" si="3"/>
        <v>0</v>
      </c>
      <c r="AR6" s="2817">
        <f t="shared" si="3"/>
        <v>0</v>
      </c>
      <c r="AS6" s="2817">
        <f t="shared" si="3"/>
        <v>0</v>
      </c>
      <c r="AT6" s="2822">
        <f>IF(C3="是",ROUND($A$3*AT5/$B$3,2),0)</f>
        <v>0</v>
      </c>
      <c r="AU6" s="2823"/>
      <c r="AV6" s="1898" t="s">
        <v>661</v>
      </c>
      <c r="AW6" s="2820"/>
      <c r="AX6" s="2820"/>
      <c r="AY6" s="2824">
        <f>IF(AY3&gt;0,AY3,ROUND($A$3*AZ5/$B$3,2))</f>
        <v>42276.47</v>
      </c>
      <c r="AZ6" s="2817" t="s">
        <v>124</v>
      </c>
      <c r="BA6" s="2817">
        <f>ROUND($AY$6*BA5/$AZ$5,2)</f>
        <v>42136.27</v>
      </c>
      <c r="BB6" s="2817">
        <f>ROUND($AY$6*BB5/$AZ$5,2)</f>
        <v>22991.19</v>
      </c>
      <c r="BC6" s="2817">
        <f t="shared" ref="BC6:BH6" si="4">ROUND($AY$6*BC5/$AZ$5,2)</f>
        <v>6324.46</v>
      </c>
      <c r="BD6" s="2817">
        <f t="shared" si="4"/>
        <v>12820.62</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140.19999999999999</v>
      </c>
      <c r="BM6" s="2817">
        <f t="shared" si="5"/>
        <v>0</v>
      </c>
      <c r="BN6" s="2817">
        <f t="shared" si="5"/>
        <v>0</v>
      </c>
      <c r="BO6" s="2817">
        <f t="shared" si="5"/>
        <v>0</v>
      </c>
      <c r="BP6" s="2817">
        <f t="shared" si="5"/>
        <v>0</v>
      </c>
      <c r="BQ6" s="2817">
        <f t="shared" si="5"/>
        <v>140.19999999999999</v>
      </c>
      <c r="BR6" s="2817">
        <f t="shared" si="5"/>
        <v>0</v>
      </c>
      <c r="BS6" s="2817">
        <f t="shared" si="5"/>
        <v>0</v>
      </c>
      <c r="BT6" s="2825">
        <f t="shared" si="5"/>
        <v>0</v>
      </c>
    </row>
    <row r="7" spans="1:72" s="2801" customFormat="1" ht="25.2">
      <c r="A7" s="2826" t="s">
        <v>662</v>
      </c>
      <c r="B7" s="2826" t="s">
        <v>663</v>
      </c>
      <c r="C7" s="2826" t="s">
        <v>553</v>
      </c>
      <c r="D7" s="2826" t="s">
        <v>664</v>
      </c>
      <c r="E7" s="2826" t="s">
        <v>661</v>
      </c>
      <c r="F7" s="2826" t="s">
        <v>665</v>
      </c>
      <c r="G7" s="2333" t="s">
        <v>666</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34"/>
      <c r="AU7" s="2827" t="s">
        <v>667</v>
      </c>
      <c r="AV7" s="2828" t="s">
        <v>662</v>
      </c>
      <c r="AW7" s="2374" t="s">
        <v>663</v>
      </c>
      <c r="AX7" s="2828" t="s">
        <v>553</v>
      </c>
      <c r="AY7" s="2233" t="s">
        <v>668</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4" customFormat="1" ht="24">
      <c r="A8" s="2831"/>
      <c r="B8" s="2831"/>
      <c r="C8" s="2831"/>
      <c r="D8" s="2831"/>
      <c r="E8" s="2831"/>
      <c r="F8" s="2831"/>
      <c r="G8" s="2832" t="s">
        <v>669</v>
      </c>
      <c r="H8" s="2833" t="s">
        <v>670</v>
      </c>
      <c r="I8" s="2834"/>
      <c r="J8" s="998"/>
      <c r="K8" s="998"/>
      <c r="L8" s="998"/>
      <c r="M8" s="998"/>
      <c r="N8" s="998"/>
      <c r="O8" s="998"/>
      <c r="P8" s="998"/>
      <c r="Q8" s="998"/>
      <c r="R8" s="998"/>
      <c r="S8" s="998"/>
      <c r="T8" s="998"/>
      <c r="U8" s="998"/>
      <c r="V8" s="2835"/>
      <c r="W8" s="998"/>
      <c r="X8" s="998"/>
      <c r="Y8" s="998"/>
      <c r="Z8" s="998"/>
      <c r="AA8" s="2835"/>
      <c r="AB8" s="2836"/>
      <c r="AC8" s="2148" t="s">
        <v>671</v>
      </c>
      <c r="AD8" s="2837"/>
      <c r="AE8" s="2829"/>
      <c r="AF8" s="998"/>
      <c r="AG8" s="998"/>
      <c r="AH8" s="998"/>
      <c r="AI8" s="998"/>
      <c r="AJ8" s="998"/>
      <c r="AK8" s="998"/>
      <c r="AL8" s="998"/>
      <c r="AM8" s="998"/>
      <c r="AN8" s="998"/>
      <c r="AO8" s="998"/>
      <c r="AP8" s="998"/>
      <c r="AQ8" s="998"/>
      <c r="AR8" s="998"/>
      <c r="AS8" s="998"/>
      <c r="AT8" s="1846" t="s">
        <v>672</v>
      </c>
      <c r="AU8" s="2831" t="s">
        <v>673</v>
      </c>
      <c r="AV8" s="1846"/>
      <c r="AW8" s="2312"/>
      <c r="AX8" s="1846"/>
      <c r="AY8" s="2374" t="s">
        <v>661</v>
      </c>
      <c r="AZ8" s="997" t="s">
        <v>506</v>
      </c>
      <c r="BA8" s="998"/>
      <c r="BB8" s="998"/>
      <c r="BC8" s="998"/>
      <c r="BD8" s="998"/>
      <c r="BE8" s="998"/>
      <c r="BF8" s="998"/>
      <c r="BG8" s="998"/>
      <c r="BH8" s="998"/>
      <c r="BI8" s="998"/>
      <c r="BJ8" s="998"/>
      <c r="BK8" s="998"/>
      <c r="BL8" s="998"/>
      <c r="BM8" s="998"/>
      <c r="BN8" s="998"/>
      <c r="BO8" s="998"/>
      <c r="BP8" s="998"/>
      <c r="BQ8" s="998"/>
      <c r="BR8" s="998"/>
      <c r="BS8" s="998"/>
      <c r="BT8" s="1910"/>
    </row>
    <row r="9" spans="1:72" s="2564" customFormat="1" ht="13.2">
      <c r="A9" s="2831"/>
      <c r="B9" s="2831"/>
      <c r="C9" s="2831"/>
      <c r="D9" s="2831"/>
      <c r="E9" s="2831"/>
      <c r="F9" s="2831"/>
      <c r="G9" s="1846"/>
      <c r="H9" s="2838" t="s">
        <v>674</v>
      </c>
      <c r="I9" s="2839" t="s">
        <v>467</v>
      </c>
      <c r="J9" s="2148"/>
      <c r="K9" s="2839" t="s">
        <v>468</v>
      </c>
      <c r="L9" s="2148"/>
      <c r="M9" s="2839" t="s">
        <v>468</v>
      </c>
      <c r="N9" s="2148"/>
      <c r="O9" s="2839"/>
      <c r="P9" s="2148"/>
      <c r="Q9" s="2839"/>
      <c r="R9" s="2148"/>
      <c r="S9" s="2839"/>
      <c r="T9" s="2148"/>
      <c r="U9" s="2839"/>
      <c r="V9" s="2148"/>
      <c r="W9" s="2839"/>
      <c r="X9" s="2840"/>
      <c r="Y9" s="2839"/>
      <c r="Z9" s="2148"/>
      <c r="AA9" s="2839"/>
      <c r="AB9" s="2148"/>
      <c r="AC9" s="2832" t="s">
        <v>674</v>
      </c>
      <c r="AD9" s="1898" t="s">
        <v>675</v>
      </c>
      <c r="AE9" s="1860"/>
      <c r="AF9" s="1898" t="s">
        <v>676</v>
      </c>
      <c r="AG9" s="1860"/>
      <c r="AH9" s="1898" t="s">
        <v>675</v>
      </c>
      <c r="AI9" s="1860"/>
      <c r="AJ9" s="1898" t="s">
        <v>676</v>
      </c>
      <c r="AK9" s="1860"/>
      <c r="AL9" s="1898" t="s">
        <v>675</v>
      </c>
      <c r="AM9" s="1860"/>
      <c r="AN9" s="1898" t="s">
        <v>676</v>
      </c>
      <c r="AO9" s="1860"/>
      <c r="AP9" s="1898" t="s">
        <v>675</v>
      </c>
      <c r="AQ9" s="1860"/>
      <c r="AR9" s="1898" t="s">
        <v>676</v>
      </c>
      <c r="AS9" s="2841"/>
      <c r="AT9" s="2831"/>
      <c r="AU9" s="2831" t="s">
        <v>677</v>
      </c>
      <c r="AV9" s="1846"/>
      <c r="AW9" s="2312"/>
      <c r="AX9" s="1846"/>
      <c r="AY9" s="2842"/>
      <c r="AZ9" s="2842" t="s">
        <v>669</v>
      </c>
      <c r="BA9" s="2843" t="s">
        <v>678</v>
      </c>
      <c r="BB9" s="2844"/>
      <c r="BC9" s="1909"/>
      <c r="BD9" s="1909"/>
      <c r="BE9" s="1909"/>
      <c r="BF9" s="1909"/>
      <c r="BG9" s="1909"/>
      <c r="BH9" s="1909"/>
      <c r="BI9" s="1909"/>
      <c r="BJ9" s="1909"/>
      <c r="BK9" s="2845"/>
      <c r="BL9" s="1898" t="s">
        <v>679</v>
      </c>
      <c r="BM9" s="998"/>
      <c r="BN9" s="2834"/>
      <c r="BO9" s="998"/>
      <c r="BP9" s="998"/>
      <c r="BQ9" s="998"/>
      <c r="BR9" s="998"/>
      <c r="BS9" s="998"/>
      <c r="BT9" s="1910"/>
    </row>
    <row r="10" spans="1:72" s="2564" customFormat="1" ht="13.2">
      <c r="A10" s="2831"/>
      <c r="B10" s="2831"/>
      <c r="C10" s="2831"/>
      <c r="D10" s="2831"/>
      <c r="E10" s="2831"/>
      <c r="F10" s="2831"/>
      <c r="G10" s="1846"/>
      <c r="H10" s="2842"/>
      <c r="I10" s="2839" t="s">
        <v>229</v>
      </c>
      <c r="J10" s="2148"/>
      <c r="K10" s="2846" t="s">
        <v>229</v>
      </c>
      <c r="L10" s="2148"/>
      <c r="M10" s="2847" t="s">
        <v>585</v>
      </c>
      <c r="N10" s="2148"/>
      <c r="O10" s="2846"/>
      <c r="P10" s="2148"/>
      <c r="Q10" s="2846"/>
      <c r="R10" s="2148"/>
      <c r="S10" s="2846"/>
      <c r="T10" s="2148"/>
      <c r="U10" s="2846"/>
      <c r="V10" s="2148"/>
      <c r="W10" s="2846"/>
      <c r="X10" s="2148"/>
      <c r="Y10" s="2846"/>
      <c r="Z10" s="2148"/>
      <c r="AA10" s="2846"/>
      <c r="AB10" s="2148"/>
      <c r="AC10" s="1846"/>
      <c r="AD10" s="1898" t="s">
        <v>680</v>
      </c>
      <c r="AE10" s="2848"/>
      <c r="AF10" s="1898" t="s">
        <v>680</v>
      </c>
      <c r="AG10" s="2848"/>
      <c r="AH10" s="1898" t="s">
        <v>681</v>
      </c>
      <c r="AI10" s="2848"/>
      <c r="AJ10" s="1898" t="s">
        <v>681</v>
      </c>
      <c r="AK10" s="2848"/>
      <c r="AL10" s="1898" t="s">
        <v>682</v>
      </c>
      <c r="AM10" s="1860"/>
      <c r="AN10" s="1898" t="s">
        <v>682</v>
      </c>
      <c r="AO10" s="1860"/>
      <c r="AP10" s="1898" t="s">
        <v>683</v>
      </c>
      <c r="AQ10" s="1860"/>
      <c r="AR10" s="1898" t="s">
        <v>683</v>
      </c>
      <c r="AS10" s="1860"/>
      <c r="AT10" s="2831"/>
      <c r="AU10" s="2831"/>
      <c r="AV10" s="1846"/>
      <c r="AW10" s="2312"/>
      <c r="AX10" s="1846"/>
      <c r="AY10" s="2842"/>
      <c r="AZ10" s="2842"/>
      <c r="BA10" s="2849" t="s">
        <v>674</v>
      </c>
      <c r="BB10" s="2850" t="str">
        <f>I9</f>
        <v>地上</v>
      </c>
      <c r="BC10" s="1922" t="str">
        <f>K9</f>
        <v>地下</v>
      </c>
      <c r="BD10" s="1922" t="str">
        <f>M9</f>
        <v>地下</v>
      </c>
      <c r="BE10" s="1922">
        <f>O9</f>
        <v>0</v>
      </c>
      <c r="BF10" s="1922">
        <f>Q9</f>
        <v>0</v>
      </c>
      <c r="BG10" s="1922">
        <f>S9</f>
        <v>0</v>
      </c>
      <c r="BH10" s="1922">
        <f>U9</f>
        <v>0</v>
      </c>
      <c r="BI10" s="1922">
        <f>W9</f>
        <v>0</v>
      </c>
      <c r="BJ10" s="1922">
        <f>Y9</f>
        <v>0</v>
      </c>
      <c r="BK10" s="1922">
        <f>AA9</f>
        <v>0</v>
      </c>
      <c r="BL10" s="1917" t="s">
        <v>674</v>
      </c>
      <c r="BM10" s="997" t="str">
        <f>AD9</f>
        <v>地上</v>
      </c>
      <c r="BN10" s="1922" t="str">
        <f>AF9</f>
        <v>地下</v>
      </c>
      <c r="BO10" s="997" t="str">
        <f>AH9</f>
        <v>地上</v>
      </c>
      <c r="BP10" s="1922" t="str">
        <f>AJ9</f>
        <v>地下</v>
      </c>
      <c r="BQ10" s="997" t="str">
        <f>AL9</f>
        <v>地上</v>
      </c>
      <c r="BR10" s="1922" t="str">
        <f>AN9</f>
        <v>地下</v>
      </c>
      <c r="BS10" s="997" t="str">
        <f>AP9</f>
        <v>地上</v>
      </c>
      <c r="BT10" s="2851" t="str">
        <f>AR9</f>
        <v>地下</v>
      </c>
    </row>
    <row r="11" spans="1:72" s="2564" customFormat="1" ht="13.2">
      <c r="A11" s="2831"/>
      <c r="B11" s="2831"/>
      <c r="C11" s="2831"/>
      <c r="D11" s="2831"/>
      <c r="E11" s="2831"/>
      <c r="F11" s="2831"/>
      <c r="G11" s="1846"/>
      <c r="H11" s="2849"/>
      <c r="I11" s="2852"/>
      <c r="J11" s="2853"/>
      <c r="K11" s="2852"/>
      <c r="L11" s="2853"/>
      <c r="M11" s="2852"/>
      <c r="N11" s="2853"/>
      <c r="O11" s="2852"/>
      <c r="P11" s="2853"/>
      <c r="Q11" s="2852"/>
      <c r="R11" s="2853"/>
      <c r="S11" s="2852"/>
      <c r="T11" s="2853"/>
      <c r="U11" s="2852"/>
      <c r="V11" s="2853"/>
      <c r="W11" s="2852"/>
      <c r="X11" s="2853"/>
      <c r="Y11" s="2852"/>
      <c r="Z11" s="2853"/>
      <c r="AA11" s="2852"/>
      <c r="AB11" s="2853"/>
      <c r="AC11" s="1846"/>
      <c r="AD11" s="2854" t="s">
        <v>684</v>
      </c>
      <c r="AE11" s="999"/>
      <c r="AF11" s="2854" t="s">
        <v>684</v>
      </c>
      <c r="AG11" s="999"/>
      <c r="AH11" s="2854" t="s">
        <v>685</v>
      </c>
      <c r="AI11" s="2855"/>
      <c r="AJ11" s="2854" t="s">
        <v>685</v>
      </c>
      <c r="AK11" s="999"/>
      <c r="AL11" s="997"/>
      <c r="AM11" s="999"/>
      <c r="AN11" s="997"/>
      <c r="AO11" s="999"/>
      <c r="AP11" s="997"/>
      <c r="AQ11" s="999"/>
      <c r="AR11" s="997"/>
      <c r="AS11" s="999"/>
      <c r="AT11" s="2312"/>
      <c r="AU11" s="2831"/>
      <c r="AV11" s="1846"/>
      <c r="AW11" s="2312"/>
      <c r="AX11" s="1846"/>
      <c r="AY11" s="2842"/>
      <c r="AZ11" s="2842"/>
      <c r="BA11" s="2842"/>
      <c r="BB11" s="2836" t="str">
        <f>I10</f>
        <v>商业</v>
      </c>
      <c r="BC11" s="2836" t="str">
        <f>K10</f>
        <v>商业</v>
      </c>
      <c r="BD11" s="2836" t="str">
        <f>M10</f>
        <v>车库</v>
      </c>
      <c r="BE11" s="2836">
        <f>O10</f>
        <v>0</v>
      </c>
      <c r="BF11" s="2836">
        <f>Q10</f>
        <v>0</v>
      </c>
      <c r="BG11" s="2836">
        <f>S10</f>
        <v>0</v>
      </c>
      <c r="BH11" s="2836">
        <f>U10</f>
        <v>0</v>
      </c>
      <c r="BI11" s="2836">
        <f>W10</f>
        <v>0</v>
      </c>
      <c r="BJ11" s="2836">
        <f>Y10</f>
        <v>0</v>
      </c>
      <c r="BK11" s="2836">
        <f>AA10</f>
        <v>0</v>
      </c>
      <c r="BL11" s="1846"/>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7" t="str">
        <f>AP10</f>
        <v>未注明</v>
      </c>
      <c r="BT11" s="2856" t="str">
        <f>AR10</f>
        <v>未注明</v>
      </c>
    </row>
    <row r="12" spans="1:72" s="2801" customFormat="1" ht="13.2">
      <c r="A12" s="2857"/>
      <c r="B12" s="2857"/>
      <c r="C12" s="2857"/>
      <c r="D12" s="2857"/>
      <c r="E12" s="2857"/>
      <c r="F12" s="2857"/>
      <c r="G12" s="608"/>
      <c r="H12" s="2858"/>
      <c r="I12" s="2234" t="s">
        <v>686</v>
      </c>
      <c r="J12" s="1000" t="s">
        <v>687</v>
      </c>
      <c r="K12" s="1000" t="s">
        <v>686</v>
      </c>
      <c r="L12" s="1000" t="s">
        <v>687</v>
      </c>
      <c r="M12" s="1000" t="s">
        <v>686</v>
      </c>
      <c r="N12" s="1000" t="s">
        <v>687</v>
      </c>
      <c r="O12" s="1000" t="s">
        <v>686</v>
      </c>
      <c r="P12" s="1000" t="s">
        <v>687</v>
      </c>
      <c r="Q12" s="1000" t="s">
        <v>686</v>
      </c>
      <c r="R12" s="1000" t="s">
        <v>687</v>
      </c>
      <c r="S12" s="1000" t="s">
        <v>686</v>
      </c>
      <c r="T12" s="1000" t="s">
        <v>687</v>
      </c>
      <c r="U12" s="1000" t="s">
        <v>686</v>
      </c>
      <c r="V12" s="2232" t="s">
        <v>687</v>
      </c>
      <c r="W12" s="1000" t="s">
        <v>686</v>
      </c>
      <c r="X12" s="1000" t="s">
        <v>687</v>
      </c>
      <c r="Y12" s="1000" t="s">
        <v>686</v>
      </c>
      <c r="Z12" s="1000" t="s">
        <v>687</v>
      </c>
      <c r="AA12" s="1000" t="s">
        <v>686</v>
      </c>
      <c r="AB12" s="1000" t="s">
        <v>687</v>
      </c>
      <c r="AC12" s="2859"/>
      <c r="AD12" s="2234" t="s">
        <v>686</v>
      </c>
      <c r="AE12" s="1000" t="s">
        <v>687</v>
      </c>
      <c r="AF12" s="1000" t="s">
        <v>686</v>
      </c>
      <c r="AG12" s="1000" t="s">
        <v>687</v>
      </c>
      <c r="AH12" s="1000" t="s">
        <v>686</v>
      </c>
      <c r="AI12" s="1000" t="s">
        <v>687</v>
      </c>
      <c r="AJ12" s="1000" t="s">
        <v>686</v>
      </c>
      <c r="AK12" s="1000" t="s">
        <v>687</v>
      </c>
      <c r="AL12" s="1000" t="s">
        <v>686</v>
      </c>
      <c r="AM12" s="1000" t="s">
        <v>687</v>
      </c>
      <c r="AN12" s="1000" t="s">
        <v>686</v>
      </c>
      <c r="AO12" s="1000" t="s">
        <v>687</v>
      </c>
      <c r="AP12" s="1000" t="s">
        <v>686</v>
      </c>
      <c r="AQ12" s="1000" t="s">
        <v>687</v>
      </c>
      <c r="AR12" s="608" t="s">
        <v>686</v>
      </c>
      <c r="AS12" s="2857" t="s">
        <v>687</v>
      </c>
      <c r="AT12" s="2860"/>
      <c r="AU12" s="2857"/>
      <c r="AV12" s="2861"/>
      <c r="AW12" s="2374"/>
      <c r="AX12" s="2861"/>
      <c r="AY12" s="2862"/>
      <c r="AZ12" s="2842"/>
      <c r="BA12" s="2849"/>
      <c r="BB12" s="996">
        <f>I11</f>
        <v>0</v>
      </c>
      <c r="BC12" s="2863">
        <f>K11</f>
        <v>0</v>
      </c>
      <c r="BD12" s="2863">
        <f>M11</f>
        <v>0</v>
      </c>
      <c r="BE12" s="2836">
        <f>O11</f>
        <v>0</v>
      </c>
      <c r="BF12" s="2836">
        <f>Q11</f>
        <v>0</v>
      </c>
      <c r="BG12" s="2836">
        <f>S11</f>
        <v>0</v>
      </c>
      <c r="BH12" s="2836">
        <f>U11</f>
        <v>0</v>
      </c>
      <c r="BI12" s="2836">
        <f>W11</f>
        <v>0</v>
      </c>
      <c r="BJ12" s="2836">
        <f>Y11</f>
        <v>0</v>
      </c>
      <c r="BK12" s="2836">
        <f>AA11</f>
        <v>0</v>
      </c>
      <c r="BL12" s="1846"/>
      <c r="BM12" s="997" t="str">
        <f>AD11</f>
        <v>（住宅）</v>
      </c>
      <c r="BN12" s="997" t="str">
        <f>AF11</f>
        <v>（住宅）</v>
      </c>
      <c r="BO12" s="996" t="str">
        <f>AH11</f>
        <v>（住宅、计出让金）</v>
      </c>
      <c r="BP12" s="996" t="str">
        <f>AJ11</f>
        <v>（住宅、计出让金）</v>
      </c>
      <c r="BQ12" s="996">
        <f>AL11</f>
        <v>0</v>
      </c>
      <c r="BR12" s="996">
        <f>AN11</f>
        <v>0</v>
      </c>
      <c r="BS12" s="1917">
        <f>AP11</f>
        <v>0</v>
      </c>
      <c r="BT12" s="2856">
        <f>AR11</f>
        <v>0</v>
      </c>
    </row>
    <row r="13" spans="1:72" s="2801" customFormat="1" ht="13.2">
      <c r="A13" s="914"/>
      <c r="B13" s="914"/>
      <c r="C13" s="914"/>
      <c r="D13" s="2864" t="s">
        <v>688</v>
      </c>
      <c r="E13" s="2817">
        <f>IF($C$3="是",ROUND($A$3*G13/$B$3,2),ROUND($A$3*(G13-AT13)/$B$3,2))</f>
        <v>42276.47</v>
      </c>
      <c r="F13" s="2865"/>
      <c r="G13" s="2866">
        <f>H13+AC13+AT13</f>
        <v>154306.03</v>
      </c>
      <c r="H13" s="2822">
        <f>SUMIF(I$12:AB$12,"总值",I13:AB13)</f>
        <v>153794.32</v>
      </c>
      <c r="I13" s="2867">
        <f>面积!E12+面积!E13+面积!E15+面积!E17+面积!E18+面积!E19</f>
        <v>83916.17</v>
      </c>
      <c r="J13" s="2867"/>
      <c r="K13" s="2867">
        <f>面积!H11</f>
        <v>23083.83</v>
      </c>
      <c r="L13" s="2867"/>
      <c r="M13" s="2867">
        <f>面积!E11-面积!H11+面积!E10+面积!E9</f>
        <v>46794.32</v>
      </c>
      <c r="N13" s="2867"/>
      <c r="O13" s="2867"/>
      <c r="P13" s="2867"/>
      <c r="Q13" s="2867"/>
      <c r="R13" s="2867"/>
      <c r="S13" s="2867"/>
      <c r="T13" s="2867"/>
      <c r="U13" s="2867"/>
      <c r="V13" s="2867"/>
      <c r="W13" s="2867"/>
      <c r="X13" s="2867"/>
      <c r="Y13" s="2867"/>
      <c r="Z13" s="2867"/>
      <c r="AA13" s="2867"/>
      <c r="AB13" s="2867"/>
      <c r="AC13" s="2817">
        <f>SUMIF(AD$12:AS$12,"总值",AD13:AS13)</f>
        <v>511.71</v>
      </c>
      <c r="AD13" s="2813"/>
      <c r="AE13" s="2813"/>
      <c r="AF13" s="2813"/>
      <c r="AG13" s="2813"/>
      <c r="AH13" s="2813"/>
      <c r="AI13" s="2813"/>
      <c r="AJ13" s="2813"/>
      <c r="AK13" s="2813"/>
      <c r="AL13" s="2813">
        <f>面积!E14+面积!E16+面积!E20</f>
        <v>511.71</v>
      </c>
      <c r="AM13" s="2813"/>
      <c r="AN13" s="2813"/>
      <c r="AO13" s="2813"/>
      <c r="AP13" s="2813"/>
      <c r="AQ13" s="2813"/>
      <c r="AR13" s="2813"/>
      <c r="AS13" s="2813"/>
      <c r="AT13" s="2865"/>
      <c r="AU13" s="2868"/>
      <c r="AV13" s="1000">
        <f t="shared" ref="AV13:AX17" si="6">A13</f>
        <v>0</v>
      </c>
      <c r="AW13" s="1000">
        <f t="shared" si="6"/>
        <v>0</v>
      </c>
      <c r="AX13" s="1000">
        <f t="shared" si="6"/>
        <v>0</v>
      </c>
      <c r="AY13" s="2234">
        <f>ROUND($AY$6*AZ13/$AZ$5,2)</f>
        <v>42276.47</v>
      </c>
      <c r="AZ13" s="2817">
        <f>BA13+BL13</f>
        <v>154306.03</v>
      </c>
      <c r="BA13" s="2817">
        <f>SUM(BB13:BK13)</f>
        <v>153794.32</v>
      </c>
      <c r="BB13" s="2817">
        <f>IF($D13="是",I13-J13,0)</f>
        <v>83916.17</v>
      </c>
      <c r="BC13" s="2817">
        <f>IF($D13="是",K13-L13,0)</f>
        <v>23083.83</v>
      </c>
      <c r="BD13" s="2817">
        <f>IF($D13="是",M13-N13,0)</f>
        <v>46794.32</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511.71</v>
      </c>
      <c r="BM13" s="2817">
        <f>IF($D13="是",AD13-AE13,0)</f>
        <v>0</v>
      </c>
      <c r="BN13" s="2817">
        <f>IF($D13="是",AF13-AG13,0)</f>
        <v>0</v>
      </c>
      <c r="BO13" s="2817">
        <f>IF($D13="是",AH13-AI13,0)</f>
        <v>0</v>
      </c>
      <c r="BP13" s="2817">
        <f>IF($D13="是",AJ13-AK13,0)</f>
        <v>0</v>
      </c>
      <c r="BQ13" s="2817">
        <f>IF($D13="是",AL13-AM13,0)</f>
        <v>511.71</v>
      </c>
      <c r="BR13" s="2817">
        <f>IF($D13="是",AN13-AO13,0)</f>
        <v>0</v>
      </c>
      <c r="BS13" s="2817">
        <f>IF($D13="是",AP13-AQ13,0)</f>
        <v>0</v>
      </c>
      <c r="BT13" s="2825">
        <f>IF($D13="是",AR13-AS13,0)</f>
        <v>0</v>
      </c>
    </row>
    <row r="14" spans="1:72" s="2801" customFormat="1" ht="13.2">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34">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3.2">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34">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3.2">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34">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3.2">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34">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J53" sqref="J53"/>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224" t="s">
        <v>689</v>
      </c>
      <c r="B1" s="2299"/>
      <c r="C1" s="2299"/>
      <c r="D1" s="2299"/>
      <c r="E1" s="2299"/>
      <c r="F1" s="2299"/>
      <c r="G1" s="2299"/>
      <c r="H1" s="2299"/>
      <c r="I1" s="2299"/>
      <c r="J1" s="2299"/>
      <c r="K1" s="2299"/>
      <c r="L1" s="2299"/>
      <c r="M1" s="2299"/>
      <c r="N1" s="2299"/>
      <c r="O1" s="2299"/>
      <c r="P1" s="2299"/>
    </row>
    <row r="2" spans="1:16" ht="14.4">
      <c r="A2" s="3312" t="s">
        <v>690</v>
      </c>
      <c r="B2" s="3312"/>
      <c r="C2" s="3312"/>
      <c r="D2" s="2131" t="s">
        <v>691</v>
      </c>
      <c r="E2" s="2739" t="s">
        <v>692</v>
      </c>
      <c r="F2" s="2570"/>
      <c r="G2" s="2740"/>
      <c r="H2" s="2741"/>
      <c r="I2" s="2444" t="s">
        <v>693</v>
      </c>
      <c r="J2" s="2570"/>
      <c r="K2" s="2570"/>
      <c r="L2" s="2570"/>
      <c r="M2" s="2570"/>
      <c r="N2" s="1065"/>
      <c r="O2" s="2570"/>
      <c r="P2" s="2570"/>
    </row>
    <row r="3" spans="1:16" ht="14.4">
      <c r="A3" s="3313" t="s">
        <v>694</v>
      </c>
      <c r="B3" s="3313"/>
      <c r="C3" s="3313"/>
      <c r="D3" s="2742">
        <f>'数据-基础表'!AY6</f>
        <v>42276.47</v>
      </c>
      <c r="E3" s="2742">
        <f>'数据-基础表'!AZ5</f>
        <v>154306.03</v>
      </c>
      <c r="F3" s="2570"/>
      <c r="G3" s="2743"/>
      <c r="H3" s="2248" t="s">
        <v>695</v>
      </c>
      <c r="I3" s="1507">
        <f>ROUND('数据-基础表'!B3/'数据-基础表'!A3,2)</f>
        <v>3.65</v>
      </c>
      <c r="J3" s="2570"/>
      <c r="K3" s="2570"/>
      <c r="L3" s="2570"/>
      <c r="M3" s="2570"/>
      <c r="N3" s="1065"/>
      <c r="O3" s="2570"/>
      <c r="P3" s="2570"/>
    </row>
    <row r="4" spans="1:16" ht="14.4">
      <c r="A4" s="3314"/>
      <c r="B4" s="3315"/>
      <c r="C4" s="3316"/>
      <c r="D4" s="2744" t="s">
        <v>691</v>
      </c>
      <c r="E4" s="2745" t="s">
        <v>692</v>
      </c>
      <c r="F4" s="2570"/>
      <c r="G4" s="2746" t="s">
        <v>696</v>
      </c>
      <c r="H4" s="2248" t="s">
        <v>697</v>
      </c>
      <c r="I4" s="1507">
        <f>ROUND(SUMIF('数据-基础表'!I9:AS9,"地上",'数据-基础表'!I5:AS5)/'数据-基础表'!A3,2)</f>
        <v>2</v>
      </c>
      <c r="J4" s="2570"/>
      <c r="K4" s="2570"/>
      <c r="L4" s="2570"/>
      <c r="M4" s="2570"/>
      <c r="N4" s="1065"/>
      <c r="O4" s="2570"/>
      <c r="P4" s="2570"/>
    </row>
    <row r="5" spans="1:16" ht="14.4">
      <c r="A5" s="2743" t="s">
        <v>698</v>
      </c>
      <c r="B5" s="3317" t="s">
        <v>699</v>
      </c>
      <c r="C5" s="3317"/>
      <c r="D5" s="2248">
        <f>ROUND($D$3*E5/$E$3,2)</f>
        <v>0</v>
      </c>
      <c r="E5" s="2747">
        <f>SUMIF('数据-基础表'!$11:$11,"住宅",'数据-基础表'!$5:$5)</f>
        <v>0</v>
      </c>
      <c r="F5" s="2570"/>
      <c r="G5" s="2743"/>
      <c r="H5" s="2248" t="s">
        <v>695</v>
      </c>
      <c r="I5" s="1507">
        <f>ROUND(E31/D31,2)</f>
        <v>3.65</v>
      </c>
      <c r="J5" s="2570"/>
      <c r="K5" s="2570"/>
      <c r="L5" s="2570"/>
      <c r="M5" s="2570"/>
      <c r="N5" s="2570"/>
      <c r="O5" s="2570"/>
      <c r="P5" s="2570"/>
    </row>
    <row r="6" spans="1:16" ht="14.4">
      <c r="A6" s="2748"/>
      <c r="B6" s="3317" t="s">
        <v>700</v>
      </c>
      <c r="C6" s="3317"/>
      <c r="D6" s="2248">
        <f>ROUND($D$3*E6/$E$3,2)</f>
        <v>42276.47</v>
      </c>
      <c r="E6" s="2747">
        <f>E3-E5</f>
        <v>154306.03</v>
      </c>
      <c r="F6" s="2570"/>
      <c r="G6" s="2749" t="s">
        <v>701</v>
      </c>
      <c r="H6" s="2750" t="s">
        <v>697</v>
      </c>
      <c r="I6" s="2751">
        <f>ROUND(F31/D31,2)</f>
        <v>2</v>
      </c>
      <c r="J6" s="2570"/>
      <c r="K6" s="2570"/>
      <c r="L6" s="2570"/>
      <c r="M6" s="2570"/>
      <c r="N6" s="2570"/>
      <c r="O6" s="2570"/>
      <c r="P6" s="2570"/>
    </row>
    <row r="7" spans="1:16" ht="14.4">
      <c r="A7" s="3318"/>
      <c r="B7" s="3319"/>
      <c r="C7" s="3320"/>
      <c r="D7" s="2744" t="s">
        <v>691</v>
      </c>
      <c r="E7" s="2752" t="s">
        <v>702</v>
      </c>
      <c r="F7" s="2570"/>
      <c r="G7" s="2753" t="s">
        <v>703</v>
      </c>
      <c r="H7" s="2669"/>
      <c r="I7" s="2754"/>
      <c r="J7" s="2570"/>
      <c r="K7" s="2570"/>
      <c r="L7" s="2570"/>
      <c r="M7" s="2570"/>
      <c r="N7" s="2570"/>
      <c r="O7" s="2570"/>
      <c r="P7" s="2570"/>
    </row>
    <row r="8" spans="1:16" ht="14.4">
      <c r="A8" s="2743" t="s">
        <v>704</v>
      </c>
      <c r="B8" s="2750" t="s">
        <v>705</v>
      </c>
      <c r="C8" s="2248" t="s">
        <v>706</v>
      </c>
      <c r="D8" s="2248">
        <f t="shared" ref="D8:D15" si="0">ROUND($D$3*E8/$E$3,2)</f>
        <v>22991.19</v>
      </c>
      <c r="E8" s="2755">
        <f>SUMIF('数据-基础表'!BB10:BK10,"地上",'数据-基础表'!BB5:BK5)</f>
        <v>83916.17</v>
      </c>
      <c r="F8" s="2570"/>
      <c r="G8" s="2570"/>
      <c r="H8" s="2570"/>
      <c r="I8" s="2570"/>
      <c r="J8" s="2570"/>
      <c r="K8" s="2570"/>
      <c r="L8" s="2570"/>
      <c r="M8" s="2570"/>
      <c r="N8" s="2570"/>
      <c r="O8" s="2570"/>
      <c r="P8" s="2570"/>
    </row>
    <row r="9" spans="1:16" ht="14.4">
      <c r="A9" s="2749"/>
      <c r="B9" s="2756"/>
      <c r="C9" s="2248" t="s">
        <v>707</v>
      </c>
      <c r="D9" s="2248">
        <f t="shared" si="0"/>
        <v>0</v>
      </c>
      <c r="E9" s="2757">
        <v>0</v>
      </c>
      <c r="F9" s="2570"/>
      <c r="G9" s="2570"/>
      <c r="H9" s="2570"/>
      <c r="I9" s="2570"/>
      <c r="J9" s="2570"/>
      <c r="K9" s="2570"/>
      <c r="L9" s="2570"/>
      <c r="M9" s="2570"/>
      <c r="N9" s="2570"/>
      <c r="O9" s="2570"/>
      <c r="P9" s="2570"/>
    </row>
    <row r="10" spans="1:16" ht="14.4">
      <c r="A10" s="2749"/>
      <c r="B10" s="2756"/>
      <c r="C10" s="2248" t="s">
        <v>708</v>
      </c>
      <c r="D10" s="2248">
        <f t="shared" si="0"/>
        <v>6324.46</v>
      </c>
      <c r="E10" s="2755">
        <f>SUMPRODUCT(('数据-基础表'!BB10:BK10="地下")*('数据-基础表'!BB11:BK11="商业")*('数据-基础表'!BB5:BK5))</f>
        <v>23083.83</v>
      </c>
      <c r="F10" s="2570"/>
      <c r="G10" s="2570"/>
      <c r="H10" s="2570"/>
      <c r="I10" s="2570"/>
      <c r="J10" s="2570"/>
      <c r="K10" s="2570"/>
      <c r="L10" s="2570"/>
      <c r="M10" s="2570"/>
      <c r="N10" s="2570"/>
      <c r="O10" s="2570"/>
      <c r="P10" s="2570"/>
    </row>
    <row r="11" spans="1:16" ht="14.4">
      <c r="A11" s="2749"/>
      <c r="B11" s="2756"/>
      <c r="C11" s="2248" t="s">
        <v>709</v>
      </c>
      <c r="D11" s="2248">
        <f t="shared" si="0"/>
        <v>0</v>
      </c>
      <c r="E11" s="2755">
        <f>SUMPRODUCT(('数据-基础表'!BB10:BK10="地下")*('数据-基础表'!BB11:BK11="办公")*('数据-基础表'!BB5:BK5))+'数据-基础表'!BP5</f>
        <v>0</v>
      </c>
      <c r="F11" s="2570"/>
      <c r="G11" s="2570"/>
      <c r="H11" s="2570"/>
      <c r="I11" s="2570"/>
      <c r="J11" s="2570"/>
      <c r="K11" s="2570"/>
      <c r="L11" s="2570"/>
      <c r="M11" s="2570"/>
      <c r="N11" s="2570"/>
      <c r="O11" s="2570"/>
      <c r="P11" s="2570"/>
    </row>
    <row r="12" spans="1:16" ht="14.4">
      <c r="A12" s="2749"/>
      <c r="B12" s="2756"/>
      <c r="C12" s="2248" t="s">
        <v>710</v>
      </c>
      <c r="D12" s="2248">
        <f t="shared" si="0"/>
        <v>0</v>
      </c>
      <c r="E12" s="2755">
        <f>SUMPRODUCT(('数据-基础表'!BB10:BK10="地下")*('数据-基础表'!BB11:BK11="仓储")*('数据-基础表'!BB5:BK5))</f>
        <v>0</v>
      </c>
      <c r="F12" s="2570"/>
      <c r="G12" s="2570"/>
      <c r="H12" s="2570"/>
      <c r="I12" s="2570"/>
      <c r="J12" s="2570"/>
      <c r="K12" s="2570"/>
      <c r="L12" s="2570"/>
      <c r="M12" s="2570"/>
      <c r="N12" s="2570"/>
      <c r="O12" s="2570"/>
      <c r="P12" s="2570"/>
    </row>
    <row r="13" spans="1:16" ht="14.4">
      <c r="A13" s="2749"/>
      <c r="B13" s="2756"/>
      <c r="C13" s="2248" t="s">
        <v>711</v>
      </c>
      <c r="D13" s="2248">
        <f t="shared" si="0"/>
        <v>12820.62</v>
      </c>
      <c r="E13" s="2755">
        <f>SUMPRODUCT(('数据-基础表'!BB10:BK10="地下")*('数据-基础表'!BB11:BK11="车库")*('数据-基础表'!BB5:BK5))</f>
        <v>46794.32</v>
      </c>
      <c r="F13" s="2570"/>
      <c r="G13" s="2570"/>
      <c r="H13" s="2570"/>
      <c r="I13" s="2570"/>
      <c r="J13" s="2570"/>
      <c r="K13" s="2570"/>
      <c r="L13" s="2570"/>
      <c r="M13" s="2570"/>
      <c r="N13" s="2570"/>
      <c r="O13" s="2570"/>
      <c r="P13" s="2570"/>
    </row>
    <row r="14" spans="1:16" ht="14.4">
      <c r="A14" s="2749"/>
      <c r="B14" s="2756"/>
      <c r="C14" s="2248" t="s">
        <v>712</v>
      </c>
      <c r="D14" s="2248">
        <f t="shared" si="0"/>
        <v>0</v>
      </c>
      <c r="E14" s="2755">
        <f>SUMPRODUCT(('数据-基础表'!BB10:BK10="地下")*('数据-基础表'!BB11:BK11="车库—商业")*('数据-基础表'!BB5:BK5))</f>
        <v>0</v>
      </c>
      <c r="F14" s="2570"/>
      <c r="G14" s="2570"/>
      <c r="H14" s="2570"/>
      <c r="I14" s="2570"/>
      <c r="J14" s="2570"/>
      <c r="K14" s="2570"/>
      <c r="L14" s="2570"/>
      <c r="M14" s="2570"/>
      <c r="N14" s="2570"/>
      <c r="O14" s="2570"/>
      <c r="P14" s="2570"/>
    </row>
    <row r="15" spans="1:16" ht="14.4">
      <c r="A15" s="2749"/>
      <c r="B15" s="2756"/>
      <c r="C15" s="2248" t="s">
        <v>713</v>
      </c>
      <c r="D15" s="2248">
        <f t="shared" si="0"/>
        <v>0</v>
      </c>
      <c r="E15" s="2755">
        <f>SUMPRODUCT(('数据-基础表'!BB10:BK10="地下")*('数据-基础表'!BB11:BK11="车库—办公")*('数据-基础表'!BB5:BK5))</f>
        <v>0</v>
      </c>
      <c r="F15" s="2570"/>
      <c r="G15" s="2570"/>
      <c r="H15" s="2570"/>
      <c r="I15" s="2570"/>
      <c r="J15" s="2570"/>
      <c r="K15" s="2570"/>
      <c r="L15" s="2570"/>
      <c r="M15" s="2570"/>
      <c r="N15" s="2570"/>
      <c r="O15" s="2570"/>
      <c r="P15" s="2570"/>
    </row>
    <row r="16" spans="1:16" ht="14.4">
      <c r="A16" s="2748"/>
      <c r="B16" s="2756"/>
      <c r="C16" s="2750" t="s">
        <v>714</v>
      </c>
      <c r="D16" s="2750">
        <f>SUM(D8:D15)</f>
        <v>42136.27</v>
      </c>
      <c r="E16" s="2758">
        <f>SUM(E8:E15)</f>
        <v>153794.32</v>
      </c>
      <c r="F16" s="2570"/>
      <c r="G16" s="2570"/>
      <c r="H16" s="2759" t="s">
        <v>715</v>
      </c>
      <c r="I16" s="2760"/>
      <c r="J16" s="2299"/>
      <c r="K16" s="3321" t="s">
        <v>715</v>
      </c>
      <c r="L16" s="3322"/>
      <c r="M16" s="3322"/>
      <c r="N16" s="3322"/>
      <c r="O16" s="3322"/>
      <c r="P16" s="3323"/>
    </row>
    <row r="17" spans="1:19" ht="14.4">
      <c r="A17" s="2577" t="s">
        <v>716</v>
      </c>
      <c r="B17" s="2762" t="s">
        <v>717</v>
      </c>
      <c r="C17" s="2273" t="s">
        <v>718</v>
      </c>
      <c r="D17" s="2761" t="s">
        <v>691</v>
      </c>
      <c r="E17" s="2763" t="s">
        <v>692</v>
      </c>
      <c r="F17" s="2764"/>
      <c r="G17" s="2765"/>
      <c r="H17" s="2766" t="s">
        <v>719</v>
      </c>
      <c r="I17" s="2767" t="s">
        <v>720</v>
      </c>
      <c r="J17" s="2299"/>
      <c r="K17" s="3324" t="s">
        <v>721</v>
      </c>
      <c r="L17" s="3325"/>
      <c r="M17" s="3326"/>
      <c r="N17" s="3324" t="s">
        <v>722</v>
      </c>
      <c r="O17" s="3325"/>
      <c r="P17" s="3326"/>
      <c r="R17" s="2170" t="s">
        <v>723</v>
      </c>
      <c r="S17" s="2238"/>
    </row>
    <row r="18" spans="1:19" ht="14.4">
      <c r="A18" s="2749"/>
      <c r="B18" s="2768"/>
      <c r="C18" s="2241"/>
      <c r="D18" s="2769"/>
      <c r="E18" s="2770" t="s">
        <v>724</v>
      </c>
      <c r="F18" s="2771" t="s">
        <v>697</v>
      </c>
      <c r="G18" s="2772" t="s">
        <v>725</v>
      </c>
      <c r="H18" s="2620" t="s">
        <v>726</v>
      </c>
      <c r="I18" s="2773" t="s">
        <v>727</v>
      </c>
      <c r="J18" s="2299"/>
      <c r="K18" s="2620" t="s">
        <v>728</v>
      </c>
      <c r="L18" s="2457" t="s">
        <v>729</v>
      </c>
      <c r="M18" s="1507" t="s">
        <v>730</v>
      </c>
      <c r="N18" s="2620" t="s">
        <v>728</v>
      </c>
      <c r="O18" s="2457" t="s">
        <v>729</v>
      </c>
      <c r="P18" s="1507" t="s">
        <v>730</v>
      </c>
      <c r="R18" s="2248" t="s">
        <v>726</v>
      </c>
      <c r="S18" s="2248" t="s">
        <v>727</v>
      </c>
    </row>
    <row r="19" spans="1:19" ht="14.4">
      <c r="A19" s="2774"/>
      <c r="B19" s="2750" t="s">
        <v>731</v>
      </c>
      <c r="C19" s="2775" t="s">
        <v>732</v>
      </c>
      <c r="D19" s="2248">
        <f>ROUND($D$3*E19/$E$3,2)</f>
        <v>42136.27</v>
      </c>
      <c r="E19" s="2776">
        <f t="shared" ref="E19:E26" si="1">SUM(F19:G19)</f>
        <v>153794.32</v>
      </c>
      <c r="F19" s="2777">
        <f>'数据-基础表'!I13</f>
        <v>83916.17</v>
      </c>
      <c r="G19" s="2285">
        <f>'数据-基础表'!K13+'数据-基础表'!M13</f>
        <v>69878.149999999994</v>
      </c>
      <c r="H19" s="2643">
        <f>ROUND($D$3*I19/$E$3,2)</f>
        <v>140.19999999999999</v>
      </c>
      <c r="I19" s="2755">
        <f t="shared" ref="I19:I26" si="2">IF($I$17="自定义",P19,M19)</f>
        <v>511.71</v>
      </c>
      <c r="J19" s="2299"/>
      <c r="K19" s="2643">
        <f t="shared" ref="K19:K26" si="3">ROUND(E$28*E19/E$27,2)</f>
        <v>511.71</v>
      </c>
      <c r="L19" s="2248">
        <f t="shared" ref="L19:L26" si="4">ROUND(IF(COUNTIF(C19,"*住宅*")&gt;0,E$29*E19/E$32,0),2)</f>
        <v>0</v>
      </c>
      <c r="M19" s="2755">
        <f>K19+L19</f>
        <v>511.71</v>
      </c>
      <c r="N19" s="2778"/>
      <c r="O19" s="2779"/>
      <c r="P19" s="2755">
        <f>N19+O19</f>
        <v>0</v>
      </c>
      <c r="R19" s="2248">
        <f t="shared" ref="R19:S26" si="5">D19+H19</f>
        <v>42276.47</v>
      </c>
      <c r="S19" s="2776">
        <f t="shared" si="5"/>
        <v>154306.03</v>
      </c>
    </row>
    <row r="20" spans="1:19" ht="14.4">
      <c r="A20" s="2774"/>
      <c r="B20" s="2750" t="s">
        <v>731</v>
      </c>
      <c r="C20" s="2775"/>
      <c r="D20" s="2248">
        <f t="shared" ref="D20:D26" si="6">ROUND($D$3*E20/$E$3,2)</f>
        <v>0</v>
      </c>
      <c r="E20" s="2776">
        <f t="shared" si="1"/>
        <v>0</v>
      </c>
      <c r="F20" s="2777"/>
      <c r="G20" s="2285"/>
      <c r="H20" s="2643">
        <f t="shared" ref="H20:H26" si="7">ROUND($D$3*I20/$E$3,2)</f>
        <v>0</v>
      </c>
      <c r="I20" s="2755">
        <f t="shared" si="2"/>
        <v>0</v>
      </c>
      <c r="J20" s="2299"/>
      <c r="K20" s="2643">
        <f t="shared" si="3"/>
        <v>0</v>
      </c>
      <c r="L20" s="2248">
        <f t="shared" si="4"/>
        <v>0</v>
      </c>
      <c r="M20" s="2755">
        <f t="shared" ref="M20:M26" si="8">K20+L20</f>
        <v>0</v>
      </c>
      <c r="N20" s="2778"/>
      <c r="O20" s="2779"/>
      <c r="P20" s="2755">
        <f t="shared" ref="P20:P26" si="9">N20+O20</f>
        <v>0</v>
      </c>
      <c r="R20" s="2248">
        <f t="shared" si="5"/>
        <v>0</v>
      </c>
      <c r="S20" s="2776">
        <f t="shared" si="5"/>
        <v>0</v>
      </c>
    </row>
    <row r="21" spans="1:19" ht="14.4">
      <c r="A21" s="2774"/>
      <c r="B21" s="2750" t="s">
        <v>731</v>
      </c>
      <c r="C21" s="2775"/>
      <c r="D21" s="2248">
        <f t="shared" si="6"/>
        <v>0</v>
      </c>
      <c r="E21" s="2776">
        <f t="shared" si="1"/>
        <v>0</v>
      </c>
      <c r="F21" s="2777"/>
      <c r="G21" s="2285"/>
      <c r="H21" s="2643">
        <f t="shared" si="7"/>
        <v>0</v>
      </c>
      <c r="I21" s="2755">
        <f t="shared" si="2"/>
        <v>0</v>
      </c>
      <c r="J21" s="2299"/>
      <c r="K21" s="2643">
        <f t="shared" si="3"/>
        <v>0</v>
      </c>
      <c r="L21" s="2248">
        <f t="shared" si="4"/>
        <v>0</v>
      </c>
      <c r="M21" s="2755">
        <f t="shared" si="8"/>
        <v>0</v>
      </c>
      <c r="N21" s="2778"/>
      <c r="O21" s="2779"/>
      <c r="P21" s="2755">
        <f t="shared" si="9"/>
        <v>0</v>
      </c>
      <c r="R21" s="2248">
        <f t="shared" si="5"/>
        <v>0</v>
      </c>
      <c r="S21" s="2776">
        <f t="shared" si="5"/>
        <v>0</v>
      </c>
    </row>
    <row r="22" spans="1:19" ht="14.4">
      <c r="A22" s="2774"/>
      <c r="B22" s="2750" t="s">
        <v>731</v>
      </c>
      <c r="C22" s="2780"/>
      <c r="D22" s="2248">
        <f t="shared" si="6"/>
        <v>0</v>
      </c>
      <c r="E22" s="2776">
        <f t="shared" si="1"/>
        <v>0</v>
      </c>
      <c r="F22" s="2781"/>
      <c r="G22" s="2782"/>
      <c r="H22" s="2643">
        <f t="shared" si="7"/>
        <v>0</v>
      </c>
      <c r="I22" s="2755">
        <f t="shared" si="2"/>
        <v>0</v>
      </c>
      <c r="J22" s="2299"/>
      <c r="K22" s="2643">
        <f t="shared" si="3"/>
        <v>0</v>
      </c>
      <c r="L22" s="2248">
        <f t="shared" si="4"/>
        <v>0</v>
      </c>
      <c r="M22" s="2755">
        <f t="shared" si="8"/>
        <v>0</v>
      </c>
      <c r="N22" s="2778"/>
      <c r="O22" s="2779"/>
      <c r="P22" s="2755">
        <f t="shared" si="9"/>
        <v>0</v>
      </c>
      <c r="R22" s="2248">
        <f t="shared" si="5"/>
        <v>0</v>
      </c>
      <c r="S22" s="2776">
        <f t="shared" si="5"/>
        <v>0</v>
      </c>
    </row>
    <row r="23" spans="1:19" ht="14.4">
      <c r="A23" s="2774"/>
      <c r="B23" s="2750" t="s">
        <v>731</v>
      </c>
      <c r="C23" s="2780"/>
      <c r="D23" s="2248">
        <f t="shared" si="6"/>
        <v>0</v>
      </c>
      <c r="E23" s="2776">
        <f t="shared" si="1"/>
        <v>0</v>
      </c>
      <c r="F23" s="2781"/>
      <c r="G23" s="2782"/>
      <c r="H23" s="2643">
        <f t="shared" si="7"/>
        <v>0</v>
      </c>
      <c r="I23" s="2755">
        <f t="shared" si="2"/>
        <v>0</v>
      </c>
      <c r="J23" s="2299"/>
      <c r="K23" s="2643">
        <f t="shared" si="3"/>
        <v>0</v>
      </c>
      <c r="L23" s="2248">
        <f t="shared" si="4"/>
        <v>0</v>
      </c>
      <c r="M23" s="2755">
        <f t="shared" si="8"/>
        <v>0</v>
      </c>
      <c r="N23" s="2778"/>
      <c r="O23" s="2779"/>
      <c r="P23" s="2755">
        <f t="shared" si="9"/>
        <v>0</v>
      </c>
      <c r="R23" s="2248">
        <f t="shared" si="5"/>
        <v>0</v>
      </c>
      <c r="S23" s="2776">
        <f t="shared" si="5"/>
        <v>0</v>
      </c>
    </row>
    <row r="24" spans="1:19" ht="14.4">
      <c r="A24" s="2774"/>
      <c r="B24" s="2750" t="s">
        <v>731</v>
      </c>
      <c r="C24" s="2780"/>
      <c r="D24" s="2248">
        <f t="shared" si="6"/>
        <v>0</v>
      </c>
      <c r="E24" s="2776">
        <f t="shared" si="1"/>
        <v>0</v>
      </c>
      <c r="F24" s="2781"/>
      <c r="G24" s="2782"/>
      <c r="H24" s="2643">
        <f t="shared" si="7"/>
        <v>0</v>
      </c>
      <c r="I24" s="2755">
        <f t="shared" si="2"/>
        <v>0</v>
      </c>
      <c r="J24" s="2299"/>
      <c r="K24" s="2643">
        <f t="shared" si="3"/>
        <v>0</v>
      </c>
      <c r="L24" s="2248">
        <f t="shared" si="4"/>
        <v>0</v>
      </c>
      <c r="M24" s="2755">
        <f t="shared" si="8"/>
        <v>0</v>
      </c>
      <c r="N24" s="2778"/>
      <c r="O24" s="2779"/>
      <c r="P24" s="2755">
        <f t="shared" si="9"/>
        <v>0</v>
      </c>
      <c r="R24" s="2248">
        <f t="shared" si="5"/>
        <v>0</v>
      </c>
      <c r="S24" s="2776">
        <f t="shared" si="5"/>
        <v>0</v>
      </c>
    </row>
    <row r="25" spans="1:19" ht="14.4">
      <c r="A25" s="2774"/>
      <c r="B25" s="2750" t="s">
        <v>731</v>
      </c>
      <c r="C25" s="2780"/>
      <c r="D25" s="2248">
        <f t="shared" si="6"/>
        <v>0</v>
      </c>
      <c r="E25" s="2776">
        <f t="shared" si="1"/>
        <v>0</v>
      </c>
      <c r="F25" s="2781"/>
      <c r="G25" s="2782"/>
      <c r="H25" s="2743">
        <f t="shared" si="7"/>
        <v>0</v>
      </c>
      <c r="I25" s="2755">
        <f t="shared" si="2"/>
        <v>0</v>
      </c>
      <c r="J25" s="2299"/>
      <c r="K25" s="2643">
        <f t="shared" si="3"/>
        <v>0</v>
      </c>
      <c r="L25" s="2248">
        <f t="shared" si="4"/>
        <v>0</v>
      </c>
      <c r="M25" s="2755">
        <f t="shared" si="8"/>
        <v>0</v>
      </c>
      <c r="N25" s="2778"/>
      <c r="O25" s="2779"/>
      <c r="P25" s="2755">
        <f t="shared" si="9"/>
        <v>0</v>
      </c>
      <c r="R25" s="2248">
        <f t="shared" si="5"/>
        <v>0</v>
      </c>
      <c r="S25" s="2776">
        <f t="shared" si="5"/>
        <v>0</v>
      </c>
    </row>
    <row r="26" spans="1:19" ht="14.4">
      <c r="A26" s="2774"/>
      <c r="B26" s="2750" t="s">
        <v>731</v>
      </c>
      <c r="C26" s="2783"/>
      <c r="D26" s="2248">
        <f t="shared" si="6"/>
        <v>0</v>
      </c>
      <c r="E26" s="2776">
        <f t="shared" si="1"/>
        <v>0</v>
      </c>
      <c r="F26" s="2781"/>
      <c r="G26" s="2782"/>
      <c r="H26" s="2743">
        <f t="shared" si="7"/>
        <v>0</v>
      </c>
      <c r="I26" s="2755">
        <f t="shared" si="2"/>
        <v>0</v>
      </c>
      <c r="J26" s="2299"/>
      <c r="K26" s="2743">
        <f t="shared" si="3"/>
        <v>0</v>
      </c>
      <c r="L26" s="2750">
        <f t="shared" si="4"/>
        <v>0</v>
      </c>
      <c r="M26" s="2758">
        <f t="shared" si="8"/>
        <v>0</v>
      </c>
      <c r="N26" s="2784"/>
      <c r="O26" s="2785"/>
      <c r="P26" s="2758">
        <f t="shared" si="9"/>
        <v>0</v>
      </c>
      <c r="R26" s="2248">
        <f t="shared" si="5"/>
        <v>0</v>
      </c>
      <c r="S26" s="2776">
        <f t="shared" si="5"/>
        <v>0</v>
      </c>
    </row>
    <row r="27" spans="1:19" ht="14.4">
      <c r="A27" s="2774"/>
      <c r="B27" s="2248"/>
      <c r="C27" s="2447" t="s">
        <v>733</v>
      </c>
      <c r="D27" s="2786">
        <f>SUM(D19:D26)</f>
        <v>42136.27</v>
      </c>
      <c r="E27" s="2787">
        <f>IF(SUM(E19:E26)='数据-基础表'!BA5,SUM(E19:E26),IF(F27="地上面积有误","面积有误","地下面积有误"))</f>
        <v>153794.32</v>
      </c>
      <c r="F27" s="2786">
        <f>IF(SUM(F19:F26)=E8,SUM(F19:F26),"地上面积有误")</f>
        <v>83916.17</v>
      </c>
      <c r="G27" s="2788">
        <f>SUM(G19:G26)</f>
        <v>69878.149999999994</v>
      </c>
      <c r="H27" s="2789">
        <f>SUM(H19:H26)</f>
        <v>140.19999999999999</v>
      </c>
      <c r="I27" s="2790">
        <f>SUM(I19:I26)</f>
        <v>511.71</v>
      </c>
      <c r="J27" s="2299"/>
      <c r="K27" s="2791">
        <f>SUM(K19:K26)</f>
        <v>511.71</v>
      </c>
      <c r="L27" s="2177">
        <f>SUM(L19:L26)</f>
        <v>0</v>
      </c>
      <c r="M27" s="2792">
        <f>SUM(M19:M26)</f>
        <v>511.71</v>
      </c>
      <c r="N27" s="2791">
        <f t="shared" ref="N27:P27" si="10">SUM(N19:N26)</f>
        <v>0</v>
      </c>
      <c r="O27" s="2177">
        <f t="shared" si="10"/>
        <v>0</v>
      </c>
      <c r="P27" s="2668">
        <f t="shared" si="10"/>
        <v>0</v>
      </c>
      <c r="R27" s="2595">
        <f>IF(SUM(R19:R26)=$D$3,SUM(R19:R26),SUM(R19:R26)&amp;"误差"&amp;ROUND(SUM(R19:R26)-$D$3,2))</f>
        <v>42276.47</v>
      </c>
      <c r="S27" s="2248">
        <f>IF(SUM(S19:S26)=$E$3,SUM(S19:S26),SUM(S19:S26)&amp;"误差"&amp;ROUND(SUM(S19:S26)-E3,2))</f>
        <v>154306.03</v>
      </c>
    </row>
    <row r="28" spans="1:19" ht="14.4">
      <c r="A28" s="2774"/>
      <c r="B28" s="2750" t="s">
        <v>734</v>
      </c>
      <c r="C28" s="2238" t="s">
        <v>735</v>
      </c>
      <c r="D28" s="2248">
        <f>ROUND($D$3*E28/$E$3,2)</f>
        <v>140.19999999999999</v>
      </c>
      <c r="E28" s="2776">
        <f>SUM(F28:G28)</f>
        <v>511.71</v>
      </c>
      <c r="F28" s="2238">
        <f>'数据-基础表'!BQ5+'数据-基础表'!BS5</f>
        <v>511.71</v>
      </c>
      <c r="G28" s="2157">
        <f>'数据-基础表'!BR5+'数据-基础表'!BT5</f>
        <v>0</v>
      </c>
      <c r="H28" s="2570"/>
      <c r="I28" s="2570"/>
      <c r="J28" s="2570"/>
      <c r="K28" s="2570"/>
      <c r="L28" s="2570"/>
      <c r="M28" s="2570"/>
      <c r="N28" s="2570"/>
      <c r="O28" s="2570"/>
      <c r="P28" s="2570"/>
    </row>
    <row r="29" spans="1:19" ht="14.4">
      <c r="A29" s="2774"/>
      <c r="B29" s="2750" t="s">
        <v>734</v>
      </c>
      <c r="C29" s="2297" t="s">
        <v>736</v>
      </c>
      <c r="D29" s="2248">
        <f>ROUND($D$3*E29/$E$3,2)</f>
        <v>0</v>
      </c>
      <c r="E29" s="2776">
        <f>SUM(F29:G29)</f>
        <v>0</v>
      </c>
      <c r="F29" s="2793">
        <f>'数据-基础表'!BM5+'数据-基础表'!BO5</f>
        <v>0</v>
      </c>
      <c r="G29" s="2758">
        <f>'数据-基础表'!BN5+'数据-基础表'!BP5</f>
        <v>0</v>
      </c>
      <c r="H29" s="2570"/>
      <c r="I29" s="2570"/>
      <c r="J29" s="2570"/>
      <c r="K29" s="2570"/>
      <c r="L29" s="2570"/>
      <c r="M29" s="2570"/>
      <c r="N29" s="2570"/>
      <c r="O29" s="2570"/>
      <c r="P29" s="2570"/>
    </row>
    <row r="30" spans="1:19" ht="14.4">
      <c r="A30" s="2774"/>
      <c r="B30" s="2750"/>
      <c r="C30" s="2794" t="s">
        <v>733</v>
      </c>
      <c r="D30" s="2786">
        <f>SUM(D28:D29)</f>
        <v>140.19999999999999</v>
      </c>
      <c r="E30" s="2786">
        <f>SUM(E28:E29)</f>
        <v>511.71</v>
      </c>
      <c r="F30" s="2786">
        <f>SUM(F28:F29)</f>
        <v>511.71</v>
      </c>
      <c r="G30" s="2788">
        <f>SUM(G28:G29)</f>
        <v>0</v>
      </c>
      <c r="H30" s="2570"/>
      <c r="I30" s="2570"/>
      <c r="J30" s="2570"/>
      <c r="K30" s="2570"/>
      <c r="L30" s="2570"/>
      <c r="M30" s="2570"/>
      <c r="N30" s="2570"/>
      <c r="O30" s="2570"/>
      <c r="P30" s="2570"/>
    </row>
    <row r="31" spans="1:19" ht="14.4">
      <c r="A31" s="2795"/>
      <c r="B31" s="2667"/>
      <c r="C31" s="2177" t="s">
        <v>737</v>
      </c>
      <c r="D31" s="2796">
        <f>D27+D30</f>
        <v>42276.47</v>
      </c>
      <c r="E31" s="2796">
        <f>E27+E30</f>
        <v>154306.03</v>
      </c>
      <c r="F31" s="2797">
        <f>F27+F30</f>
        <v>84427.88</v>
      </c>
      <c r="G31" s="2798">
        <f>G27+G30</f>
        <v>69878.149999999994</v>
      </c>
      <c r="H31" s="2570"/>
      <c r="I31" s="2570"/>
      <c r="J31" s="2570"/>
      <c r="K31" s="2570"/>
      <c r="L31" s="2570"/>
      <c r="M31" s="2570"/>
      <c r="N31" s="2570"/>
      <c r="O31" s="2570"/>
      <c r="P31" s="2570"/>
    </row>
    <row r="32" spans="1:19" ht="14.4">
      <c r="A32" s="2768"/>
      <c r="B32" s="2768" t="s">
        <v>738</v>
      </c>
      <c r="C32" s="2768"/>
      <c r="D32" s="2768"/>
      <c r="E32" s="2799">
        <f>SUMIF(C19:C26,"*住宅*",E19:E26)</f>
        <v>0</v>
      </c>
      <c r="F32" s="2768"/>
      <c r="G32" s="2768"/>
      <c r="H32" s="2570"/>
      <c r="I32" s="2570"/>
      <c r="J32" s="2570"/>
      <c r="K32" s="2570"/>
      <c r="L32" s="2570"/>
      <c r="M32" s="2570"/>
      <c r="N32" s="2570"/>
      <c r="O32" s="2570"/>
      <c r="P32" s="2570"/>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E30" sqref="E30"/>
    </sheetView>
  </sheetViews>
  <sheetFormatPr defaultColWidth="13.77734375" defaultRowHeight="13.2"/>
  <cols>
    <col min="1" max="1" width="20.88671875" style="2562" customWidth="1"/>
    <col min="2" max="2" width="12" style="2223" customWidth="1"/>
    <col min="3" max="3" width="12.77734375" style="2223" customWidth="1"/>
    <col min="4" max="4" width="9.109375" style="2563" customWidth="1"/>
    <col min="5" max="5" width="15" style="2223" customWidth="1"/>
    <col min="6" max="10" width="8.88671875" style="2223" customWidth="1"/>
    <col min="11" max="12" width="12.33203125" style="2564" customWidth="1"/>
    <col min="13" max="13" width="8.6640625" style="2223" customWidth="1"/>
    <col min="14" max="14" width="11.88671875" style="2223" customWidth="1"/>
    <col min="15" max="15" width="8.44140625" style="2223" customWidth="1"/>
    <col min="16" max="17" width="10.88671875" style="2223" customWidth="1"/>
    <col min="18" max="19" width="12.44140625" style="2223" customWidth="1"/>
    <col min="20" max="20" width="12.109375" style="2223" customWidth="1"/>
    <col min="21" max="21" width="7.44140625" style="2223" customWidth="1"/>
    <col min="22" max="22" width="6.33203125" style="2223" customWidth="1"/>
    <col min="23" max="30" width="6.77734375" style="2223" customWidth="1"/>
    <col min="31" max="31" width="8" style="2223" customWidth="1"/>
    <col min="32" max="34" width="7.21875" style="2223" customWidth="1"/>
    <col min="35" max="39" width="8" style="2223" customWidth="1"/>
    <col min="40" max="40" width="13.77734375" style="900"/>
    <col min="41" max="41" width="11.6640625" style="900" customWidth="1"/>
    <col min="42" max="42" width="9.77734375" style="900" customWidth="1"/>
    <col min="43" max="67" width="13.77734375" style="900"/>
    <col min="68" max="16384" width="13.77734375" style="2223"/>
  </cols>
  <sheetData>
    <row r="1" spans="1:67" ht="17.399999999999999">
      <c r="A1" s="2565" t="s">
        <v>739</v>
      </c>
      <c r="B1" s="1874"/>
      <c r="C1" s="985"/>
      <c r="D1" s="2566"/>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8"/>
      <c r="AO1" s="2108"/>
      <c r="AP1" s="2108"/>
      <c r="AQ1" s="2108"/>
      <c r="AR1" s="2108"/>
    </row>
    <row r="2" spans="1:67" s="2560" customFormat="1" ht="14.4">
      <c r="A2" s="2567" t="s">
        <v>740</v>
      </c>
      <c r="B2" s="2568">
        <f>项目基本情况!D3</f>
        <v>46026</v>
      </c>
      <c r="C2" s="2299"/>
      <c r="D2" s="2569"/>
      <c r="E2" s="2299"/>
      <c r="F2" s="2299"/>
      <c r="G2" s="2299"/>
      <c r="H2" s="2299"/>
      <c r="I2" s="2299"/>
      <c r="J2" s="2299"/>
      <c r="K2" s="1472"/>
      <c r="L2" s="1472"/>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570"/>
      <c r="AO2" s="2570"/>
      <c r="AP2" s="2570"/>
      <c r="AQ2" s="2570"/>
      <c r="AR2" s="2570"/>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60" customFormat="1" ht="13.8">
      <c r="A3" s="2571"/>
      <c r="B3" s="2241"/>
      <c r="C3" s="2299"/>
      <c r="D3" s="2569"/>
      <c r="E3" s="2299"/>
      <c r="F3" s="2299"/>
      <c r="G3" s="2299"/>
      <c r="H3" s="2299"/>
      <c r="I3" s="2299"/>
      <c r="J3" s="2299"/>
      <c r="K3" s="1472"/>
      <c r="L3" s="1472"/>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570"/>
      <c r="AO3" s="2570"/>
      <c r="AP3" s="2570"/>
      <c r="AQ3" s="2570"/>
      <c r="AR3" s="2570"/>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60" customFormat="1" ht="14.4">
      <c r="A4" s="1418" t="s">
        <v>741</v>
      </c>
      <c r="B4" s="2255"/>
      <c r="C4" s="2572"/>
      <c r="D4" s="2573"/>
      <c r="E4" s="2572" t="s">
        <v>742</v>
      </c>
      <c r="F4" s="2572"/>
      <c r="G4" s="2572"/>
      <c r="H4" s="2572"/>
      <c r="I4" s="2572"/>
      <c r="J4" s="2295"/>
      <c r="K4" s="2574"/>
      <c r="L4" s="2575"/>
      <c r="M4" s="2572"/>
      <c r="N4" s="2572" t="s">
        <v>743</v>
      </c>
      <c r="O4" s="2572"/>
      <c r="P4" s="2572"/>
      <c r="Q4" s="2572"/>
      <c r="R4" s="2572"/>
      <c r="S4" s="2295"/>
      <c r="T4" s="2576" t="str">
        <f>'数据-汇总表'!I17</f>
        <v>按面积比例</v>
      </c>
      <c r="U4" s="2255" t="s">
        <v>744</v>
      </c>
      <c r="V4" s="2572"/>
      <c r="W4" s="2572"/>
      <c r="X4" s="2572"/>
      <c r="Y4" s="2295"/>
      <c r="Z4" s="2273" t="s">
        <v>745</v>
      </c>
      <c r="AA4" s="2273"/>
      <c r="AB4" s="2273"/>
      <c r="AC4" s="2273"/>
      <c r="AD4" s="2273"/>
      <c r="AE4" s="2577" t="s">
        <v>746</v>
      </c>
      <c r="AF4" s="2273"/>
      <c r="AG4" s="2578"/>
      <c r="AH4" s="2255"/>
      <c r="AI4" s="2572"/>
      <c r="AJ4" s="2572"/>
      <c r="AK4" s="2572"/>
      <c r="AL4" s="2572"/>
      <c r="AM4" s="2295"/>
      <c r="AN4" s="2570"/>
      <c r="AO4" s="2570"/>
      <c r="AP4" s="2570"/>
      <c r="AQ4" s="2570"/>
      <c r="AR4" s="2570"/>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1" customFormat="1" ht="57.6">
      <c r="A5" s="2579" t="s">
        <v>718</v>
      </c>
      <c r="B5" s="2580" t="s">
        <v>717</v>
      </c>
      <c r="C5" s="2581" t="s">
        <v>747</v>
      </c>
      <c r="D5" s="2582" t="s">
        <v>748</v>
      </c>
      <c r="E5" s="1308" t="s">
        <v>749</v>
      </c>
      <c r="F5" s="2583" t="s">
        <v>750</v>
      </c>
      <c r="G5" s="1308" t="s">
        <v>751</v>
      </c>
      <c r="H5" s="1308" t="s">
        <v>752</v>
      </c>
      <c r="I5" s="1308" t="s">
        <v>753</v>
      </c>
      <c r="J5" s="1339" t="s">
        <v>754</v>
      </c>
      <c r="K5" s="2584" t="s">
        <v>727</v>
      </c>
      <c r="L5" s="2585" t="s">
        <v>755</v>
      </c>
      <c r="M5" s="2586" t="s">
        <v>756</v>
      </c>
      <c r="N5" s="2587" t="s">
        <v>609</v>
      </c>
      <c r="O5" s="2585" t="s">
        <v>757</v>
      </c>
      <c r="P5" s="2588" t="s">
        <v>758</v>
      </c>
      <c r="Q5" s="1367" t="s">
        <v>759</v>
      </c>
      <c r="R5" s="2589" t="s">
        <v>760</v>
      </c>
      <c r="S5" s="2590" t="s">
        <v>761</v>
      </c>
      <c r="T5" s="2591" t="s">
        <v>762</v>
      </c>
      <c r="U5" s="2592" t="s">
        <v>763</v>
      </c>
      <c r="V5" s="1308" t="s">
        <v>764</v>
      </c>
      <c r="W5" s="1308" t="s">
        <v>765</v>
      </c>
      <c r="X5" s="1074"/>
      <c r="Y5" s="1076" t="s">
        <v>766</v>
      </c>
      <c r="Z5" s="1243" t="s">
        <v>763</v>
      </c>
      <c r="AA5" s="1308" t="s">
        <v>764</v>
      </c>
      <c r="AB5" s="1308" t="s">
        <v>765</v>
      </c>
      <c r="AC5" s="1074"/>
      <c r="AD5" s="1074" t="s">
        <v>766</v>
      </c>
      <c r="AE5" s="2592" t="s">
        <v>767</v>
      </c>
      <c r="AF5" s="1308" t="s">
        <v>768</v>
      </c>
      <c r="AG5" s="1076" t="s">
        <v>769</v>
      </c>
      <c r="AH5" s="2592" t="s">
        <v>770</v>
      </c>
      <c r="AI5" s="1243" t="s">
        <v>771</v>
      </c>
      <c r="AJ5" s="1243" t="s">
        <v>772</v>
      </c>
      <c r="AK5" s="1308" t="s">
        <v>773</v>
      </c>
      <c r="AL5" s="1308" t="s">
        <v>774</v>
      </c>
      <c r="AM5" s="1076" t="s">
        <v>775</v>
      </c>
      <c r="AN5" s="2593" t="s">
        <v>776</v>
      </c>
      <c r="AO5" s="2594" t="s">
        <v>777</v>
      </c>
      <c r="AP5" s="2595" t="s">
        <v>778</v>
      </c>
      <c r="AQ5" s="2596" t="s">
        <v>779</v>
      </c>
      <c r="AR5" s="2596" t="s">
        <v>780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0" customFormat="1" ht="13.8">
      <c r="A6" s="2597" t="str">
        <f>'数据-汇总表'!C19</f>
        <v>商场</v>
      </c>
      <c r="B6" s="2598" t="str">
        <f>IF(A6=0,"","经营性")</f>
        <v>经营性</v>
      </c>
      <c r="C6" s="2599" t="s">
        <v>229</v>
      </c>
      <c r="D6" s="2600">
        <f>SUMIF(项目基本情况!C$12:I$12,C6,项目基本情况!C$14:I$14)</f>
        <v>40</v>
      </c>
      <c r="E6" s="2601">
        <f>IF(B6="","",SUMIF(项目基本情况!C$12:I$12,C6,项目基本情况!C$13:I$13))</f>
        <v>58329</v>
      </c>
      <c r="F6" s="2602">
        <f>SUMIF(项目基本情况!C$12:I$12,C6,项目基本情况!C$15:I$15)</f>
        <v>33.700000000000003</v>
      </c>
      <c r="G6" s="2603">
        <f>IF(ISERROR(ROUND(POWER(1+H6,D6-F6)*(POWER(1+H6,F6)-1)/(POWER(1+H6,D6)-1),3)),0,ROUND(POWER(1+H6,D6-F6)*(POWER(1+H6,F6)-1)/(POWER(1+H6,D6)-1),3))</f>
        <v>0.94699999999999995</v>
      </c>
      <c r="H6" s="2604">
        <v>5.5E-2</v>
      </c>
      <c r="I6" s="2604">
        <v>0.06</v>
      </c>
      <c r="J6" s="2605">
        <v>7.4999999999999997E-2</v>
      </c>
      <c r="K6" s="2606">
        <f>SUMIF('数据-汇总表'!C$19:C$33,A6,'数据-汇总表'!E$19:E$33)</f>
        <v>153794.32</v>
      </c>
      <c r="L6" s="2607">
        <v>6800</v>
      </c>
      <c r="M6" s="2608">
        <f t="shared" ref="M6:M14" si="0">ROUND(K6*L6/10000,0)</f>
        <v>104580</v>
      </c>
      <c r="N6" s="2609">
        <f>面积!H40</f>
        <v>0.93</v>
      </c>
      <c r="O6" s="2608" t="str">
        <f>IF($N$5="成新度","——",ROUND(M6*N6,0))</f>
        <v>——</v>
      </c>
      <c r="P6" s="1066" t="str">
        <f>IF($N$5="成新度","——",M6-O6)</f>
        <v>——</v>
      </c>
      <c r="Q6" s="2610">
        <v>0.25</v>
      </c>
      <c r="R6" s="2611">
        <f ca="1">SUMIF('数据-汇总表'!C$19:C$33,A6,'数据-汇总表'!R$19:R$27)</f>
        <v>42276.47</v>
      </c>
      <c r="S6" s="2612">
        <f>IF('数据-汇总表'!$I$17="按面积比例",SUMIF('数据-汇总表'!C$19:C$33,A6,'数据-汇总表'!K$19:K$33),SUMIF('数据-汇总表'!C$19:C$33,A6,'数据-汇总表'!N$19:N$33))</f>
        <v>511.71</v>
      </c>
      <c r="T6" s="2613">
        <f>ROUND($L$14*S6/10000,0)</f>
        <v>348</v>
      </c>
      <c r="U6" s="2614">
        <v>4.5</v>
      </c>
      <c r="V6" s="2615">
        <v>0.02</v>
      </c>
      <c r="W6" s="2615">
        <v>0.03</v>
      </c>
      <c r="X6" s="2616"/>
      <c r="Y6" s="2617">
        <f>N6</f>
        <v>0.93</v>
      </c>
      <c r="Z6" s="2618"/>
      <c r="AA6" s="2605"/>
      <c r="AB6" s="2605"/>
      <c r="AC6" s="2616"/>
      <c r="AD6" s="2619"/>
      <c r="AE6" s="2620">
        <f ca="1">IF(AN6="",0,SUMIF(INDIRECT("'"&amp;AN6&amp;"'"&amp;"!E:E"),$AE$5,INDIRECT("'"&amp;AN6&amp;"'"&amp;"!F:F")))</f>
        <v>33.700000000000003</v>
      </c>
      <c r="AF6" s="2235"/>
      <c r="AG6" s="1598">
        <f>IF(AF6="",0,AE6-AF6)</f>
        <v>0</v>
      </c>
      <c r="AH6" s="2621"/>
      <c r="AI6" s="2622">
        <v>365</v>
      </c>
      <c r="AJ6" s="2235"/>
      <c r="AK6" s="2623">
        <v>5.0000000000000001E-3</v>
      </c>
      <c r="AL6" s="2624">
        <v>1E-3</v>
      </c>
      <c r="AM6" s="2625">
        <v>0.03</v>
      </c>
      <c r="AN6" s="2626" t="s">
        <v>781</v>
      </c>
      <c r="AO6" s="1071">
        <f ca="1">SUMIF(INDIRECT("'"&amp;AN6&amp;"'"&amp;"!A:A"),"总价",INDIRECT("'"&amp;AN6&amp;"'"&amp;"!B:B"))</f>
        <v>345512</v>
      </c>
      <c r="AP6" s="2627">
        <f>IF(C6="住宅",K6*L6,0)</f>
        <v>0</v>
      </c>
      <c r="AQ6" s="1071">
        <f>ROUND($L$14*$N$14*S6/10000,0)</f>
        <v>324</v>
      </c>
      <c r="AR6" s="1071">
        <f>ROUND($L$14*(1-$N$14)*S6/10000,0)</f>
        <v>24</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60" customFormat="1" ht="13.8">
      <c r="A7" s="2597">
        <f>'数据-汇总表'!C20</f>
        <v>0</v>
      </c>
      <c r="B7" s="2598" t="str">
        <f t="shared" ref="B7:B13" si="1">IF(A7=0,"","经营性")</f>
        <v/>
      </c>
      <c r="C7" s="2599"/>
      <c r="D7" s="2600">
        <f>SUMIF(项目基本情况!C$12:I$12,C7,项目基本情况!C$14:I$14)</f>
        <v>0</v>
      </c>
      <c r="E7" s="2601" t="str">
        <f>IF(B7="","",SUMIF(项目基本情况!C$12:I$12,C7,项目基本情况!C$13:I$13))</f>
        <v/>
      </c>
      <c r="F7" s="2602">
        <f>SUMIF(项目基本情况!C$12:I$12,C7,项目基本情况!C$15:I$15)</f>
        <v>0</v>
      </c>
      <c r="G7" s="2603">
        <f t="shared" ref="G7:G13" si="2">IF(ISERROR(ROUND(POWER(1+H7,D7-F7)*(POWER(1+H7,F7)-1)/(POWER(1+H7,D7)-1),3)),0,ROUND(POWER(1+H7,D7-F7)*(POWER(1+H7,F7)-1)/(POWER(1+H7,D7)-1),3))</f>
        <v>0</v>
      </c>
      <c r="H7" s="2604"/>
      <c r="I7" s="2604"/>
      <c r="J7" s="2605"/>
      <c r="K7" s="2606">
        <f>SUMIF('数据-汇总表'!C$19:C$33,A7,'数据-汇总表'!E$19:E$33)</f>
        <v>0</v>
      </c>
      <c r="L7" s="2607"/>
      <c r="M7" s="2608">
        <f t="shared" si="0"/>
        <v>0</v>
      </c>
      <c r="N7" s="2609"/>
      <c r="O7" s="2608" t="str">
        <f t="shared" ref="O7:O14" si="3">IF($N$5="成新度","——",ROUND(M7*N7,0))</f>
        <v>——</v>
      </c>
      <c r="P7" s="1066" t="str">
        <f t="shared" ref="P7:P14" si="4">IF($N$5="成新度","——",M7-O7)</f>
        <v>——</v>
      </c>
      <c r="Q7" s="2610"/>
      <c r="R7" s="2611">
        <f ca="1">SUMIF('数据-汇总表'!C$19:C$33,A7,'数据-汇总表'!R$19:R$27)</f>
        <v>0</v>
      </c>
      <c r="S7" s="2612">
        <f>IF('数据-汇总表'!$I$17="按面积比例",SUMIF('数据-汇总表'!C$19:C$33,A7,'数据-汇总表'!K$19:K$33),SUMIF('数据-汇总表'!C$19:C$33,A7,'数据-汇总表'!N$19:N$33))</f>
        <v>0</v>
      </c>
      <c r="T7" s="2613">
        <f t="shared" ref="T7:T13" si="5">ROUND($L$14*S7/10000,0)</f>
        <v>0</v>
      </c>
      <c r="U7" s="2614"/>
      <c r="V7" s="2615"/>
      <c r="W7" s="2615"/>
      <c r="X7" s="2616"/>
      <c r="Y7" s="2617"/>
      <c r="Z7" s="2618"/>
      <c r="AA7" s="2605"/>
      <c r="AB7" s="2605"/>
      <c r="AC7" s="2616"/>
      <c r="AD7" s="2619"/>
      <c r="AE7" s="2620">
        <f t="shared" ref="AE7:AE13" ca="1" si="6">IF(AN7="",0,SUMIF(INDIRECT("'"&amp;AN7&amp;"'"&amp;"!E:E"),$AE$5,INDIRECT("'"&amp;AN7&amp;"'"&amp;"!F:F")))</f>
        <v>0</v>
      </c>
      <c r="AF7" s="2235"/>
      <c r="AG7" s="1598">
        <f t="shared" ref="AG7:AG13" si="7">IF(AF7="",0,AE7-AF7)</f>
        <v>0</v>
      </c>
      <c r="AH7" s="2621"/>
      <c r="AI7" s="2622"/>
      <c r="AJ7" s="2235"/>
      <c r="AK7" s="2623"/>
      <c r="AL7" s="2624"/>
      <c r="AM7" s="2625"/>
      <c r="AN7" s="2626"/>
      <c r="AO7" s="1071" t="e">
        <f t="shared" ref="AO7:AO13" ca="1" si="8">SUMIF(INDIRECT("'"&amp;AN7&amp;"'"&amp;"!A:A"),"总价",INDIRECT("'"&amp;AN7&amp;"'"&amp;"!B:B"))</f>
        <v>#REF!</v>
      </c>
      <c r="AP7" s="2627">
        <f t="shared" ref="AP7:AP13" si="9">IF(C7="住宅",K7*L7,0)</f>
        <v>0</v>
      </c>
      <c r="AQ7" s="1071">
        <f t="shared" ref="AQ7:AQ13" si="10">ROUND($L$14*$N$14*S7/10000,0)</f>
        <v>0</v>
      </c>
      <c r="AR7" s="1071">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60" customFormat="1" ht="13.8">
      <c r="A8" s="2597">
        <f>'数据-汇总表'!C21</f>
        <v>0</v>
      </c>
      <c r="B8" s="2598" t="str">
        <f t="shared" si="1"/>
        <v/>
      </c>
      <c r="C8" s="2599"/>
      <c r="D8" s="2600">
        <f>SUMIF(项目基本情况!C$12:I$12,C8,项目基本情况!C$14:I$14)</f>
        <v>0</v>
      </c>
      <c r="E8" s="2601" t="str">
        <f>IF(B8="","",SUMIF(项目基本情况!C$12:I$12,C8,项目基本情况!C$13:I$13))</f>
        <v/>
      </c>
      <c r="F8" s="2602">
        <f>SUMIF(项目基本情况!C$12:I$12,C8,项目基本情况!C$15:I$15)</f>
        <v>0</v>
      </c>
      <c r="G8" s="2603">
        <f t="shared" si="2"/>
        <v>0</v>
      </c>
      <c r="H8" s="2604"/>
      <c r="I8" s="2604"/>
      <c r="J8" s="2605"/>
      <c r="K8" s="2606">
        <f>SUMIF('数据-汇总表'!C$19:C$33,A8,'数据-汇总表'!E$19:E$33)</f>
        <v>0</v>
      </c>
      <c r="L8" s="2607"/>
      <c r="M8" s="2608">
        <f t="shared" si="0"/>
        <v>0</v>
      </c>
      <c r="N8" s="2609"/>
      <c r="O8" s="2608" t="str">
        <f t="shared" si="3"/>
        <v>——</v>
      </c>
      <c r="P8" s="1066" t="str">
        <f t="shared" si="4"/>
        <v>——</v>
      </c>
      <c r="Q8" s="2610"/>
      <c r="R8" s="2611">
        <f ca="1">SUMIF('数据-汇总表'!C$19:C$33,A8,'数据-汇总表'!R$19:R$27)</f>
        <v>0</v>
      </c>
      <c r="S8" s="2612">
        <f>IF('数据-汇总表'!$I$17="按面积比例",SUMIF('数据-汇总表'!C$19:C$33,A8,'数据-汇总表'!K$19:K$33),SUMIF('数据-汇总表'!C$19:C$33,A8,'数据-汇总表'!N$19:N$33))</f>
        <v>0</v>
      </c>
      <c r="T8" s="2613">
        <f t="shared" si="5"/>
        <v>0</v>
      </c>
      <c r="U8" s="2628"/>
      <c r="V8" s="2629"/>
      <c r="W8" s="2629"/>
      <c r="X8" s="2616"/>
      <c r="Y8" s="2617"/>
      <c r="Z8" s="2618"/>
      <c r="AA8" s="2605"/>
      <c r="AB8" s="2605"/>
      <c r="AC8" s="2616"/>
      <c r="AD8" s="2619"/>
      <c r="AE8" s="2620">
        <f t="shared" ca="1" si="6"/>
        <v>0</v>
      </c>
      <c r="AF8" s="2235"/>
      <c r="AG8" s="1598">
        <f t="shared" si="7"/>
        <v>0</v>
      </c>
      <c r="AH8" s="2630"/>
      <c r="AI8" s="2622"/>
      <c r="AJ8" s="2235"/>
      <c r="AK8" s="2631"/>
      <c r="AL8" s="2632"/>
      <c r="AM8" s="2633"/>
      <c r="AN8" s="2626"/>
      <c r="AO8" s="1071" t="e">
        <f t="shared" ca="1" si="8"/>
        <v>#REF!</v>
      </c>
      <c r="AP8" s="2627">
        <f t="shared" si="9"/>
        <v>0</v>
      </c>
      <c r="AQ8" s="1071">
        <f t="shared" si="10"/>
        <v>0</v>
      </c>
      <c r="AR8" s="1071">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60" customFormat="1" ht="13.8">
      <c r="A9" s="2597">
        <f>'数据-汇总表'!C22</f>
        <v>0</v>
      </c>
      <c r="B9" s="2598" t="str">
        <f t="shared" si="1"/>
        <v/>
      </c>
      <c r="C9" s="2599"/>
      <c r="D9" s="2600">
        <f>SUMIF(项目基本情况!C$12:I$12,C9,项目基本情况!C$14:I$14)</f>
        <v>0</v>
      </c>
      <c r="E9" s="2601" t="str">
        <f>IF(B9="","",SUMIF(项目基本情况!C$12:I$12,C9,项目基本情况!C$13:I$13))</f>
        <v/>
      </c>
      <c r="F9" s="2602">
        <f>SUMIF(项目基本情况!C$12:I$12,C9,项目基本情况!C$15:I$15)</f>
        <v>0</v>
      </c>
      <c r="G9" s="2603">
        <f t="shared" si="2"/>
        <v>0</v>
      </c>
      <c r="H9" s="2605"/>
      <c r="I9" s="2605"/>
      <c r="J9" s="2605"/>
      <c r="K9" s="2606">
        <f>SUMIF('数据-汇总表'!C$19:C$33,A9,'数据-汇总表'!E$19:E$33)</f>
        <v>0</v>
      </c>
      <c r="L9" s="2607"/>
      <c r="M9" s="2608">
        <f t="shared" si="0"/>
        <v>0</v>
      </c>
      <c r="N9" s="2609"/>
      <c r="O9" s="2608" t="str">
        <f t="shared" si="3"/>
        <v>——</v>
      </c>
      <c r="P9" s="1066" t="str">
        <f t="shared" si="4"/>
        <v>——</v>
      </c>
      <c r="Q9" s="2634"/>
      <c r="R9" s="2611">
        <f ca="1">SUMIF('数据-汇总表'!C$19:C$33,A9,'数据-汇总表'!R$19:R$27)</f>
        <v>0</v>
      </c>
      <c r="S9" s="2612">
        <f>IF('数据-汇总表'!$I$17="按面积比例",SUMIF('数据-汇总表'!C$19:C$33,A9,'数据-汇总表'!K$19:K$33),SUMIF('数据-汇总表'!C$19:C$33,A9,'数据-汇总表'!N$19:N$33))</f>
        <v>0</v>
      </c>
      <c r="T9" s="2613">
        <f t="shared" si="5"/>
        <v>0</v>
      </c>
      <c r="U9" s="2614"/>
      <c r="V9" s="2615"/>
      <c r="W9" s="2615"/>
      <c r="X9" s="2616"/>
      <c r="Y9" s="2617"/>
      <c r="Z9" s="2618"/>
      <c r="AA9" s="2605"/>
      <c r="AB9" s="2605"/>
      <c r="AC9" s="2616"/>
      <c r="AD9" s="2619"/>
      <c r="AE9" s="2620">
        <f t="shared" ca="1" si="6"/>
        <v>0</v>
      </c>
      <c r="AF9" s="2235"/>
      <c r="AG9" s="1598">
        <f t="shared" si="7"/>
        <v>0</v>
      </c>
      <c r="AH9" s="2621"/>
      <c r="AI9" s="2622"/>
      <c r="AJ9" s="2235"/>
      <c r="AK9" s="2623"/>
      <c r="AL9" s="2624"/>
      <c r="AM9" s="2625"/>
      <c r="AN9" s="2626"/>
      <c r="AO9" s="1071" t="e">
        <f t="shared" ca="1" si="8"/>
        <v>#REF!</v>
      </c>
      <c r="AP9" s="2627">
        <f t="shared" si="9"/>
        <v>0</v>
      </c>
      <c r="AQ9" s="1071">
        <f t="shared" si="10"/>
        <v>0</v>
      </c>
      <c r="AR9" s="1071">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60" customFormat="1" ht="13.8">
      <c r="A10" s="2597">
        <f>'数据-汇总表'!C23</f>
        <v>0</v>
      </c>
      <c r="B10" s="2598" t="str">
        <f t="shared" si="1"/>
        <v/>
      </c>
      <c r="C10" s="2599"/>
      <c r="D10" s="2600">
        <f>SUMIF(项目基本情况!C$12:I$12,C10,项目基本情况!C$14:I$14)</f>
        <v>0</v>
      </c>
      <c r="E10" s="2601" t="str">
        <f>IF(B10="","",SUMIF(项目基本情况!C$12:I$12,C10,项目基本情况!C$13:I$13))</f>
        <v/>
      </c>
      <c r="F10" s="2602">
        <f>SUMIF(项目基本情况!C$12:I$12,C10,项目基本情况!C$15:I$15)</f>
        <v>0</v>
      </c>
      <c r="G10" s="2603">
        <f t="shared" si="2"/>
        <v>0</v>
      </c>
      <c r="H10" s="2605"/>
      <c r="I10" s="2605"/>
      <c r="J10" s="2605"/>
      <c r="K10" s="2606">
        <f>SUMIF('数据-汇总表'!C$19:C$33,A10,'数据-汇总表'!E$19:E$33)</f>
        <v>0</v>
      </c>
      <c r="L10" s="2607"/>
      <c r="M10" s="2608">
        <f t="shared" si="0"/>
        <v>0</v>
      </c>
      <c r="N10" s="2609"/>
      <c r="O10" s="2608" t="str">
        <f t="shared" si="3"/>
        <v>——</v>
      </c>
      <c r="P10" s="1066" t="str">
        <f t="shared" si="4"/>
        <v>——</v>
      </c>
      <c r="Q10" s="2634"/>
      <c r="R10" s="2611">
        <f ca="1">SUMIF('数据-汇总表'!C$19:C$33,A10,'数据-汇总表'!R$19:R$27)</f>
        <v>0</v>
      </c>
      <c r="S10" s="2612">
        <f>IF('数据-汇总表'!$I$17="按面积比例",SUMIF('数据-汇总表'!C$19:C$33,A10,'数据-汇总表'!K$19:K$33),SUMIF('数据-汇总表'!C$19:C$33,A10,'数据-汇总表'!N$19:N$33))</f>
        <v>0</v>
      </c>
      <c r="T10" s="2613">
        <f t="shared" si="5"/>
        <v>0</v>
      </c>
      <c r="U10" s="2614"/>
      <c r="V10" s="2615"/>
      <c r="W10" s="2615"/>
      <c r="X10" s="2616"/>
      <c r="Y10" s="2617"/>
      <c r="Z10" s="2618"/>
      <c r="AA10" s="2605"/>
      <c r="AB10" s="2605"/>
      <c r="AC10" s="2616"/>
      <c r="AD10" s="2619"/>
      <c r="AE10" s="2620">
        <f t="shared" ca="1" si="6"/>
        <v>0</v>
      </c>
      <c r="AF10" s="2235"/>
      <c r="AG10" s="1598">
        <f t="shared" si="7"/>
        <v>0</v>
      </c>
      <c r="AH10" s="2621"/>
      <c r="AI10" s="2622"/>
      <c r="AJ10" s="2235"/>
      <c r="AK10" s="2623"/>
      <c r="AL10" s="2624"/>
      <c r="AM10" s="2625"/>
      <c r="AN10" s="2626"/>
      <c r="AO10" s="1071" t="e">
        <f t="shared" ca="1" si="8"/>
        <v>#REF!</v>
      </c>
      <c r="AP10" s="2627">
        <f t="shared" si="9"/>
        <v>0</v>
      </c>
      <c r="AQ10" s="1071">
        <f t="shared" si="10"/>
        <v>0</v>
      </c>
      <c r="AR10" s="1071">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60" customFormat="1" ht="13.8">
      <c r="A11" s="2597">
        <f>'数据-汇总表'!C24</f>
        <v>0</v>
      </c>
      <c r="B11" s="2598" t="str">
        <f t="shared" si="1"/>
        <v/>
      </c>
      <c r="C11" s="2599"/>
      <c r="D11" s="2600">
        <f>SUMIF(项目基本情况!C$12:I$12,C11,项目基本情况!C$14:I$14)</f>
        <v>0</v>
      </c>
      <c r="E11" s="2601" t="str">
        <f>IF(B11="","",SUMIF(项目基本情况!C$12:I$12,C11,项目基本情况!C$13:I$13))</f>
        <v/>
      </c>
      <c r="F11" s="2602">
        <f>SUMIF(项目基本情况!C$12:I$12,C11,项目基本情况!C$15:I$15)</f>
        <v>0</v>
      </c>
      <c r="G11" s="2603">
        <f t="shared" si="2"/>
        <v>0</v>
      </c>
      <c r="H11" s="2605"/>
      <c r="I11" s="2605"/>
      <c r="J11" s="2605"/>
      <c r="K11" s="2606">
        <f>SUMIF('数据-汇总表'!C$19:C$33,A11,'数据-汇总表'!E$19:E$33)</f>
        <v>0</v>
      </c>
      <c r="L11" s="2635"/>
      <c r="M11" s="2608">
        <f t="shared" si="0"/>
        <v>0</v>
      </c>
      <c r="N11" s="2609"/>
      <c r="O11" s="2608" t="str">
        <f t="shared" si="3"/>
        <v>——</v>
      </c>
      <c r="P11" s="1066" t="str">
        <f t="shared" si="4"/>
        <v>——</v>
      </c>
      <c r="Q11" s="2634"/>
      <c r="R11" s="2611">
        <f ca="1">SUMIF('数据-汇总表'!C$19:C$33,A11,'数据-汇总表'!R$19:R$27)</f>
        <v>0</v>
      </c>
      <c r="S11" s="2612">
        <f>IF('数据-汇总表'!$I$17="按面积比例",SUMIF('数据-汇总表'!C$19:C$33,A11,'数据-汇总表'!K$19:K$33),SUMIF('数据-汇总表'!C$19:C$33,A11,'数据-汇总表'!N$19:N$33))</f>
        <v>0</v>
      </c>
      <c r="T11" s="2613">
        <f t="shared" si="5"/>
        <v>0</v>
      </c>
      <c r="U11" s="2614"/>
      <c r="V11" s="2605"/>
      <c r="W11" s="2605"/>
      <c r="X11" s="2616"/>
      <c r="Y11" s="2617"/>
      <c r="Z11" s="2636"/>
      <c r="AA11" s="2605"/>
      <c r="AB11" s="2605"/>
      <c r="AC11" s="2616"/>
      <c r="AD11" s="2619"/>
      <c r="AE11" s="2620">
        <f t="shared" ca="1" si="6"/>
        <v>0</v>
      </c>
      <c r="AF11" s="2235"/>
      <c r="AG11" s="1598">
        <f t="shared" si="7"/>
        <v>0</v>
      </c>
      <c r="AH11" s="2621"/>
      <c r="AI11" s="2622"/>
      <c r="AJ11" s="2235"/>
      <c r="AK11" s="2623"/>
      <c r="AL11" s="2624"/>
      <c r="AM11" s="2625"/>
      <c r="AN11" s="2626"/>
      <c r="AO11" s="1071" t="e">
        <f t="shared" ca="1" si="8"/>
        <v>#REF!</v>
      </c>
      <c r="AP11" s="2627">
        <f t="shared" si="9"/>
        <v>0</v>
      </c>
      <c r="AQ11" s="1071">
        <f t="shared" si="10"/>
        <v>0</v>
      </c>
      <c r="AR11" s="1071">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60" customFormat="1" ht="13.8">
      <c r="A12" s="2597">
        <f>'数据-汇总表'!C25</f>
        <v>0</v>
      </c>
      <c r="B12" s="2598" t="str">
        <f t="shared" si="1"/>
        <v/>
      </c>
      <c r="C12" s="2599"/>
      <c r="D12" s="2600">
        <f>SUMIF(项目基本情况!C$12:I$12,C12,项目基本情况!C$14:I$14)</f>
        <v>0</v>
      </c>
      <c r="E12" s="2601" t="str">
        <f>IF(B12="","",SUMIF(项目基本情况!C$12:I$12,C12,项目基本情况!C$13:I$13))</f>
        <v/>
      </c>
      <c r="F12" s="2602">
        <f>SUMIF(项目基本情况!C$12:I$12,C12,项目基本情况!C$15:I$15)</f>
        <v>0</v>
      </c>
      <c r="G12" s="2603">
        <f t="shared" si="2"/>
        <v>0</v>
      </c>
      <c r="H12" s="2605"/>
      <c r="I12" s="2605"/>
      <c r="J12" s="2605"/>
      <c r="K12" s="2606">
        <f>SUMIF('数据-汇总表'!C$19:C$33,A12,'数据-汇总表'!E$19:E$33)</f>
        <v>0</v>
      </c>
      <c r="L12" s="2635"/>
      <c r="M12" s="2608">
        <f t="shared" si="0"/>
        <v>0</v>
      </c>
      <c r="N12" s="2609"/>
      <c r="O12" s="2608" t="str">
        <f t="shared" si="3"/>
        <v>——</v>
      </c>
      <c r="P12" s="1066" t="str">
        <f t="shared" si="4"/>
        <v>——</v>
      </c>
      <c r="Q12" s="2634"/>
      <c r="R12" s="2611">
        <f ca="1">SUMIF('数据-汇总表'!C$19:C$33,A12,'数据-汇总表'!R$19:R$27)</f>
        <v>0</v>
      </c>
      <c r="S12" s="2612">
        <f>IF('数据-汇总表'!$I$17="按面积比例",SUMIF('数据-汇总表'!C$19:C$33,A12,'数据-汇总表'!K$19:K$33),SUMIF('数据-汇总表'!C$19:C$33,A12,'数据-汇总表'!N$19:N$33))</f>
        <v>0</v>
      </c>
      <c r="T12" s="2613">
        <f t="shared" si="5"/>
        <v>0</v>
      </c>
      <c r="U12" s="2614"/>
      <c r="V12" s="2605"/>
      <c r="W12" s="2605"/>
      <c r="X12" s="2616"/>
      <c r="Y12" s="2617"/>
      <c r="Z12" s="2636"/>
      <c r="AA12" s="2605"/>
      <c r="AB12" s="2605"/>
      <c r="AC12" s="2616"/>
      <c r="AD12" s="2619"/>
      <c r="AE12" s="2620">
        <f t="shared" ca="1" si="6"/>
        <v>0</v>
      </c>
      <c r="AF12" s="2235"/>
      <c r="AG12" s="1598">
        <f t="shared" si="7"/>
        <v>0</v>
      </c>
      <c r="AH12" s="2621"/>
      <c r="AI12" s="2622"/>
      <c r="AJ12" s="2235"/>
      <c r="AK12" s="2623"/>
      <c r="AL12" s="2624"/>
      <c r="AM12" s="2625"/>
      <c r="AN12" s="2626"/>
      <c r="AO12" s="1071" t="e">
        <f t="shared" ca="1" si="8"/>
        <v>#REF!</v>
      </c>
      <c r="AP12" s="2627">
        <f t="shared" si="9"/>
        <v>0</v>
      </c>
      <c r="AQ12" s="1071">
        <f t="shared" si="10"/>
        <v>0</v>
      </c>
      <c r="AR12" s="1071">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60" customFormat="1" ht="13.8">
      <c r="A13" s="2597">
        <f>'数据-汇总表'!C26</f>
        <v>0</v>
      </c>
      <c r="B13" s="2598" t="str">
        <f t="shared" si="1"/>
        <v/>
      </c>
      <c r="C13" s="2599"/>
      <c r="D13" s="2600">
        <f>SUMIF(项目基本情况!C$12:I$12,C13,项目基本情况!C$14:I$14)</f>
        <v>0</v>
      </c>
      <c r="E13" s="2601" t="str">
        <f>IF(B13="","",SUMIF(项目基本情况!C$12:I$12,C13,项目基本情况!C$13:I$13))</f>
        <v/>
      </c>
      <c r="F13" s="2602">
        <f>SUMIF(项目基本情况!C$12:I$12,C13,项目基本情况!C$15:I$15)</f>
        <v>0</v>
      </c>
      <c r="G13" s="2603">
        <f t="shared" si="2"/>
        <v>0</v>
      </c>
      <c r="H13" s="2605"/>
      <c r="I13" s="2605"/>
      <c r="J13" s="2605"/>
      <c r="K13" s="2606">
        <f>SUMIF('数据-汇总表'!C$19:C$33,A13,'数据-汇总表'!E$19:E$33)</f>
        <v>0</v>
      </c>
      <c r="L13" s="2635"/>
      <c r="M13" s="2608">
        <f t="shared" si="0"/>
        <v>0</v>
      </c>
      <c r="N13" s="2637"/>
      <c r="O13" s="2608" t="str">
        <f t="shared" si="3"/>
        <v>——</v>
      </c>
      <c r="P13" s="1066" t="str">
        <f t="shared" si="4"/>
        <v>——</v>
      </c>
      <c r="Q13" s="2634"/>
      <c r="R13" s="2611">
        <f ca="1">SUMIF('数据-汇总表'!C$19:C$33,A13,'数据-汇总表'!R$19:R$27)</f>
        <v>0</v>
      </c>
      <c r="S13" s="2612">
        <f>IF('数据-汇总表'!$I$17="按面积比例",SUMIF('数据-汇总表'!C$19:C$33,A13,'数据-汇总表'!K$19:K$33),SUMIF('数据-汇总表'!C$19:C$33,A13,'数据-汇总表'!N$19:N$33))</f>
        <v>0</v>
      </c>
      <c r="T13" s="2613">
        <f t="shared" si="5"/>
        <v>0</v>
      </c>
      <c r="U13" s="2638"/>
      <c r="V13" s="2615"/>
      <c r="W13" s="2615"/>
      <c r="X13" s="2616"/>
      <c r="Y13" s="2617"/>
      <c r="Z13" s="2618"/>
      <c r="AA13" s="2605"/>
      <c r="AB13" s="2605"/>
      <c r="AC13" s="2616"/>
      <c r="AD13" s="2619"/>
      <c r="AE13" s="2620">
        <f t="shared" ca="1" si="6"/>
        <v>0</v>
      </c>
      <c r="AF13" s="2235"/>
      <c r="AG13" s="1598">
        <f t="shared" si="7"/>
        <v>0</v>
      </c>
      <c r="AH13" s="2621"/>
      <c r="AI13" s="2622"/>
      <c r="AJ13" s="2235"/>
      <c r="AK13" s="2623"/>
      <c r="AL13" s="2624"/>
      <c r="AM13" s="2625"/>
      <c r="AN13" s="2626"/>
      <c r="AO13" s="1071" t="e">
        <f t="shared" ca="1" si="8"/>
        <v>#REF!</v>
      </c>
      <c r="AP13" s="2627">
        <f t="shared" si="9"/>
        <v>0</v>
      </c>
      <c r="AQ13" s="1071">
        <f t="shared" si="10"/>
        <v>0</v>
      </c>
      <c r="AR13" s="1071">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60" customFormat="1" ht="14.4">
      <c r="A14" s="2639" t="s">
        <v>735</v>
      </c>
      <c r="B14" s="2598" t="s">
        <v>734</v>
      </c>
      <c r="C14" s="2640" t="s">
        <v>735</v>
      </c>
      <c r="D14" s="2600"/>
      <c r="E14" s="2601"/>
      <c r="F14" s="2602"/>
      <c r="G14" s="2603"/>
      <c r="H14" s="2641"/>
      <c r="I14" s="2641"/>
      <c r="J14" s="2641"/>
      <c r="K14" s="2606">
        <f>SUMIF('数据-汇总表'!C$19:C$33,A14,'数据-汇总表'!E$19:E$33)</f>
        <v>511.71</v>
      </c>
      <c r="L14" s="2635">
        <f>L6</f>
        <v>6800</v>
      </c>
      <c r="M14" s="2608">
        <f t="shared" si="0"/>
        <v>348</v>
      </c>
      <c r="N14" s="2637">
        <f>N6</f>
        <v>0.93</v>
      </c>
      <c r="O14" s="2608" t="str">
        <f t="shared" si="3"/>
        <v>——</v>
      </c>
      <c r="P14" s="1066" t="str">
        <f t="shared" si="4"/>
        <v>——</v>
      </c>
      <c r="Q14" s="2642"/>
      <c r="R14" s="2611"/>
      <c r="S14" s="2612"/>
      <c r="T14" s="2613"/>
      <c r="U14" s="2643"/>
      <c r="V14" s="2644"/>
      <c r="W14" s="2644"/>
      <c r="X14" s="2645"/>
      <c r="Y14" s="2646"/>
      <c r="Z14" s="2238"/>
      <c r="AA14" s="2647"/>
      <c r="AB14" s="2647"/>
      <c r="AC14" s="2616"/>
      <c r="AD14" s="2645"/>
      <c r="AE14" s="2620"/>
      <c r="AF14" s="1071"/>
      <c r="AG14" s="1598"/>
      <c r="AH14" s="2620"/>
      <c r="AI14" s="1070"/>
      <c r="AJ14" s="1071"/>
      <c r="AK14" s="2648"/>
      <c r="AL14" s="2649"/>
      <c r="AM14" s="2650"/>
      <c r="AN14" s="2108"/>
      <c r="AO14" s="2570"/>
      <c r="AP14" s="2570"/>
      <c r="AQ14" s="2570"/>
      <c r="AR14" s="2570"/>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60" customFormat="1" ht="28.8">
      <c r="A15" s="2639" t="s">
        <v>736</v>
      </c>
      <c r="B15" s="2598" t="s">
        <v>734</v>
      </c>
      <c r="C15" s="2640" t="s">
        <v>782</v>
      </c>
      <c r="D15" s="2600"/>
      <c r="E15" s="2601"/>
      <c r="F15" s="2602"/>
      <c r="G15" s="2603"/>
      <c r="H15" s="2641"/>
      <c r="I15" s="2641"/>
      <c r="J15" s="2641"/>
      <c r="K15" s="2606">
        <f>SUMIF('数据-汇总表'!C$19:C$33,A15,'数据-汇总表'!E$19:E$33)</f>
        <v>0</v>
      </c>
      <c r="L15" s="2651"/>
      <c r="M15" s="2608"/>
      <c r="N15" s="2652"/>
      <c r="O15" s="2608"/>
      <c r="P15" s="1066"/>
      <c r="Q15" s="2642"/>
      <c r="R15" s="2611"/>
      <c r="S15" s="2612"/>
      <c r="T15" s="2613"/>
      <c r="U15" s="2643"/>
      <c r="V15" s="2644"/>
      <c r="W15" s="2644"/>
      <c r="X15" s="2645"/>
      <c r="Y15" s="2646"/>
      <c r="Z15" s="2238"/>
      <c r="AA15" s="2647"/>
      <c r="AB15" s="2647"/>
      <c r="AC15" s="2616"/>
      <c r="AD15" s="2645"/>
      <c r="AE15" s="2620"/>
      <c r="AF15" s="1071"/>
      <c r="AG15" s="1598"/>
      <c r="AH15" s="2620"/>
      <c r="AI15" s="1070"/>
      <c r="AJ15" s="1071"/>
      <c r="AK15" s="2648"/>
      <c r="AL15" s="2649"/>
      <c r="AM15" s="2650"/>
      <c r="AN15" s="2108"/>
      <c r="AO15" s="2570"/>
      <c r="AP15" s="2570"/>
      <c r="AQ15" s="2570"/>
      <c r="AR15" s="2570"/>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60" customFormat="1" ht="14.4">
      <c r="A16" s="2653" t="s">
        <v>737</v>
      </c>
      <c r="B16" s="2654"/>
      <c r="C16" s="2175"/>
      <c r="D16" s="2655"/>
      <c r="E16" s="2654"/>
      <c r="F16" s="2654"/>
      <c r="G16" s="2656">
        <f>ROUND(SUMPRODUCT(G6:G13,K6:K13)/SUMPRODUCT((G6:G13&gt;0)*(K6:K13)),3)</f>
        <v>0.94699999999999995</v>
      </c>
      <c r="H16" s="2657">
        <f>ROUND(SUMPRODUCT(H6:H13,K6:K13)/SUMPRODUCT((H6:H13&gt;0)*(K6:K13)),3)</f>
        <v>5.5E-2</v>
      </c>
      <c r="I16" s="2658"/>
      <c r="J16" s="2658"/>
      <c r="K16" s="2659">
        <f>SUM(K6:K15)</f>
        <v>154306.03</v>
      </c>
      <c r="L16" s="2660">
        <f>ROUND(M16*10000/SUM(K6:K14),0)</f>
        <v>6800</v>
      </c>
      <c r="M16" s="2660">
        <f>SUM(M6:M14)</f>
        <v>104928</v>
      </c>
      <c r="N16" s="2661">
        <f>ROUND(SUMPRODUCT(M6:M14,N6:N14)/M16,3)</f>
        <v>0.93</v>
      </c>
      <c r="O16" s="2660">
        <f>SUM(O6:O14)</f>
        <v>0</v>
      </c>
      <c r="P16" s="2660">
        <f>SUM(P6:P14)</f>
        <v>0</v>
      </c>
      <c r="Q16" s="2662">
        <f>ROUND(SUMPRODUCT(Q6:Q13,K6:K13)/SUMPRODUCT((Q6:Q13&gt;0)*(K6:K13)),2)</f>
        <v>0.25</v>
      </c>
      <c r="R16" s="2663">
        <f ca="1">SUM(R6:R13)</f>
        <v>42276.47</v>
      </c>
      <c r="S16" s="2664">
        <f>SUM(S6:S13)</f>
        <v>511.71</v>
      </c>
      <c r="T16" s="2665">
        <f>IF(SUMIF(T6:T13,"&lt;9E307")=M14,SUMIF(T6:T13,"&lt;9E307"),"有误，请检查")</f>
        <v>348</v>
      </c>
      <c r="U16" s="2666"/>
      <c r="V16" s="2250"/>
      <c r="W16" s="2250"/>
      <c r="X16" s="2667"/>
      <c r="Y16" s="2668"/>
      <c r="Z16" s="2669"/>
      <c r="AA16" s="2250"/>
      <c r="AB16" s="2250"/>
      <c r="AC16" s="2667"/>
      <c r="AD16" s="2667"/>
      <c r="AE16" s="2666"/>
      <c r="AF16" s="2250"/>
      <c r="AG16" s="2668"/>
      <c r="AH16" s="2666"/>
      <c r="AI16" s="2669"/>
      <c r="AJ16" s="2669"/>
      <c r="AK16" s="2250"/>
      <c r="AL16" s="2250"/>
      <c r="AM16" s="2668"/>
      <c r="AN16" s="2108"/>
      <c r="AO16" s="2570"/>
      <c r="AP16" s="2570"/>
      <c r="AQ16" s="2570"/>
      <c r="AR16" s="2570"/>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2"/>
      <c r="B17" s="2670"/>
      <c r="C17" s="2108"/>
      <c r="D17" s="2671"/>
      <c r="E17" s="2671"/>
      <c r="F17" s="2108"/>
      <c r="G17" s="2108"/>
      <c r="H17" s="2108"/>
      <c r="I17" s="2108"/>
      <c r="J17" s="2108"/>
      <c r="K17" s="2672"/>
      <c r="L17" s="2672"/>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row>
    <row r="18" spans="1:44" ht="14.4">
      <c r="A18" s="1418" t="s">
        <v>783</v>
      </c>
      <c r="B18" s="2673"/>
      <c r="C18" s="2570"/>
      <c r="D18" s="2674"/>
      <c r="E18" s="2570"/>
      <c r="F18" s="2570"/>
      <c r="G18" s="2570"/>
      <c r="H18" s="2570"/>
      <c r="I18" s="2570"/>
      <c r="J18" s="2570"/>
      <c r="K18" s="2672"/>
      <c r="L18" s="2672"/>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c r="AP18" s="2108"/>
      <c r="AQ18" s="2108"/>
      <c r="AR18" s="2108"/>
    </row>
    <row r="19" spans="1:44" ht="14.4">
      <c r="A19" s="2675" t="s">
        <v>784</v>
      </c>
      <c r="B19" s="2676">
        <v>0</v>
      </c>
      <c r="C19" s="2677" t="s">
        <v>785</v>
      </c>
      <c r="D19" s="2674"/>
      <c r="E19" s="2570"/>
      <c r="F19" s="2570"/>
      <c r="G19" s="2570"/>
      <c r="H19" s="2570"/>
      <c r="I19" s="2570"/>
      <c r="J19" s="2570"/>
      <c r="K19" s="2672"/>
      <c r="L19" s="2672"/>
      <c r="M19" s="2108"/>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8"/>
      <c r="AJ19" s="2108"/>
      <c r="AK19" s="2108"/>
      <c r="AL19" s="2108"/>
      <c r="AM19" s="2108"/>
      <c r="AN19" s="2108"/>
      <c r="AO19" s="2108"/>
      <c r="AP19" s="2108"/>
      <c r="AQ19" s="2108"/>
      <c r="AR19" s="2108"/>
    </row>
    <row r="20" spans="1:44" ht="14.4">
      <c r="A20" s="2678" t="s">
        <v>786</v>
      </c>
      <c r="B20" s="2679">
        <v>3</v>
      </c>
      <c r="C20" s="2680" t="s">
        <v>787</v>
      </c>
      <c r="D20" s="2674"/>
      <c r="E20" s="2570"/>
      <c r="F20" s="2570"/>
      <c r="G20" s="2570"/>
      <c r="H20" s="2570"/>
      <c r="I20" s="2570"/>
      <c r="J20" s="2570"/>
      <c r="K20" s="2672"/>
      <c r="L20" s="2672"/>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c r="AP20" s="2108"/>
      <c r="AQ20" s="2108"/>
      <c r="AR20" s="2108"/>
    </row>
    <row r="21" spans="1:44" ht="14.4">
      <c r="A21" s="2681" t="s">
        <v>788</v>
      </c>
      <c r="B21" s="2679">
        <f>B20</f>
        <v>3</v>
      </c>
      <c r="C21" s="2570"/>
      <c r="D21" s="2674"/>
      <c r="E21" s="2570"/>
      <c r="F21" s="2570"/>
      <c r="G21" s="2570"/>
      <c r="H21" s="2570"/>
      <c r="I21" s="2570"/>
      <c r="J21" s="2570"/>
      <c r="K21" s="2672"/>
      <c r="L21" s="2672"/>
      <c r="M21" s="2108"/>
      <c r="N21" s="2108"/>
      <c r="O21" s="2108"/>
      <c r="P21" s="2108"/>
      <c r="Q21" s="2108"/>
      <c r="R21" s="2108"/>
      <c r="S21" s="2108"/>
      <c r="T21" s="2108"/>
      <c r="U21" s="2108"/>
      <c r="V21" s="2108"/>
      <c r="W21" s="2108"/>
      <c r="X21" s="2108"/>
      <c r="Y21" s="2108"/>
      <c r="Z21" s="2108"/>
      <c r="AA21" s="2108"/>
      <c r="AB21" s="2108"/>
      <c r="AC21" s="2108"/>
      <c r="AD21" s="2108"/>
      <c r="AE21" s="2108"/>
      <c r="AF21" s="2108"/>
      <c r="AG21" s="2108"/>
      <c r="AH21" s="2108"/>
      <c r="AI21" s="2108"/>
      <c r="AJ21" s="2108"/>
      <c r="AK21" s="2108"/>
      <c r="AL21" s="2108"/>
      <c r="AM21" s="2108"/>
      <c r="AN21" s="2108"/>
      <c r="AO21" s="2108"/>
      <c r="AP21" s="2108"/>
      <c r="AQ21" s="2108"/>
      <c r="AR21" s="2108"/>
    </row>
    <row r="22" spans="1:44" ht="14.4">
      <c r="A22" s="2678" t="s">
        <v>789</v>
      </c>
      <c r="B22" s="2682">
        <f>B19+B20</f>
        <v>3</v>
      </c>
      <c r="C22" s="2570"/>
      <c r="D22" s="2674"/>
      <c r="E22" s="2570"/>
      <c r="F22" s="2570"/>
      <c r="G22" s="2570"/>
      <c r="H22" s="2570"/>
      <c r="I22" s="2570"/>
      <c r="J22" s="2570"/>
      <c r="K22" s="2672"/>
      <c r="L22" s="2672"/>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row>
    <row r="23" spans="1:44" ht="14.4">
      <c r="A23" s="2681" t="s">
        <v>790</v>
      </c>
      <c r="B23" s="2682">
        <f>B19+B21</f>
        <v>3</v>
      </c>
      <c r="C23" s="2570"/>
      <c r="D23" s="2674"/>
      <c r="E23" s="2570"/>
      <c r="F23" s="2570"/>
      <c r="G23" s="2570"/>
      <c r="H23" s="2570"/>
      <c r="I23" s="2570"/>
      <c r="J23" s="2570"/>
      <c r="K23" s="2672"/>
      <c r="L23" s="2672"/>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8"/>
      <c r="AK23" s="2108"/>
      <c r="AL23" s="2108"/>
      <c r="AM23" s="2108"/>
      <c r="AN23" s="2108"/>
      <c r="AO23" s="2108"/>
      <c r="AP23" s="2108"/>
      <c r="AQ23" s="2108"/>
      <c r="AR23" s="2108"/>
    </row>
    <row r="24" spans="1:44" ht="14.4">
      <c r="A24" s="2683" t="s">
        <v>791</v>
      </c>
      <c r="B24" s="2684">
        <f>B20-B21</f>
        <v>0</v>
      </c>
      <c r="C24" s="2570"/>
      <c r="D24" s="2674"/>
      <c r="E24" s="2570"/>
      <c r="F24" s="2570"/>
      <c r="G24" s="2570"/>
      <c r="H24" s="2570"/>
      <c r="I24" s="2570"/>
      <c r="J24" s="2570"/>
      <c r="K24" s="2672"/>
      <c r="L24" s="2672"/>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row>
    <row r="25" spans="1:44" ht="13.8">
      <c r="A25" s="2571"/>
      <c r="B25" s="2241"/>
      <c r="C25" s="2570"/>
      <c r="D25" s="2674"/>
      <c r="E25" s="2570"/>
      <c r="F25" s="2570"/>
      <c r="G25" s="2570"/>
      <c r="H25" s="2570"/>
      <c r="I25" s="2570"/>
      <c r="J25" s="2570"/>
      <c r="K25" s="2672"/>
      <c r="L25" s="2672"/>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c r="AK25" s="2108"/>
      <c r="AL25" s="2108"/>
      <c r="AM25" s="2108"/>
      <c r="AN25" s="2108"/>
      <c r="AO25" s="2108"/>
      <c r="AP25" s="2108"/>
      <c r="AQ25" s="2108"/>
      <c r="AR25" s="2108"/>
    </row>
    <row r="26" spans="1:44" ht="14.4">
      <c r="A26" s="2567" t="s">
        <v>792</v>
      </c>
      <c r="B26" s="2685" t="s">
        <v>793</v>
      </c>
      <c r="C26" s="2686" t="s">
        <v>794</v>
      </c>
      <c r="D26" s="2674"/>
      <c r="E26" s="2570"/>
      <c r="F26" s="2570"/>
      <c r="G26" s="2570"/>
      <c r="H26" s="2570"/>
      <c r="I26" s="2570"/>
      <c r="J26" s="2570"/>
      <c r="K26" s="2672"/>
      <c r="L26" s="2672"/>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row>
    <row r="27" spans="1:44" ht="28.8">
      <c r="A27" s="2687" t="s">
        <v>795</v>
      </c>
      <c r="B27" s="2688">
        <v>150</v>
      </c>
      <c r="C27" s="2689" t="s">
        <v>796</v>
      </c>
      <c r="D27" s="2690"/>
      <c r="E27" s="1065"/>
      <c r="F27" s="1065"/>
      <c r="G27" s="2570"/>
      <c r="H27" s="2570"/>
      <c r="I27" s="2570"/>
      <c r="J27" s="2570"/>
      <c r="K27" s="2672"/>
      <c r="L27" s="2672"/>
      <c r="M27" s="2108"/>
      <c r="N27" s="2108"/>
      <c r="O27" s="2108"/>
      <c r="P27" s="2108"/>
      <c r="Q27" s="2108"/>
      <c r="R27" s="2108"/>
      <c r="S27" s="2108"/>
      <c r="T27" s="2108"/>
      <c r="U27" s="2108"/>
      <c r="V27" s="2108"/>
      <c r="W27" s="2108"/>
      <c r="X27" s="2108"/>
      <c r="Y27" s="2108"/>
      <c r="Z27" s="2108"/>
      <c r="AA27" s="2108"/>
      <c r="AB27" s="2108"/>
      <c r="AC27" s="2108"/>
      <c r="AD27" s="2108"/>
      <c r="AE27" s="2108"/>
      <c r="AF27" s="2108"/>
      <c r="AG27" s="2108"/>
      <c r="AH27" s="2108"/>
      <c r="AI27" s="2108"/>
      <c r="AJ27" s="2108"/>
      <c r="AK27" s="2108"/>
      <c r="AL27" s="2108"/>
      <c r="AM27" s="2108"/>
      <c r="AN27" s="2108"/>
      <c r="AO27" s="2108"/>
      <c r="AP27" s="2108"/>
      <c r="AQ27" s="2108"/>
      <c r="AR27" s="2108"/>
    </row>
    <row r="28" spans="1:44" ht="28.8">
      <c r="A28" s="2691" t="s">
        <v>797</v>
      </c>
      <c r="B28" s="2692">
        <v>190</v>
      </c>
      <c r="C28" s="2693"/>
      <c r="D28" s="2690"/>
      <c r="E28" s="1065"/>
      <c r="F28" s="1065"/>
      <c r="G28" s="2570"/>
      <c r="H28" s="2570"/>
      <c r="I28" s="2570"/>
      <c r="J28" s="2570"/>
      <c r="K28" s="2672"/>
      <c r="L28" s="2672"/>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row>
    <row r="29" spans="1:44" ht="28.8">
      <c r="A29" s="2694" t="s">
        <v>798</v>
      </c>
      <c r="B29" s="2695">
        <f>ROUND(B28*K16/10000,0)</f>
        <v>2932</v>
      </c>
      <c r="C29" s="2696" t="s">
        <v>799</v>
      </c>
      <c r="D29" s="2690"/>
      <c r="E29" s="1065"/>
      <c r="F29" s="1065"/>
      <c r="G29" s="2570"/>
      <c r="H29" s="2570"/>
      <c r="I29" s="2570"/>
      <c r="J29" s="2570"/>
      <c r="K29" s="2672"/>
      <c r="L29" s="2672"/>
      <c r="M29" s="2108"/>
      <c r="N29" s="2108"/>
      <c r="O29" s="2108"/>
      <c r="P29" s="2108"/>
      <c r="Q29" s="2108"/>
      <c r="R29" s="2108"/>
      <c r="S29" s="2108"/>
      <c r="T29" s="2108"/>
      <c r="U29" s="2108"/>
      <c r="V29" s="2108"/>
      <c r="W29" s="2108"/>
      <c r="X29" s="2108"/>
      <c r="Y29" s="2108"/>
      <c r="Z29" s="2108"/>
      <c r="AA29" s="2108"/>
      <c r="AB29" s="2108"/>
      <c r="AC29" s="2108"/>
      <c r="AD29" s="2108"/>
      <c r="AE29" s="2108"/>
      <c r="AF29" s="2108"/>
      <c r="AG29" s="2108"/>
      <c r="AH29" s="2108"/>
      <c r="AI29" s="2108"/>
      <c r="AJ29" s="2108"/>
      <c r="AK29" s="2108"/>
      <c r="AL29" s="2108"/>
      <c r="AM29" s="2108"/>
      <c r="AN29" s="2108"/>
      <c r="AO29" s="2108"/>
      <c r="AP29" s="2108"/>
      <c r="AQ29" s="2108"/>
      <c r="AR29" s="2108"/>
    </row>
    <row r="30" spans="1:44" ht="28.8">
      <c r="A30" s="2697" t="s">
        <v>800</v>
      </c>
      <c r="B30" s="2698">
        <v>200</v>
      </c>
      <c r="C30" s="2693"/>
      <c r="D30" s="2690"/>
      <c r="E30" s="1065"/>
      <c r="F30" s="1065"/>
      <c r="G30" s="2570"/>
      <c r="H30" s="2570"/>
      <c r="I30" s="2570"/>
      <c r="J30" s="2570"/>
      <c r="K30" s="2672"/>
      <c r="L30" s="2672"/>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row>
    <row r="31" spans="1:44" ht="28.8">
      <c r="A31" s="2691" t="s">
        <v>801</v>
      </c>
      <c r="B31" s="2699">
        <f>B30-B32</f>
        <v>200</v>
      </c>
      <c r="C31" s="2700"/>
      <c r="D31" s="2690"/>
      <c r="E31" s="1065"/>
      <c r="F31" s="1065"/>
      <c r="G31" s="2570"/>
      <c r="H31" s="2570"/>
      <c r="I31" s="2570"/>
      <c r="J31" s="2570"/>
      <c r="K31" s="2672"/>
      <c r="L31" s="2672"/>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c r="AN31" s="2108"/>
      <c r="AO31" s="2108"/>
      <c r="AP31" s="2108"/>
      <c r="AQ31" s="2108"/>
      <c r="AR31" s="2108"/>
    </row>
    <row r="32" spans="1:44" ht="28.8">
      <c r="A32" s="2701" t="s">
        <v>802</v>
      </c>
      <c r="B32" s="2702"/>
      <c r="C32" s="2693"/>
      <c r="D32" s="2674"/>
      <c r="E32" s="2570"/>
      <c r="F32" s="2570"/>
      <c r="G32" s="2570"/>
      <c r="H32" s="2570"/>
      <c r="I32" s="2570"/>
      <c r="J32" s="2570"/>
      <c r="K32" s="2672"/>
      <c r="L32" s="2672"/>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row>
    <row r="33" spans="1:44" ht="14.4">
      <c r="A33" s="2687" t="s">
        <v>803</v>
      </c>
      <c r="B33" s="2703">
        <v>0.06</v>
      </c>
      <c r="C33" s="2704" t="s">
        <v>804</v>
      </c>
      <c r="D33" s="2674"/>
      <c r="E33" s="2570"/>
      <c r="F33" s="2570"/>
      <c r="G33" s="2570"/>
      <c r="H33" s="2570"/>
      <c r="I33" s="2570"/>
      <c r="J33" s="2570"/>
      <c r="K33" s="2672"/>
      <c r="L33" s="2672"/>
      <c r="M33" s="2108"/>
      <c r="N33" s="2108"/>
      <c r="O33" s="2108"/>
      <c r="P33" s="2108"/>
      <c r="Q33" s="2108"/>
      <c r="R33" s="2108"/>
      <c r="S33" s="2108"/>
      <c r="T33" s="2108"/>
      <c r="U33" s="2108"/>
      <c r="V33" s="2108"/>
      <c r="W33" s="2108"/>
      <c r="X33" s="2108"/>
      <c r="Y33" s="2108"/>
      <c r="Z33" s="2108"/>
      <c r="AA33" s="2108"/>
      <c r="AB33" s="2108"/>
      <c r="AC33" s="2108"/>
      <c r="AD33" s="2108"/>
      <c r="AE33" s="2108"/>
      <c r="AF33" s="2108"/>
      <c r="AG33" s="2108"/>
      <c r="AH33" s="2108"/>
      <c r="AI33" s="2108"/>
      <c r="AJ33" s="2108"/>
      <c r="AK33" s="2108"/>
      <c r="AL33" s="2108"/>
      <c r="AM33" s="2108"/>
      <c r="AN33" s="2108"/>
      <c r="AO33" s="2108"/>
      <c r="AP33" s="2108"/>
      <c r="AQ33" s="2108"/>
      <c r="AR33" s="2108"/>
    </row>
    <row r="34" spans="1:44" ht="14.4">
      <c r="A34" s="2691" t="s">
        <v>805</v>
      </c>
      <c r="B34" s="2633"/>
      <c r="C34" s="2704" t="s">
        <v>806</v>
      </c>
      <c r="D34" s="2705" t="s">
        <v>807</v>
      </c>
      <c r="E34" s="2670"/>
      <c r="F34" s="2570"/>
      <c r="G34" s="2570"/>
      <c r="H34" s="2570"/>
      <c r="I34" s="2570"/>
      <c r="J34" s="2570"/>
      <c r="K34" s="2672"/>
      <c r="L34" s="2672"/>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row>
    <row r="35" spans="1:44" ht="14.4">
      <c r="A35" s="2691" t="s">
        <v>808</v>
      </c>
      <c r="B35" s="2692">
        <f>B30</f>
        <v>200</v>
      </c>
      <c r="C35" s="2704" t="s">
        <v>809</v>
      </c>
      <c r="D35" s="2690"/>
      <c r="E35" s="1065"/>
      <c r="F35" s="1065"/>
      <c r="G35" s="2570"/>
      <c r="H35" s="2570"/>
      <c r="I35" s="2570"/>
      <c r="J35" s="2570"/>
      <c r="K35" s="2672"/>
      <c r="L35" s="2672"/>
      <c r="M35" s="2108"/>
      <c r="N35" s="2108"/>
      <c r="O35" s="2108"/>
      <c r="P35" s="2108"/>
      <c r="Q35" s="2108"/>
      <c r="R35" s="2108"/>
      <c r="S35" s="2108"/>
      <c r="T35" s="2108"/>
      <c r="U35" s="2108"/>
      <c r="V35" s="2108"/>
      <c r="W35" s="2108"/>
      <c r="X35" s="2108"/>
      <c r="Y35" s="2108"/>
      <c r="Z35" s="2108"/>
      <c r="AA35" s="2108"/>
      <c r="AB35" s="2108"/>
      <c r="AC35" s="2108"/>
      <c r="AD35" s="2108"/>
      <c r="AE35" s="2108"/>
      <c r="AF35" s="2108"/>
      <c r="AG35" s="2108"/>
      <c r="AH35" s="2108"/>
      <c r="AI35" s="2108"/>
      <c r="AJ35" s="2108"/>
      <c r="AK35" s="2108"/>
      <c r="AL35" s="2108"/>
      <c r="AM35" s="2108"/>
      <c r="AN35" s="2108"/>
      <c r="AO35" s="2108"/>
      <c r="AP35" s="2108"/>
      <c r="AQ35" s="2108"/>
      <c r="AR35" s="2108"/>
    </row>
    <row r="36" spans="1:44" ht="14.4">
      <c r="A36" s="2694" t="s">
        <v>810</v>
      </c>
      <c r="B36" s="2706">
        <v>0.02</v>
      </c>
      <c r="C36" s="2704" t="s">
        <v>811</v>
      </c>
      <c r="D36" s="2674"/>
      <c r="E36" s="2570"/>
      <c r="F36" s="2570"/>
      <c r="G36" s="2570"/>
      <c r="H36" s="2570"/>
      <c r="I36" s="2570"/>
      <c r="J36" s="2570"/>
      <c r="K36" s="2672"/>
      <c r="L36" s="2672"/>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row>
    <row r="37" spans="1:44" ht="14.4">
      <c r="A37" s="2697" t="s">
        <v>812</v>
      </c>
      <c r="B37" s="2707">
        <v>0.03</v>
      </c>
      <c r="C37" s="2704" t="s">
        <v>813</v>
      </c>
      <c r="D37" s="2674"/>
      <c r="E37" s="2570"/>
      <c r="F37" s="2570"/>
      <c r="G37" s="2570"/>
      <c r="H37" s="2570"/>
      <c r="I37" s="2570"/>
      <c r="J37" s="2570"/>
      <c r="K37" s="2672"/>
      <c r="L37" s="2672"/>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row>
    <row r="38" spans="1:44" ht="14.4">
      <c r="A38" s="2691" t="s">
        <v>814</v>
      </c>
      <c r="B38" s="2633">
        <v>0.02</v>
      </c>
      <c r="C38" s="2704" t="s">
        <v>815</v>
      </c>
      <c r="D38" s="2674"/>
      <c r="E38" s="2570"/>
      <c r="F38" s="2570"/>
      <c r="G38" s="2570"/>
      <c r="H38" s="2570"/>
      <c r="I38" s="2570"/>
      <c r="J38" s="2570"/>
      <c r="K38" s="2672"/>
      <c r="L38" s="2672"/>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row>
    <row r="39" spans="1:44" ht="14.4">
      <c r="A39" s="2701" t="s">
        <v>816</v>
      </c>
      <c r="B39" s="2708">
        <f ca="1">存贷款利率!I1</f>
        <v>1.4999999999999999E-2</v>
      </c>
      <c r="C39" s="2709"/>
      <c r="D39" s="2674"/>
      <c r="E39" s="2570"/>
      <c r="F39" s="2570"/>
      <c r="G39" s="2570"/>
      <c r="H39" s="2570"/>
      <c r="I39" s="2570"/>
      <c r="J39" s="2570"/>
      <c r="K39" s="2672"/>
      <c r="L39" s="2672"/>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row>
    <row r="40" spans="1:44" ht="13.8">
      <c r="A40" s="2710" t="s">
        <v>817</v>
      </c>
      <c r="B40" s="2711">
        <f ca="1">IF(A40="利息：取LPR",存贷款利率!G1,存贷款利率!G1+C40)</f>
        <v>3.2500000000000001E-2</v>
      </c>
      <c r="C40" s="2712"/>
      <c r="D40" s="2108"/>
      <c r="E40" s="2674"/>
      <c r="F40" s="2570"/>
      <c r="G40" s="2570"/>
      <c r="H40" s="2570"/>
      <c r="I40" s="2570"/>
      <c r="J40" s="2570"/>
      <c r="K40" s="2672"/>
      <c r="L40" s="2672"/>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row>
    <row r="41" spans="1:44" ht="14.4">
      <c r="A41" s="2687" t="s">
        <v>818</v>
      </c>
      <c r="B41" s="2713">
        <f>B42+B43</f>
        <v>5.5E-2</v>
      </c>
      <c r="C41" s="2700"/>
      <c r="D41" s="2108"/>
      <c r="E41" s="2674"/>
      <c r="F41" s="2570"/>
      <c r="G41" s="2570"/>
      <c r="H41" s="2570"/>
      <c r="I41" s="2570"/>
      <c r="J41" s="2570"/>
      <c r="K41" s="2672"/>
      <c r="L41" s="2672"/>
      <c r="M41" s="2108"/>
      <c r="N41" s="2108"/>
      <c r="O41" s="2108"/>
      <c r="P41" s="2108"/>
      <c r="Q41" s="2108"/>
      <c r="R41" s="2108"/>
      <c r="S41" s="2108"/>
      <c r="T41" s="2108"/>
      <c r="U41" s="2108"/>
      <c r="V41" s="2108"/>
      <c r="W41" s="2108"/>
      <c r="X41" s="2108"/>
      <c r="Y41" s="2108"/>
      <c r="Z41" s="2108"/>
      <c r="AA41" s="2108"/>
      <c r="AB41" s="2108"/>
      <c r="AC41" s="2108"/>
      <c r="AD41" s="2108"/>
      <c r="AE41" s="2108"/>
      <c r="AF41" s="2108"/>
      <c r="AG41" s="2108"/>
      <c r="AH41" s="2108"/>
      <c r="AI41" s="2108"/>
      <c r="AJ41" s="2108"/>
      <c r="AK41" s="2108"/>
      <c r="AL41" s="2108"/>
      <c r="AM41" s="2108"/>
      <c r="AN41" s="2108"/>
      <c r="AO41" s="2108"/>
      <c r="AP41" s="2108"/>
      <c r="AQ41" s="2108"/>
      <c r="AR41" s="2108"/>
    </row>
    <row r="42" spans="1:44" ht="14.4">
      <c r="A42" s="2714" t="s">
        <v>819</v>
      </c>
      <c r="B42" s="2715">
        <v>0.05</v>
      </c>
      <c r="C42" s="2716">
        <f>IF(B2&lt;DATE(2016,5,1),0,B42)</f>
        <v>0.05</v>
      </c>
      <c r="D42" s="2674"/>
      <c r="E42" s="2570"/>
      <c r="F42" s="2570"/>
      <c r="G42" s="2570"/>
      <c r="H42" s="2570"/>
      <c r="I42" s="2570"/>
      <c r="J42" s="2570"/>
      <c r="K42" s="2672"/>
      <c r="L42" s="2672"/>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row>
    <row r="43" spans="1:44" ht="14.4">
      <c r="A43" s="2714" t="s">
        <v>820</v>
      </c>
      <c r="B43" s="2717">
        <f>B42*(B44+B45+B46)+B47</f>
        <v>5.0000000000000001E-3</v>
      </c>
      <c r="C43" s="2700"/>
      <c r="D43" s="2674"/>
      <c r="E43" s="2570"/>
      <c r="F43" s="2570"/>
      <c r="G43" s="2570"/>
      <c r="H43" s="2570"/>
      <c r="I43" s="2570"/>
      <c r="J43" s="2570"/>
      <c r="K43" s="2672"/>
      <c r="L43" s="2672"/>
      <c r="M43" s="2108"/>
      <c r="N43" s="2108"/>
      <c r="O43" s="2108"/>
      <c r="P43" s="2108"/>
      <c r="Q43" s="2108"/>
      <c r="R43" s="2108"/>
      <c r="S43" s="2108"/>
      <c r="T43" s="2108"/>
      <c r="U43" s="2108"/>
      <c r="V43" s="2108"/>
      <c r="W43" s="2108"/>
      <c r="X43" s="2108"/>
      <c r="Y43" s="2108"/>
      <c r="Z43" s="2108"/>
      <c r="AA43" s="2108"/>
      <c r="AB43" s="2108"/>
      <c r="AC43" s="2108"/>
      <c r="AD43" s="2108"/>
      <c r="AE43" s="2108"/>
      <c r="AF43" s="2108"/>
      <c r="AG43" s="2108"/>
      <c r="AH43" s="2108"/>
      <c r="AI43" s="2108"/>
      <c r="AJ43" s="2108"/>
      <c r="AK43" s="2108"/>
      <c r="AL43" s="2108"/>
      <c r="AM43" s="2108"/>
      <c r="AN43" s="2108"/>
      <c r="AO43" s="2108"/>
      <c r="AP43" s="2108"/>
      <c r="AQ43" s="2108"/>
      <c r="AR43" s="2108"/>
    </row>
    <row r="44" spans="1:44" ht="14.4">
      <c r="A44" s="2718" t="s">
        <v>821</v>
      </c>
      <c r="B44" s="2719">
        <v>0.05</v>
      </c>
      <c r="C44" s="2704" t="s">
        <v>822</v>
      </c>
      <c r="D44" s="2674"/>
      <c r="E44" s="2570"/>
      <c r="F44" s="2570"/>
      <c r="G44" s="2570"/>
      <c r="H44" s="2570"/>
      <c r="I44" s="2570"/>
      <c r="J44" s="2570"/>
      <c r="K44" s="2672"/>
      <c r="L44" s="2672"/>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row>
    <row r="45" spans="1:44" ht="14.4">
      <c r="A45" s="2718" t="s">
        <v>823</v>
      </c>
      <c r="B45" s="2715">
        <v>0.03</v>
      </c>
      <c r="C45" s="2696" t="s">
        <v>824</v>
      </c>
      <c r="D45" s="2674"/>
      <c r="E45" s="2570"/>
      <c r="F45" s="2570"/>
      <c r="G45" s="2570"/>
      <c r="H45" s="2570"/>
      <c r="I45" s="2570"/>
      <c r="J45" s="2570"/>
      <c r="K45" s="2672"/>
      <c r="L45" s="2672"/>
      <c r="M45" s="2108"/>
      <c r="N45" s="2108"/>
      <c r="O45" s="2108"/>
      <c r="P45" s="2108"/>
      <c r="Q45" s="2108"/>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8"/>
      <c r="AP45" s="2108"/>
      <c r="AQ45" s="2108"/>
      <c r="AR45" s="2108"/>
    </row>
    <row r="46" spans="1:44" ht="14.4">
      <c r="A46" s="2718" t="s">
        <v>825</v>
      </c>
      <c r="B46" s="2715">
        <v>0.02</v>
      </c>
      <c r="C46" s="2696" t="s">
        <v>826</v>
      </c>
      <c r="D46" s="2674"/>
      <c r="E46" s="2570"/>
      <c r="F46" s="2570"/>
      <c r="G46" s="2570"/>
      <c r="H46" s="2570"/>
      <c r="I46" s="2570"/>
      <c r="J46" s="2570"/>
      <c r="K46" s="2672"/>
      <c r="L46" s="2672"/>
      <c r="M46" s="2108"/>
      <c r="N46" s="2108"/>
      <c r="O46" s="2108"/>
      <c r="P46" s="2108"/>
      <c r="Q46" s="2108"/>
      <c r="R46" s="2108"/>
      <c r="S46" s="2108"/>
      <c r="T46" s="2108"/>
      <c r="U46" s="2108"/>
      <c r="V46" s="2108"/>
      <c r="W46" s="2108"/>
      <c r="X46" s="2108"/>
      <c r="Y46" s="2108"/>
      <c r="Z46" s="2108"/>
      <c r="AA46" s="2108"/>
      <c r="AB46" s="2108"/>
      <c r="AC46" s="2108"/>
      <c r="AD46" s="2108"/>
      <c r="AE46" s="2108"/>
      <c r="AF46" s="2108"/>
      <c r="AG46" s="2108"/>
      <c r="AH46" s="2108"/>
      <c r="AI46" s="2108"/>
      <c r="AJ46" s="2108"/>
      <c r="AK46" s="2108"/>
      <c r="AL46" s="2108"/>
      <c r="AM46" s="2108"/>
      <c r="AN46" s="2108"/>
      <c r="AO46" s="2108"/>
      <c r="AP46" s="2108"/>
      <c r="AQ46" s="2108"/>
      <c r="AR46" s="2108"/>
    </row>
    <row r="47" spans="1:44" ht="14.4">
      <c r="A47" s="2720" t="s">
        <v>827</v>
      </c>
      <c r="B47" s="2721"/>
      <c r="C47" s="2722" t="s">
        <v>828</v>
      </c>
      <c r="D47" s="2674"/>
      <c r="E47" s="2570"/>
      <c r="F47" s="2570"/>
      <c r="G47" s="2570"/>
      <c r="H47" s="2570"/>
      <c r="I47" s="2570"/>
      <c r="J47" s="2570"/>
      <c r="K47" s="2672"/>
      <c r="L47" s="2672"/>
      <c r="M47" s="2108"/>
      <c r="N47" s="2108"/>
      <c r="O47" s="2108"/>
      <c r="P47" s="2108"/>
      <c r="Q47" s="2108"/>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8"/>
      <c r="AP47" s="2108"/>
      <c r="AQ47" s="2108"/>
      <c r="AR47" s="2108"/>
    </row>
    <row r="48" spans="1:44" ht="14.4">
      <c r="A48" s="2723" t="s">
        <v>829</v>
      </c>
      <c r="B48" s="2724">
        <v>0.03</v>
      </c>
      <c r="C48" s="2696" t="s">
        <v>824</v>
      </c>
      <c r="D48" s="2674"/>
      <c r="E48" s="2570"/>
      <c r="F48" s="2570"/>
      <c r="G48" s="2570"/>
      <c r="H48" s="2570"/>
      <c r="I48" s="2570"/>
      <c r="J48" s="2570"/>
      <c r="K48" s="2672"/>
      <c r="L48" s="2672"/>
      <c r="M48" s="2108"/>
      <c r="N48" s="2108"/>
      <c r="O48" s="2108"/>
      <c r="P48" s="2108"/>
      <c r="Q48" s="2108"/>
      <c r="R48" s="2108"/>
      <c r="S48" s="2108"/>
      <c r="T48" s="2108"/>
      <c r="U48" s="2108"/>
      <c r="V48" s="2108"/>
      <c r="W48" s="2108"/>
      <c r="X48" s="2108"/>
      <c r="Y48" s="2108"/>
      <c r="Z48" s="2108"/>
      <c r="AA48" s="2108"/>
      <c r="AB48" s="2108"/>
      <c r="AC48" s="2108"/>
      <c r="AD48" s="2108"/>
      <c r="AE48" s="2108"/>
      <c r="AF48" s="2108"/>
      <c r="AG48" s="2108"/>
      <c r="AH48" s="2108"/>
      <c r="AI48" s="2108"/>
      <c r="AJ48" s="2108"/>
      <c r="AK48" s="2108"/>
      <c r="AL48" s="2108"/>
      <c r="AM48" s="2108"/>
      <c r="AN48" s="2108"/>
      <c r="AO48" s="2108"/>
      <c r="AP48" s="2108"/>
      <c r="AQ48" s="2108"/>
      <c r="AR48" s="2108"/>
    </row>
    <row r="49" spans="1:44" ht="14.4">
      <c r="A49" s="2701" t="s">
        <v>830</v>
      </c>
      <c r="B49" s="2715">
        <v>5.0000000000000001E-4</v>
      </c>
      <c r="C49" s="2696" t="s">
        <v>831</v>
      </c>
      <c r="D49" s="2674"/>
      <c r="E49" s="2570"/>
      <c r="F49" s="2570"/>
      <c r="G49" s="2570"/>
      <c r="H49" s="2570"/>
      <c r="I49" s="2570"/>
      <c r="J49" s="2570"/>
      <c r="K49" s="2672"/>
      <c r="L49" s="2672"/>
      <c r="M49" s="2108"/>
      <c r="N49" s="2108"/>
      <c r="O49" s="2108"/>
      <c r="P49" s="2108"/>
      <c r="Q49" s="2108"/>
      <c r="R49" s="2108"/>
      <c r="S49" s="2108"/>
      <c r="T49" s="2108"/>
      <c r="U49" s="2108"/>
      <c r="V49" s="2108"/>
      <c r="W49" s="2108"/>
      <c r="X49" s="2108"/>
      <c r="Y49" s="2108"/>
      <c r="Z49" s="2108"/>
      <c r="AA49" s="2108"/>
      <c r="AB49" s="2108"/>
      <c r="AC49" s="2108"/>
      <c r="AD49" s="2108"/>
      <c r="AE49" s="2108"/>
      <c r="AF49" s="2108"/>
      <c r="AG49" s="2108"/>
      <c r="AH49" s="2108"/>
      <c r="AI49" s="2108"/>
      <c r="AJ49" s="2108"/>
      <c r="AK49" s="2108"/>
      <c r="AL49" s="2108"/>
      <c r="AM49" s="2108"/>
      <c r="AN49" s="2108"/>
      <c r="AO49" s="2108"/>
      <c r="AP49" s="2108"/>
      <c r="AQ49" s="2108"/>
      <c r="AR49" s="2108"/>
    </row>
    <row r="50" spans="1:44" ht="14.4">
      <c r="A50" s="2725" t="s">
        <v>832</v>
      </c>
      <c r="B50" s="2726">
        <v>1.2E-2</v>
      </c>
      <c r="C50" s="1065"/>
      <c r="D50" s="2674"/>
      <c r="E50" s="2570"/>
      <c r="F50" s="2570"/>
      <c r="G50" s="2570"/>
      <c r="H50" s="2570"/>
      <c r="I50" s="2570"/>
      <c r="J50" s="2570"/>
      <c r="K50" s="2672"/>
      <c r="L50" s="2672"/>
      <c r="M50" s="2108"/>
      <c r="N50" s="2108"/>
      <c r="O50" s="2108"/>
      <c r="P50" s="2108"/>
      <c r="Q50" s="2108"/>
      <c r="R50" s="2108"/>
      <c r="S50" s="2108"/>
      <c r="T50" s="2108"/>
      <c r="U50" s="2108"/>
      <c r="V50" s="2108"/>
      <c r="W50" s="2108"/>
      <c r="X50" s="2108"/>
      <c r="Y50" s="2108"/>
      <c r="Z50" s="2108"/>
      <c r="AA50" s="2108"/>
      <c r="AB50" s="2108"/>
      <c r="AC50" s="2108"/>
      <c r="AD50" s="2108"/>
      <c r="AE50" s="2108"/>
      <c r="AF50" s="2108"/>
      <c r="AG50" s="2108"/>
      <c r="AH50" s="2108"/>
      <c r="AI50" s="2108"/>
      <c r="AJ50" s="2108"/>
      <c r="AK50" s="2108"/>
      <c r="AL50" s="2108"/>
      <c r="AM50" s="2108"/>
      <c r="AN50" s="2108"/>
      <c r="AO50" s="2108"/>
      <c r="AP50" s="2108"/>
      <c r="AQ50" s="2108"/>
      <c r="AR50" s="2108"/>
    </row>
    <row r="51" spans="1:44" ht="14.4">
      <c r="A51" s="2694" t="s">
        <v>833</v>
      </c>
      <c r="B51" s="2727">
        <v>0.12</v>
      </c>
      <c r="C51" s="1065"/>
      <c r="D51" s="2674"/>
      <c r="E51" s="2570"/>
      <c r="F51" s="2570"/>
      <c r="G51" s="2570"/>
      <c r="H51" s="2570"/>
      <c r="I51" s="2570"/>
      <c r="J51" s="2570"/>
      <c r="K51" s="2672"/>
      <c r="L51" s="2672"/>
      <c r="M51" s="2108"/>
      <c r="N51" s="2108"/>
      <c r="O51" s="2108"/>
      <c r="P51" s="2108"/>
      <c r="Q51" s="2108"/>
      <c r="R51" s="2108"/>
      <c r="S51" s="2108"/>
      <c r="T51" s="2108"/>
      <c r="U51" s="2108"/>
      <c r="V51" s="2108"/>
      <c r="W51" s="2108"/>
      <c r="X51" s="2108"/>
      <c r="Y51" s="2108"/>
      <c r="Z51" s="2108"/>
      <c r="AA51" s="2108"/>
      <c r="AB51" s="2108"/>
      <c r="AC51" s="2108"/>
      <c r="AD51" s="2108"/>
      <c r="AE51" s="2108"/>
      <c r="AF51" s="2108"/>
      <c r="AG51" s="2108"/>
      <c r="AH51" s="2108"/>
      <c r="AI51" s="2108"/>
      <c r="AJ51" s="2108"/>
      <c r="AK51" s="2108"/>
      <c r="AL51" s="2108"/>
      <c r="AM51" s="2108"/>
      <c r="AN51" s="2108"/>
      <c r="AO51" s="2108"/>
      <c r="AP51" s="2108"/>
      <c r="AQ51" s="2108"/>
      <c r="AR51" s="2108"/>
    </row>
    <row r="52" spans="1:44" ht="14.4">
      <c r="A52" s="2725" t="s">
        <v>834</v>
      </c>
      <c r="B52" s="2728">
        <f>SUMIF(A54:A63,B53,B54:B63)</f>
        <v>3</v>
      </c>
      <c r="C52" s="1065"/>
      <c r="D52" s="2674"/>
      <c r="E52" s="2570"/>
      <c r="F52" s="2570"/>
      <c r="G52" s="2570"/>
      <c r="H52" s="2570"/>
      <c r="I52" s="2570"/>
      <c r="J52" s="2570"/>
      <c r="K52" s="2672"/>
      <c r="L52" s="2672"/>
      <c r="M52" s="2108"/>
      <c r="N52" s="2108"/>
      <c r="O52" s="2108"/>
      <c r="P52" s="2108"/>
      <c r="Q52" s="2108"/>
      <c r="R52" s="2108"/>
      <c r="S52" s="2108"/>
      <c r="T52" s="2108"/>
      <c r="U52" s="2108"/>
      <c r="V52" s="2108"/>
      <c r="W52" s="2108"/>
      <c r="X52" s="2108"/>
      <c r="Y52" s="2108"/>
      <c r="Z52" s="2108"/>
      <c r="AA52" s="2108"/>
      <c r="AB52" s="2108"/>
      <c r="AC52" s="2108"/>
      <c r="AD52" s="2108"/>
      <c r="AE52" s="2108"/>
      <c r="AF52" s="2108"/>
      <c r="AG52" s="2108"/>
      <c r="AH52" s="2108"/>
      <c r="AI52" s="2108"/>
      <c r="AJ52" s="2108"/>
      <c r="AK52" s="2108"/>
      <c r="AL52" s="2108"/>
      <c r="AM52" s="2108"/>
      <c r="AN52" s="2108"/>
      <c r="AO52" s="2108"/>
      <c r="AP52" s="2108"/>
      <c r="AQ52" s="2108"/>
      <c r="AR52" s="2108"/>
    </row>
    <row r="53" spans="1:44" ht="28.8">
      <c r="A53" s="2691" t="s">
        <v>835</v>
      </c>
      <c r="B53" s="2729" t="s">
        <v>286</v>
      </c>
      <c r="C53" s="1065" t="s">
        <v>836</v>
      </c>
      <c r="D53" s="2730" t="s">
        <v>837</v>
      </c>
      <c r="E53" s="2570"/>
      <c r="F53" s="2570"/>
      <c r="G53" s="2570"/>
      <c r="H53" s="2570"/>
      <c r="I53" s="2570"/>
      <c r="J53" s="2570"/>
      <c r="K53" s="2672"/>
      <c r="L53" s="2672"/>
      <c r="M53" s="2108"/>
      <c r="N53" s="2108"/>
      <c r="O53" s="2108"/>
      <c r="P53" s="2108"/>
      <c r="Q53" s="2108"/>
      <c r="R53" s="2108"/>
      <c r="S53" s="2108"/>
      <c r="T53" s="2108"/>
      <c r="U53" s="2108"/>
      <c r="V53" s="2108"/>
      <c r="W53" s="2108"/>
      <c r="X53" s="2108"/>
      <c r="Y53" s="2108"/>
      <c r="Z53" s="2108"/>
      <c r="AA53" s="2108"/>
      <c r="AB53" s="2108"/>
      <c r="AC53" s="2108"/>
      <c r="AD53" s="2108"/>
      <c r="AE53" s="2108"/>
      <c r="AF53" s="2108"/>
      <c r="AG53" s="2108"/>
      <c r="AH53" s="2108"/>
      <c r="AI53" s="2108"/>
      <c r="AJ53" s="2108"/>
      <c r="AK53" s="2108"/>
      <c r="AL53" s="2108"/>
      <c r="AM53" s="2108"/>
      <c r="AN53" s="2108"/>
      <c r="AO53" s="2108"/>
      <c r="AP53" s="2108"/>
      <c r="AQ53" s="2108"/>
      <c r="AR53" s="2108"/>
    </row>
    <row r="54" spans="1:44" ht="14.4">
      <c r="A54" s="2731" t="s">
        <v>838</v>
      </c>
      <c r="B54" s="2732">
        <v>30</v>
      </c>
      <c r="C54" s="1065">
        <v>30</v>
      </c>
      <c r="D54" s="2674"/>
      <c r="E54" s="2570"/>
      <c r="F54" s="2570"/>
      <c r="G54" s="2570"/>
      <c r="H54" s="2570"/>
      <c r="I54" s="2570"/>
      <c r="J54" s="2570"/>
      <c r="K54" s="2672"/>
      <c r="L54" s="2672"/>
      <c r="M54" s="2108"/>
      <c r="N54" s="2108"/>
      <c r="O54" s="2108"/>
      <c r="P54" s="2108"/>
      <c r="Q54" s="2108"/>
      <c r="R54" s="2108"/>
      <c r="S54" s="2108"/>
      <c r="T54" s="2108"/>
      <c r="U54" s="2108"/>
      <c r="V54" s="2108"/>
      <c r="W54" s="2108"/>
      <c r="X54" s="2108"/>
      <c r="Y54" s="2108"/>
      <c r="Z54" s="2108"/>
      <c r="AA54" s="2108"/>
      <c r="AB54" s="2108"/>
      <c r="AC54" s="2108"/>
      <c r="AD54" s="2108"/>
      <c r="AE54" s="2108"/>
      <c r="AF54" s="2108"/>
      <c r="AG54" s="2108"/>
      <c r="AH54" s="2108"/>
      <c r="AI54" s="2108"/>
      <c r="AJ54" s="2108"/>
      <c r="AK54" s="2108"/>
      <c r="AL54" s="2108"/>
      <c r="AM54" s="2108"/>
      <c r="AN54" s="2108"/>
      <c r="AO54" s="2108"/>
      <c r="AP54" s="2108"/>
      <c r="AQ54" s="2108"/>
      <c r="AR54" s="2108"/>
    </row>
    <row r="55" spans="1:44" ht="14.4">
      <c r="A55" s="2731" t="s">
        <v>839</v>
      </c>
      <c r="B55" s="2732">
        <v>24</v>
      </c>
      <c r="C55" s="1065">
        <v>24</v>
      </c>
      <c r="D55" s="2674"/>
      <c r="E55" s="2570"/>
      <c r="F55" s="2570"/>
      <c r="G55" s="2570"/>
      <c r="H55" s="2570"/>
      <c r="I55" s="2570"/>
      <c r="J55" s="2570"/>
      <c r="K55" s="2672"/>
      <c r="L55" s="2672"/>
      <c r="M55" s="2108"/>
      <c r="N55" s="2108"/>
      <c r="O55" s="2108"/>
      <c r="P55" s="2108"/>
      <c r="Q55" s="2108"/>
      <c r="R55" s="2108"/>
      <c r="S55" s="2108"/>
      <c r="T55" s="2108"/>
      <c r="U55" s="2108"/>
      <c r="V55" s="2108"/>
      <c r="W55" s="2108"/>
      <c r="X55" s="2108"/>
      <c r="Y55" s="2108"/>
      <c r="Z55" s="2108"/>
      <c r="AA55" s="2108"/>
      <c r="AB55" s="2108"/>
      <c r="AC55" s="2108"/>
      <c r="AD55" s="2108"/>
      <c r="AE55" s="2108"/>
      <c r="AF55" s="2108"/>
      <c r="AG55" s="2108"/>
      <c r="AH55" s="2108"/>
      <c r="AI55" s="2108"/>
      <c r="AJ55" s="2108"/>
      <c r="AK55" s="2108"/>
      <c r="AL55" s="2108"/>
      <c r="AM55" s="2108"/>
      <c r="AN55" s="2108"/>
      <c r="AO55" s="2108"/>
      <c r="AP55" s="2108"/>
      <c r="AQ55" s="2108"/>
      <c r="AR55" s="2108"/>
    </row>
    <row r="56" spans="1:44" ht="14.4">
      <c r="A56" s="2731" t="s">
        <v>840</v>
      </c>
      <c r="B56" s="2732">
        <v>18</v>
      </c>
      <c r="C56" s="1065">
        <v>18</v>
      </c>
      <c r="D56" s="2674"/>
      <c r="E56" s="2570"/>
      <c r="F56" s="2570"/>
      <c r="G56" s="2570"/>
      <c r="H56" s="2570"/>
      <c r="I56" s="2570"/>
      <c r="J56" s="2570"/>
      <c r="K56" s="2672"/>
      <c r="L56" s="2672"/>
      <c r="M56" s="2108"/>
      <c r="N56" s="2108"/>
      <c r="O56" s="2108"/>
      <c r="P56" s="2108"/>
      <c r="Q56" s="2108"/>
      <c r="R56" s="2108"/>
      <c r="S56" s="2108"/>
      <c r="T56" s="2108"/>
      <c r="U56" s="2108"/>
      <c r="V56" s="2108"/>
      <c r="W56" s="2108"/>
      <c r="X56" s="2108"/>
      <c r="Y56" s="2108"/>
      <c r="Z56" s="2108"/>
      <c r="AA56" s="2108"/>
      <c r="AB56" s="2108"/>
      <c r="AC56" s="2108"/>
      <c r="AD56" s="2108"/>
      <c r="AE56" s="2108"/>
      <c r="AF56" s="2108"/>
      <c r="AG56" s="2108"/>
      <c r="AH56" s="2108"/>
      <c r="AI56" s="2108"/>
      <c r="AJ56" s="2108"/>
      <c r="AK56" s="2108"/>
      <c r="AL56" s="2108"/>
      <c r="AM56" s="2108"/>
      <c r="AN56" s="2108"/>
      <c r="AO56" s="2108"/>
      <c r="AP56" s="2108"/>
      <c r="AQ56" s="2108"/>
      <c r="AR56" s="2108"/>
    </row>
    <row r="57" spans="1:44" ht="14.4">
      <c r="A57" s="2731" t="s">
        <v>841</v>
      </c>
      <c r="B57" s="2732">
        <v>12</v>
      </c>
      <c r="C57" s="1065">
        <v>12</v>
      </c>
      <c r="D57" s="2674"/>
      <c r="E57" s="2570"/>
      <c r="F57" s="2570"/>
      <c r="G57" s="2570"/>
      <c r="H57" s="2570"/>
      <c r="I57" s="2570"/>
      <c r="J57" s="2570"/>
      <c r="K57" s="2672"/>
      <c r="L57" s="2672"/>
      <c r="M57" s="2108"/>
      <c r="N57" s="2108"/>
      <c r="O57" s="2108"/>
      <c r="P57" s="2108"/>
      <c r="Q57" s="2108"/>
      <c r="R57" s="2108"/>
      <c r="S57" s="2108"/>
      <c r="T57" s="2108"/>
      <c r="U57" s="2108"/>
      <c r="V57" s="2108"/>
      <c r="W57" s="2108"/>
      <c r="X57" s="2108"/>
      <c r="Y57" s="2108"/>
      <c r="Z57" s="2108"/>
      <c r="AA57" s="2108"/>
      <c r="AB57" s="2108"/>
      <c r="AC57" s="2108"/>
      <c r="AD57" s="2108"/>
      <c r="AE57" s="2108"/>
      <c r="AF57" s="2108"/>
      <c r="AG57" s="2108"/>
      <c r="AH57" s="2108"/>
      <c r="AI57" s="2108"/>
      <c r="AJ57" s="2108"/>
      <c r="AK57" s="2108"/>
      <c r="AL57" s="2108"/>
      <c r="AM57" s="2108"/>
      <c r="AN57" s="2108"/>
      <c r="AO57" s="2108"/>
      <c r="AP57" s="2108"/>
      <c r="AQ57" s="2108"/>
      <c r="AR57" s="2108"/>
    </row>
    <row r="58" spans="1:44" ht="14.4">
      <c r="A58" s="2731" t="s">
        <v>842</v>
      </c>
      <c r="B58" s="2732">
        <v>3</v>
      </c>
      <c r="C58" s="1065">
        <v>3</v>
      </c>
      <c r="D58" s="2674"/>
      <c r="E58" s="2570"/>
      <c r="F58" s="2570"/>
      <c r="G58" s="2570"/>
      <c r="H58" s="2570"/>
      <c r="I58" s="2570"/>
      <c r="J58" s="2570"/>
      <c r="K58" s="2672"/>
      <c r="L58" s="2672"/>
      <c r="M58" s="2108"/>
      <c r="N58" s="2108"/>
      <c r="O58" s="2108"/>
      <c r="P58" s="2108"/>
      <c r="Q58" s="2108"/>
      <c r="R58" s="2108"/>
      <c r="S58" s="2108"/>
      <c r="T58" s="2108"/>
      <c r="U58" s="2108"/>
      <c r="V58" s="2108"/>
      <c r="W58" s="2108"/>
      <c r="X58" s="2108"/>
      <c r="Y58" s="2108"/>
      <c r="Z58" s="2108"/>
      <c r="AA58" s="2108"/>
      <c r="AB58" s="2108"/>
      <c r="AC58" s="2108"/>
      <c r="AD58" s="2108"/>
      <c r="AE58" s="2108"/>
      <c r="AF58" s="2108"/>
      <c r="AG58" s="2108"/>
      <c r="AH58" s="2108"/>
      <c r="AI58" s="2108"/>
      <c r="AJ58" s="2108"/>
      <c r="AK58" s="2108"/>
      <c r="AL58" s="2108"/>
      <c r="AM58" s="2108"/>
      <c r="AN58" s="2108"/>
      <c r="AO58" s="2108"/>
      <c r="AP58" s="2108"/>
      <c r="AQ58" s="2108"/>
      <c r="AR58" s="2108"/>
    </row>
    <row r="59" spans="1:44" ht="14.4">
      <c r="A59" s="2731" t="s">
        <v>843</v>
      </c>
      <c r="B59" s="2732">
        <v>1.5</v>
      </c>
      <c r="C59" s="1065">
        <v>1.5</v>
      </c>
      <c r="D59" s="2674"/>
      <c r="E59" s="2570"/>
      <c r="F59" s="2570"/>
      <c r="G59" s="2570"/>
      <c r="H59" s="2570"/>
      <c r="I59" s="2570"/>
      <c r="J59" s="2570"/>
      <c r="K59" s="2672"/>
      <c r="L59" s="2672"/>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row>
    <row r="60" spans="1:44" ht="14.4">
      <c r="A60" s="2731" t="s">
        <v>844</v>
      </c>
      <c r="B60" s="2732"/>
      <c r="C60" s="2570"/>
      <c r="D60" s="2674"/>
      <c r="E60" s="2570"/>
      <c r="F60" s="2570"/>
      <c r="G60" s="2570"/>
      <c r="H60" s="2570"/>
      <c r="I60" s="2570"/>
      <c r="J60" s="2570"/>
      <c r="K60" s="2672"/>
      <c r="L60" s="2672"/>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c r="AO60" s="2108"/>
      <c r="AP60" s="2108"/>
      <c r="AQ60" s="2108"/>
      <c r="AR60" s="2108"/>
    </row>
    <row r="61" spans="1:44" ht="14.4">
      <c r="A61" s="2731" t="s">
        <v>845</v>
      </c>
      <c r="B61" s="2732"/>
      <c r="C61" s="2570"/>
      <c r="D61" s="2674"/>
      <c r="E61" s="2570"/>
      <c r="F61" s="2570"/>
      <c r="G61" s="2570"/>
      <c r="H61" s="2570"/>
      <c r="I61" s="2570"/>
      <c r="J61" s="2570"/>
      <c r="K61" s="2672"/>
      <c r="L61" s="2672"/>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c r="AO61" s="2108"/>
      <c r="AP61" s="2108"/>
      <c r="AQ61" s="2108"/>
      <c r="AR61" s="2108"/>
    </row>
    <row r="62" spans="1:44" ht="14.4">
      <c r="A62" s="2731" t="s">
        <v>846</v>
      </c>
      <c r="B62" s="2732"/>
      <c r="C62" s="2570"/>
      <c r="D62" s="2674"/>
      <c r="E62" s="2570"/>
      <c r="F62" s="2570"/>
      <c r="G62" s="2570"/>
      <c r="H62" s="2570"/>
      <c r="I62" s="2570"/>
      <c r="J62" s="2570"/>
      <c r="K62" s="2672"/>
      <c r="L62" s="2672"/>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8"/>
      <c r="AK62" s="2108"/>
      <c r="AL62" s="2108"/>
      <c r="AM62" s="2108"/>
      <c r="AN62" s="2108"/>
      <c r="AO62" s="2108"/>
      <c r="AP62" s="2108"/>
      <c r="AQ62" s="2108"/>
      <c r="AR62" s="2108"/>
    </row>
    <row r="63" spans="1:44" ht="14.4">
      <c r="A63" s="2733" t="s">
        <v>847</v>
      </c>
      <c r="B63" s="2734"/>
      <c r="C63" s="2570"/>
      <c r="D63" s="2674"/>
      <c r="E63" s="2570"/>
      <c r="F63" s="2570"/>
      <c r="G63" s="2570"/>
      <c r="H63" s="2570"/>
      <c r="I63" s="2570"/>
      <c r="J63" s="2570"/>
      <c r="K63" s="2672"/>
      <c r="L63" s="2672"/>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8"/>
      <c r="AK63" s="2108"/>
      <c r="AL63" s="2108"/>
      <c r="AM63" s="2108"/>
      <c r="AN63" s="2108"/>
      <c r="AO63" s="2108"/>
      <c r="AP63" s="2108"/>
      <c r="AQ63" s="2108"/>
      <c r="AR63" s="2108"/>
    </row>
    <row r="64" spans="1:44" s="901" customFormat="1">
      <c r="A64" s="2735"/>
      <c r="B64" s="2108"/>
      <c r="C64" s="2108"/>
      <c r="D64" s="2671"/>
      <c r="E64" s="2108"/>
      <c r="F64" s="2108"/>
      <c r="G64" s="2108"/>
      <c r="H64" s="2108"/>
      <c r="I64" s="2108"/>
      <c r="J64" s="2108"/>
      <c r="K64" s="2672"/>
      <c r="L64" s="2672"/>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row>
    <row r="65" spans="1:44" s="901" customFormat="1">
      <c r="A65" s="2735"/>
      <c r="B65" s="2108"/>
      <c r="C65" s="2108"/>
      <c r="D65" s="2671"/>
      <c r="E65" s="2108"/>
      <c r="F65" s="2108"/>
      <c r="G65" s="2108"/>
      <c r="H65" s="2108"/>
      <c r="I65" s="2108"/>
      <c r="J65" s="2108"/>
      <c r="K65" s="2672"/>
      <c r="L65" s="2672"/>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8"/>
      <c r="AK65" s="2108"/>
      <c r="AL65" s="2108"/>
      <c r="AM65" s="2108"/>
      <c r="AN65" s="2108"/>
      <c r="AO65" s="2108"/>
      <c r="AP65" s="2108"/>
      <c r="AQ65" s="2108"/>
      <c r="AR65" s="2108"/>
    </row>
    <row r="66" spans="1:44" s="901" customFormat="1">
      <c r="A66" s="2735"/>
      <c r="B66" s="2108"/>
      <c r="C66" s="2108"/>
      <c r="D66" s="2671"/>
      <c r="E66" s="2108"/>
      <c r="F66" s="2108"/>
      <c r="G66" s="2108"/>
      <c r="H66" s="2108"/>
      <c r="I66" s="2108"/>
      <c r="J66" s="2108"/>
      <c r="K66" s="2672"/>
      <c r="L66" s="2672"/>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8"/>
      <c r="AK66" s="2108"/>
      <c r="AL66" s="2108"/>
      <c r="AM66" s="2108"/>
      <c r="AN66" s="2108"/>
      <c r="AO66" s="2108"/>
      <c r="AP66" s="2108"/>
      <c r="AQ66" s="2108"/>
      <c r="AR66" s="2108"/>
    </row>
    <row r="67" spans="1:44" s="901" customFormat="1">
      <c r="A67" s="2735"/>
      <c r="B67" s="2108"/>
      <c r="C67" s="2108"/>
      <c r="D67" s="2671"/>
      <c r="E67" s="2108"/>
      <c r="F67" s="2108"/>
      <c r="G67" s="2108"/>
      <c r="H67" s="2108"/>
      <c r="I67" s="2108"/>
      <c r="J67" s="2108"/>
      <c r="K67" s="2672"/>
      <c r="L67" s="2672"/>
      <c r="M67" s="2108"/>
      <c r="N67" s="2108"/>
      <c r="O67" s="2108"/>
      <c r="P67" s="2108"/>
      <c r="Q67" s="2108"/>
      <c r="R67" s="2108"/>
      <c r="S67" s="2108"/>
      <c r="T67" s="2108"/>
      <c r="U67" s="2108"/>
      <c r="V67" s="2108"/>
      <c r="W67" s="2108"/>
      <c r="X67" s="2108"/>
      <c r="Y67" s="2108"/>
      <c r="Z67" s="2108"/>
      <c r="AA67" s="2108"/>
      <c r="AB67" s="2108"/>
      <c r="AC67" s="2108"/>
      <c r="AD67" s="2108"/>
      <c r="AE67" s="2108"/>
      <c r="AF67" s="2108"/>
      <c r="AG67" s="2108"/>
      <c r="AH67" s="2108"/>
      <c r="AI67" s="2108"/>
      <c r="AJ67" s="2108"/>
      <c r="AK67" s="2108"/>
      <c r="AL67" s="2108"/>
      <c r="AM67" s="2108"/>
      <c r="AN67" s="2108"/>
      <c r="AO67" s="2108"/>
      <c r="AP67" s="2108"/>
      <c r="AQ67" s="2108"/>
      <c r="AR67" s="2108"/>
    </row>
    <row r="68" spans="1:44" s="901" customFormat="1">
      <c r="A68" s="2735"/>
      <c r="B68" s="2108"/>
      <c r="C68" s="2108"/>
      <c r="D68" s="2671"/>
      <c r="E68" s="2108"/>
      <c r="F68" s="2108"/>
      <c r="G68" s="2108"/>
      <c r="H68" s="2108"/>
      <c r="I68" s="2108"/>
      <c r="J68" s="2108"/>
      <c r="K68" s="2672"/>
      <c r="L68" s="2672"/>
      <c r="M68" s="2108"/>
      <c r="N68" s="2108"/>
      <c r="O68" s="2108"/>
      <c r="P68" s="2108"/>
      <c r="Q68" s="2108"/>
      <c r="R68" s="2108"/>
      <c r="S68" s="2108"/>
      <c r="T68" s="2108"/>
      <c r="U68" s="2108"/>
      <c r="V68" s="2108"/>
      <c r="W68" s="2108"/>
      <c r="X68" s="2108"/>
      <c r="Y68" s="2108"/>
      <c r="Z68" s="2108"/>
      <c r="AA68" s="2108"/>
      <c r="AB68" s="2108"/>
      <c r="AC68" s="2108"/>
      <c r="AD68" s="2108"/>
      <c r="AE68" s="2108"/>
      <c r="AF68" s="2108"/>
      <c r="AG68" s="2108"/>
      <c r="AH68" s="2108"/>
      <c r="AI68" s="2108"/>
      <c r="AJ68" s="2108"/>
      <c r="AK68" s="2108"/>
      <c r="AL68" s="2108"/>
      <c r="AM68" s="2108"/>
      <c r="AN68" s="2108"/>
      <c r="AO68" s="2108"/>
      <c r="AP68" s="2108"/>
      <c r="AQ68" s="2108"/>
      <c r="AR68" s="2108"/>
    </row>
    <row r="69" spans="1:44" s="901" customFormat="1">
      <c r="A69" s="2488"/>
      <c r="D69" s="2736"/>
      <c r="K69" s="936"/>
      <c r="L69" s="936"/>
    </row>
    <row r="70" spans="1:44" s="901" customFormat="1">
      <c r="A70" s="2488"/>
      <c r="D70" s="2736"/>
      <c r="K70" s="936"/>
      <c r="L70" s="936"/>
    </row>
    <row r="71" spans="1:44" s="901" customFormat="1">
      <c r="A71" s="2488"/>
      <c r="D71" s="2736"/>
      <c r="K71" s="936"/>
      <c r="L71" s="936"/>
    </row>
    <row r="72" spans="1:44" s="901" customFormat="1">
      <c r="A72" s="2488"/>
      <c r="D72" s="2736"/>
      <c r="K72" s="936"/>
      <c r="L72" s="936"/>
    </row>
    <row r="73" spans="1:44" s="901" customFormat="1">
      <c r="A73" s="2488"/>
      <c r="D73" s="2736"/>
      <c r="K73" s="936"/>
      <c r="L73" s="936"/>
    </row>
    <row r="74" spans="1:44" s="901" customFormat="1">
      <c r="A74" s="2488"/>
      <c r="D74" s="2736"/>
      <c r="K74" s="936"/>
      <c r="L74" s="936"/>
    </row>
    <row r="75" spans="1:44" s="901" customFormat="1">
      <c r="A75" s="2488"/>
      <c r="D75" s="2736"/>
      <c r="K75" s="936"/>
      <c r="L75" s="936"/>
    </row>
    <row r="76" spans="1:44" s="901" customFormat="1">
      <c r="A76" s="2488"/>
      <c r="D76" s="2736"/>
      <c r="K76" s="936"/>
      <c r="L76" s="936"/>
    </row>
    <row r="77" spans="1:44" s="901" customFormat="1">
      <c r="A77" s="2488"/>
      <c r="D77" s="2736"/>
      <c r="K77" s="936"/>
      <c r="L77" s="936"/>
    </row>
    <row r="78" spans="1:44" s="901" customFormat="1">
      <c r="A78" s="2488"/>
      <c r="D78" s="2736"/>
      <c r="K78" s="936"/>
      <c r="L78" s="936"/>
    </row>
    <row r="79" spans="1:44" s="901" customFormat="1">
      <c r="A79" s="2488"/>
      <c r="D79" s="2736"/>
      <c r="K79" s="936"/>
      <c r="L79" s="936"/>
    </row>
    <row r="80" spans="1:44" s="901" customFormat="1">
      <c r="A80" s="2488"/>
      <c r="D80" s="2736"/>
      <c r="K80" s="936"/>
      <c r="L80" s="936"/>
    </row>
    <row r="81" spans="1:12" s="901" customFormat="1">
      <c r="A81" s="2488"/>
      <c r="D81" s="2736"/>
      <c r="K81" s="936"/>
      <c r="L81" s="936"/>
    </row>
    <row r="82" spans="1:12" s="901" customFormat="1">
      <c r="A82" s="2488"/>
      <c r="D82" s="2736"/>
      <c r="K82" s="936"/>
      <c r="L82" s="936"/>
    </row>
    <row r="83" spans="1:12" s="901" customFormat="1">
      <c r="A83" s="2488"/>
      <c r="D83" s="2736"/>
      <c r="K83" s="936"/>
      <c r="L83" s="936"/>
    </row>
    <row r="84" spans="1:12" s="901" customFormat="1">
      <c r="A84" s="2488"/>
      <c r="D84" s="2736"/>
      <c r="K84" s="936"/>
      <c r="L84" s="936"/>
    </row>
    <row r="85" spans="1:12" s="901" customFormat="1">
      <c r="A85" s="2488"/>
      <c r="D85" s="2736"/>
      <c r="K85" s="936"/>
      <c r="L85" s="936"/>
    </row>
    <row r="86" spans="1:12" s="901" customFormat="1">
      <c r="A86" s="2488"/>
      <c r="D86" s="2736"/>
      <c r="K86" s="936"/>
      <c r="L86" s="936"/>
    </row>
    <row r="87" spans="1:12" s="901" customFormat="1">
      <c r="A87" s="2488"/>
      <c r="D87" s="2736"/>
      <c r="K87" s="936"/>
      <c r="L87" s="936"/>
    </row>
    <row r="88" spans="1:12" s="901" customFormat="1">
      <c r="A88" s="2488"/>
      <c r="D88" s="2736"/>
      <c r="K88" s="936"/>
      <c r="L88" s="936"/>
    </row>
    <row r="89" spans="1:12" s="901" customFormat="1">
      <c r="A89" s="2488"/>
      <c r="D89" s="2736"/>
      <c r="K89" s="936"/>
      <c r="L89" s="936"/>
    </row>
    <row r="90" spans="1:12" s="901" customFormat="1">
      <c r="A90" s="2488"/>
      <c r="D90" s="2736"/>
      <c r="K90" s="936"/>
      <c r="L90" s="936"/>
    </row>
    <row r="91" spans="1:12" s="901" customFormat="1">
      <c r="A91" s="2488"/>
      <c r="D91" s="2736"/>
      <c r="K91" s="936"/>
      <c r="L91" s="936"/>
    </row>
    <row r="92" spans="1:12" s="901" customFormat="1">
      <c r="A92" s="2488"/>
      <c r="D92" s="2736"/>
      <c r="K92" s="936"/>
      <c r="L92" s="936"/>
    </row>
    <row r="93" spans="1:12" s="901" customFormat="1">
      <c r="A93" s="2488"/>
      <c r="D93" s="2736"/>
      <c r="K93" s="936"/>
      <c r="L93" s="936"/>
    </row>
    <row r="94" spans="1:12" s="901" customFormat="1">
      <c r="A94" s="2488"/>
      <c r="D94" s="2736"/>
      <c r="K94" s="936"/>
      <c r="L94" s="936"/>
    </row>
    <row r="95" spans="1:12" s="901" customFormat="1">
      <c r="A95" s="2488"/>
      <c r="D95" s="2736"/>
      <c r="K95" s="936"/>
      <c r="L95" s="936"/>
    </row>
    <row r="96" spans="1:12" s="901" customFormat="1">
      <c r="A96" s="2488"/>
      <c r="D96" s="2736"/>
      <c r="K96" s="936"/>
      <c r="L96" s="936"/>
    </row>
    <row r="97" spans="1:12" s="901" customFormat="1">
      <c r="A97" s="2488"/>
      <c r="D97" s="2736"/>
      <c r="K97" s="936"/>
      <c r="L97" s="936"/>
    </row>
    <row r="98" spans="1:12" s="901" customFormat="1">
      <c r="A98" s="2488"/>
      <c r="D98" s="2736"/>
      <c r="K98" s="936"/>
      <c r="L98" s="936"/>
    </row>
    <row r="99" spans="1:12" s="901" customFormat="1">
      <c r="A99" s="2488"/>
      <c r="D99" s="2736"/>
      <c r="K99" s="936"/>
      <c r="L99" s="936"/>
    </row>
    <row r="100" spans="1:12" s="901" customFormat="1">
      <c r="A100" s="2488"/>
      <c r="D100" s="2736"/>
      <c r="K100" s="936"/>
      <c r="L100" s="936"/>
    </row>
    <row r="101" spans="1:12" s="901" customFormat="1">
      <c r="A101" s="2488"/>
      <c r="D101" s="2736"/>
      <c r="K101" s="936"/>
      <c r="L101" s="936"/>
    </row>
    <row r="102" spans="1:12" s="901" customFormat="1">
      <c r="A102" s="2488"/>
      <c r="D102" s="2736"/>
      <c r="K102" s="936"/>
      <c r="L102" s="936"/>
    </row>
    <row r="103" spans="1:12" s="901" customFormat="1">
      <c r="A103" s="2488"/>
      <c r="D103" s="2736"/>
      <c r="K103" s="936"/>
      <c r="L103" s="936"/>
    </row>
    <row r="104" spans="1:12" s="901" customFormat="1">
      <c r="A104" s="2488"/>
      <c r="D104" s="2736"/>
      <c r="K104" s="936"/>
      <c r="L104" s="936"/>
    </row>
    <row r="105" spans="1:12" s="901" customFormat="1">
      <c r="A105" s="2488"/>
      <c r="D105" s="2736"/>
      <c r="K105" s="936"/>
      <c r="L105" s="936"/>
    </row>
    <row r="106" spans="1:12" s="901" customFormat="1">
      <c r="A106" s="2488"/>
      <c r="D106" s="2736"/>
      <c r="K106" s="936"/>
      <c r="L106" s="936"/>
    </row>
    <row r="107" spans="1:12" s="901" customFormat="1">
      <c r="A107" s="2488"/>
      <c r="D107" s="2736"/>
      <c r="K107" s="936"/>
      <c r="L107" s="936"/>
    </row>
    <row r="108" spans="1:12" s="901" customFormat="1">
      <c r="A108" s="2488"/>
      <c r="D108" s="2736"/>
      <c r="K108" s="936"/>
      <c r="L108" s="936"/>
    </row>
    <row r="109" spans="1:12" s="901" customFormat="1">
      <c r="A109" s="2488"/>
      <c r="D109" s="2736"/>
      <c r="K109" s="936"/>
      <c r="L109" s="936"/>
    </row>
    <row r="110" spans="1:12" s="901" customFormat="1">
      <c r="A110" s="2488"/>
      <c r="D110" s="2736"/>
      <c r="K110" s="936"/>
      <c r="L110" s="936"/>
    </row>
    <row r="111" spans="1:12" s="901" customFormat="1">
      <c r="A111" s="2488"/>
      <c r="D111" s="2736"/>
      <c r="K111" s="936"/>
      <c r="L111" s="936"/>
    </row>
    <row r="112" spans="1:12" s="901" customFormat="1">
      <c r="A112" s="2488"/>
      <c r="D112" s="2736"/>
      <c r="K112" s="936"/>
      <c r="L112" s="936"/>
    </row>
    <row r="113" spans="1:12" s="901" customFormat="1">
      <c r="A113" s="2488"/>
      <c r="D113" s="2736"/>
      <c r="K113" s="936"/>
      <c r="L113" s="936"/>
    </row>
    <row r="114" spans="1:12" s="901" customFormat="1">
      <c r="A114" s="2488"/>
      <c r="D114" s="2736"/>
      <c r="K114" s="936"/>
      <c r="L114" s="936"/>
    </row>
    <row r="115" spans="1:12" s="901" customFormat="1">
      <c r="A115" s="2488"/>
      <c r="D115" s="2736"/>
      <c r="K115" s="936"/>
      <c r="L115" s="936"/>
    </row>
    <row r="116" spans="1:12" s="901" customFormat="1">
      <c r="A116" s="2488"/>
      <c r="D116" s="2736"/>
      <c r="K116" s="936"/>
      <c r="L116" s="936"/>
    </row>
    <row r="117" spans="1:12" s="901" customFormat="1">
      <c r="A117" s="2488"/>
      <c r="D117" s="2736"/>
      <c r="K117" s="936"/>
      <c r="L117" s="936"/>
    </row>
    <row r="118" spans="1:12" s="901" customFormat="1">
      <c r="A118" s="2488"/>
      <c r="D118" s="2736"/>
      <c r="K118" s="936"/>
      <c r="L118" s="936"/>
    </row>
    <row r="119" spans="1:12" s="901" customFormat="1">
      <c r="A119" s="2488"/>
      <c r="D119" s="2736"/>
      <c r="K119" s="936"/>
      <c r="L119" s="936"/>
    </row>
    <row r="120" spans="1:12" s="901" customFormat="1">
      <c r="A120" s="2488"/>
      <c r="D120" s="2736"/>
      <c r="K120" s="936"/>
      <c r="L120" s="936"/>
    </row>
    <row r="121" spans="1:12" s="901" customFormat="1">
      <c r="A121" s="2488"/>
      <c r="D121" s="2736"/>
      <c r="K121" s="936"/>
      <c r="L121" s="936"/>
    </row>
    <row r="122" spans="1:12" s="901" customFormat="1">
      <c r="A122" s="2488"/>
      <c r="D122" s="2736"/>
      <c r="K122" s="936"/>
      <c r="L122" s="936"/>
    </row>
    <row r="123" spans="1:12" s="901" customFormat="1">
      <c r="A123" s="2488"/>
      <c r="D123" s="2736"/>
      <c r="K123" s="936"/>
      <c r="L123" s="936"/>
    </row>
    <row r="124" spans="1:12" s="901" customFormat="1">
      <c r="A124" s="2488"/>
      <c r="D124" s="2736"/>
      <c r="K124" s="936"/>
      <c r="L124" s="936"/>
    </row>
    <row r="125" spans="1:12" s="901" customFormat="1">
      <c r="A125" s="2488"/>
      <c r="D125" s="2736"/>
      <c r="K125" s="936"/>
      <c r="L125" s="936"/>
    </row>
    <row r="126" spans="1:12" s="901" customFormat="1">
      <c r="A126" s="2488"/>
      <c r="D126" s="2736"/>
      <c r="K126" s="936"/>
      <c r="L126" s="936"/>
    </row>
    <row r="127" spans="1:12" s="901" customFormat="1">
      <c r="A127" s="2488"/>
      <c r="D127" s="2736"/>
      <c r="K127" s="936"/>
      <c r="L127" s="936"/>
    </row>
    <row r="128" spans="1:12" s="901" customFormat="1">
      <c r="A128" s="2488"/>
      <c r="D128" s="2736"/>
      <c r="K128" s="936"/>
      <c r="L128" s="936"/>
    </row>
    <row r="129" spans="1:12" s="901" customFormat="1">
      <c r="A129" s="2488"/>
      <c r="D129" s="2736"/>
      <c r="K129" s="936"/>
      <c r="L129" s="936"/>
    </row>
    <row r="130" spans="1:12" s="901" customFormat="1">
      <c r="A130" s="2488"/>
      <c r="D130" s="2736"/>
      <c r="K130" s="936"/>
      <c r="L130" s="936"/>
    </row>
    <row r="131" spans="1:12" s="901" customFormat="1">
      <c r="A131" s="2488"/>
      <c r="D131" s="2736"/>
      <c r="K131" s="936"/>
      <c r="L131" s="936"/>
    </row>
    <row r="132" spans="1:12" s="901" customFormat="1">
      <c r="A132" s="2488"/>
      <c r="D132" s="2736"/>
      <c r="K132" s="936"/>
      <c r="L132" s="936"/>
    </row>
    <row r="133" spans="1:12" s="901" customFormat="1">
      <c r="A133" s="2488"/>
      <c r="D133" s="2736"/>
      <c r="K133" s="936"/>
      <c r="L133" s="936"/>
    </row>
    <row r="134" spans="1:12" s="900" customFormat="1">
      <c r="A134" s="2737"/>
      <c r="D134" s="2738"/>
      <c r="K134" s="897"/>
      <c r="L134" s="897"/>
    </row>
    <row r="135" spans="1:12" s="900" customFormat="1">
      <c r="A135" s="2737"/>
      <c r="D135" s="2738"/>
      <c r="K135" s="897"/>
      <c r="L135" s="897"/>
    </row>
    <row r="136" spans="1:12" s="900" customFormat="1">
      <c r="A136" s="2737"/>
      <c r="D136" s="2738"/>
      <c r="K136" s="897"/>
      <c r="L136" s="897"/>
    </row>
    <row r="137" spans="1:12" s="900" customFormat="1">
      <c r="A137" s="2737"/>
      <c r="D137" s="2738"/>
      <c r="K137" s="897"/>
      <c r="L137" s="897"/>
    </row>
    <row r="138" spans="1:12" s="900" customFormat="1">
      <c r="A138" s="2737"/>
      <c r="D138" s="2738"/>
      <c r="K138" s="897"/>
      <c r="L138" s="897"/>
    </row>
    <row r="139" spans="1:12" s="900" customFormat="1">
      <c r="A139" s="2737"/>
      <c r="D139" s="2738"/>
      <c r="K139" s="897"/>
      <c r="L139" s="897"/>
    </row>
    <row r="140" spans="1:12" s="900" customFormat="1">
      <c r="A140" s="2737"/>
      <c r="D140" s="2738"/>
      <c r="K140" s="897"/>
      <c r="L140" s="897"/>
    </row>
    <row r="141" spans="1:12" s="900" customFormat="1">
      <c r="A141" s="2737"/>
      <c r="D141" s="2738"/>
      <c r="K141" s="897"/>
      <c r="L141" s="897"/>
    </row>
    <row r="142" spans="1:12" s="900" customFormat="1">
      <c r="A142" s="2737"/>
      <c r="D142" s="2738"/>
      <c r="K142" s="897"/>
      <c r="L142" s="897"/>
    </row>
    <row r="143" spans="1:12" s="900" customFormat="1">
      <c r="A143" s="2737"/>
      <c r="D143" s="2738"/>
      <c r="K143" s="897"/>
      <c r="L143" s="897"/>
    </row>
    <row r="144" spans="1:12" s="900" customFormat="1">
      <c r="A144" s="2737"/>
      <c r="D144" s="2738"/>
      <c r="K144" s="897"/>
      <c r="L144" s="897"/>
    </row>
    <row r="145" spans="1:12" s="900" customFormat="1">
      <c r="A145" s="2737"/>
      <c r="D145" s="2738"/>
      <c r="K145" s="897"/>
      <c r="L145" s="897"/>
    </row>
    <row r="146" spans="1:12" s="900" customFormat="1">
      <c r="A146" s="2737"/>
      <c r="D146" s="2738"/>
      <c r="K146" s="897"/>
      <c r="L146" s="897"/>
    </row>
    <row r="147" spans="1:12" s="900" customFormat="1">
      <c r="A147" s="2737"/>
      <c r="D147" s="2738"/>
      <c r="K147" s="897"/>
      <c r="L147" s="897"/>
    </row>
    <row r="148" spans="1:12" s="900" customFormat="1">
      <c r="A148" s="2737"/>
      <c r="D148" s="2738"/>
      <c r="K148" s="897"/>
      <c r="L148" s="897"/>
    </row>
    <row r="149" spans="1:12" s="900" customFormat="1">
      <c r="A149" s="2737"/>
      <c r="D149" s="2738"/>
      <c r="K149" s="897"/>
      <c r="L149" s="897"/>
    </row>
    <row r="150" spans="1:12" s="900" customFormat="1">
      <c r="A150" s="2737"/>
      <c r="D150" s="2738"/>
      <c r="K150" s="897"/>
      <c r="L150" s="897"/>
    </row>
    <row r="151" spans="1:12" s="900" customFormat="1">
      <c r="A151" s="2737"/>
      <c r="D151" s="2738"/>
      <c r="K151" s="897"/>
      <c r="L151" s="897"/>
    </row>
    <row r="152" spans="1:12" s="900" customFormat="1">
      <c r="A152" s="2737"/>
      <c r="D152" s="2738"/>
      <c r="K152" s="897"/>
      <c r="L152" s="897"/>
    </row>
    <row r="153" spans="1:12" s="900" customFormat="1">
      <c r="A153" s="2737"/>
      <c r="D153" s="2738"/>
      <c r="K153" s="897"/>
      <c r="L153" s="897"/>
    </row>
    <row r="154" spans="1:12" s="900" customFormat="1">
      <c r="A154" s="2737"/>
      <c r="D154" s="2738"/>
      <c r="K154" s="897"/>
      <c r="L154" s="897"/>
    </row>
    <row r="155" spans="1:12" s="900" customFormat="1">
      <c r="A155" s="2737"/>
      <c r="D155" s="2738"/>
      <c r="K155" s="897"/>
      <c r="L155" s="897"/>
    </row>
    <row r="156" spans="1:12" s="900" customFormat="1">
      <c r="A156" s="2737"/>
      <c r="D156" s="2738"/>
      <c r="K156" s="897"/>
      <c r="L156" s="897"/>
    </row>
    <row r="157" spans="1:12" s="900" customFormat="1">
      <c r="A157" s="2737"/>
      <c r="D157" s="2738"/>
      <c r="K157" s="897"/>
      <c r="L157" s="897"/>
    </row>
    <row r="158" spans="1:12" s="900" customFormat="1">
      <c r="A158" s="2737"/>
      <c r="D158" s="2738"/>
      <c r="K158" s="897"/>
      <c r="L158" s="897"/>
    </row>
    <row r="159" spans="1:12" s="900" customFormat="1">
      <c r="A159" s="2737"/>
      <c r="D159" s="2738"/>
      <c r="K159" s="897"/>
      <c r="L159" s="897"/>
    </row>
    <row r="160" spans="1:12" s="900" customFormat="1">
      <c r="A160" s="2737"/>
      <c r="D160" s="2738"/>
      <c r="K160" s="897"/>
      <c r="L160" s="897"/>
    </row>
    <row r="161" spans="1:12" s="900" customFormat="1">
      <c r="A161" s="2737"/>
      <c r="D161" s="2738"/>
      <c r="K161" s="897"/>
      <c r="L161" s="897"/>
    </row>
    <row r="162" spans="1:12" s="900" customFormat="1">
      <c r="A162" s="2737"/>
      <c r="D162" s="2738"/>
      <c r="K162" s="897"/>
      <c r="L162" s="897"/>
    </row>
    <row r="163" spans="1:12" s="900" customFormat="1">
      <c r="A163" s="2737"/>
      <c r="D163" s="2738"/>
      <c r="K163" s="897"/>
      <c r="L163" s="897"/>
    </row>
    <row r="164" spans="1:12" s="900" customFormat="1">
      <c r="A164" s="2737"/>
      <c r="D164" s="2738"/>
      <c r="K164" s="897"/>
      <c r="L164" s="897"/>
    </row>
    <row r="165" spans="1:12" s="900" customFormat="1">
      <c r="A165" s="2737"/>
      <c r="D165" s="2738"/>
      <c r="K165" s="897"/>
      <c r="L165" s="897"/>
    </row>
    <row r="166" spans="1:12" s="900" customFormat="1">
      <c r="A166" s="2737"/>
      <c r="D166" s="2738"/>
      <c r="K166" s="897"/>
      <c r="L166" s="897"/>
    </row>
    <row r="167" spans="1:12" s="900" customFormat="1">
      <c r="A167" s="2737"/>
      <c r="D167" s="2738"/>
      <c r="K167" s="897"/>
      <c r="L167" s="897"/>
    </row>
    <row r="168" spans="1:12" s="900" customFormat="1">
      <c r="A168" s="2737"/>
      <c r="D168" s="2738"/>
      <c r="K168" s="897"/>
      <c r="L168" s="897"/>
    </row>
    <row r="169" spans="1:12" s="900" customFormat="1">
      <c r="A169" s="2737"/>
      <c r="D169" s="2738"/>
      <c r="K169" s="897"/>
      <c r="L169" s="897"/>
    </row>
    <row r="170" spans="1:12" s="900" customFormat="1">
      <c r="A170" s="2737"/>
      <c r="D170" s="2738"/>
      <c r="K170" s="897"/>
      <c r="L170" s="897"/>
    </row>
    <row r="171" spans="1:12" s="900" customFormat="1">
      <c r="A171" s="2737"/>
      <c r="D171" s="2738"/>
      <c r="K171" s="897"/>
      <c r="L171" s="897"/>
    </row>
    <row r="172" spans="1:12" s="900" customFormat="1">
      <c r="A172" s="2737"/>
      <c r="D172" s="2738"/>
      <c r="K172" s="897"/>
      <c r="L172" s="897"/>
    </row>
    <row r="173" spans="1:12" s="900" customFormat="1">
      <c r="A173" s="2737"/>
      <c r="D173" s="2738"/>
      <c r="K173" s="897"/>
      <c r="L173" s="897"/>
    </row>
    <row r="174" spans="1:12" s="900" customFormat="1">
      <c r="A174" s="2737"/>
      <c r="D174" s="2738"/>
      <c r="K174" s="897"/>
      <c r="L174" s="897"/>
    </row>
  </sheetData>
  <sheetProtection formatCells="0" formatColumns="0" formatRows="0"/>
  <phoneticPr fontId="23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504" customWidth="1"/>
    <col min="2" max="3" width="24.44140625" style="1502" customWidth="1"/>
    <col min="4" max="4" width="2.6640625" style="1502" customWidth="1"/>
    <col min="5" max="5" width="5.88671875" style="1502" customWidth="1"/>
    <col min="6" max="7" width="27" style="1502"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097" customWidth="1"/>
    <col min="19" max="29" width="9" style="2097"/>
    <col min="30" max="16384" width="9" style="2504"/>
  </cols>
  <sheetData>
    <row r="1" spans="1:29" s="2503" customFormat="1" ht="17.399999999999999">
      <c r="A1" s="3327" t="s">
        <v>848</v>
      </c>
      <c r="B1" s="3328"/>
      <c r="C1" s="3328"/>
      <c r="D1" s="3328"/>
      <c r="E1" s="3328"/>
      <c r="F1" s="3328"/>
      <c r="G1" s="3328"/>
      <c r="H1" s="2506"/>
      <c r="I1" s="2506"/>
      <c r="J1" s="2506"/>
      <c r="K1" s="2506"/>
      <c r="L1" s="2506"/>
      <c r="M1" s="2506"/>
      <c r="N1" s="2506"/>
      <c r="O1" s="2506"/>
      <c r="P1" s="2506"/>
      <c r="Q1" s="2507"/>
      <c r="R1" s="2508"/>
      <c r="S1" s="2508"/>
      <c r="T1" s="2508"/>
      <c r="U1" s="2508"/>
      <c r="V1" s="2508"/>
      <c r="W1" s="2508"/>
      <c r="X1" s="2508"/>
      <c r="Y1" s="2508"/>
      <c r="Z1" s="2508"/>
      <c r="AA1" s="2508"/>
      <c r="AB1" s="2508"/>
      <c r="AC1" s="2508"/>
    </row>
    <row r="2" spans="1:29">
      <c r="A2" s="2509"/>
      <c r="B2" s="2510"/>
      <c r="C2" s="2511" t="s">
        <v>849</v>
      </c>
      <c r="D2" s="2512"/>
      <c r="E2" s="2509"/>
      <c r="F2" s="2513"/>
      <c r="G2" s="2511" t="s">
        <v>850</v>
      </c>
      <c r="H2" s="2097"/>
      <c r="I2" s="2097"/>
      <c r="J2" s="2097"/>
      <c r="K2" s="2097"/>
      <c r="L2" s="2097"/>
      <c r="M2" s="2097"/>
      <c r="N2" s="2097"/>
      <c r="O2" s="2097"/>
      <c r="P2" s="2097"/>
      <c r="Q2" s="2097"/>
    </row>
    <row r="3" spans="1:29" ht="39.6">
      <c r="A3" s="2514" t="s">
        <v>851</v>
      </c>
      <c r="B3" s="2515" t="s">
        <v>852</v>
      </c>
      <c r="C3" s="2516"/>
      <c r="D3" s="2517"/>
      <c r="E3" s="2518" t="s">
        <v>851</v>
      </c>
      <c r="F3" s="2519" t="s">
        <v>853</v>
      </c>
      <c r="G3" s="2520" t="s">
        <v>854</v>
      </c>
      <c r="H3" s="2097"/>
      <c r="I3" s="2097"/>
      <c r="J3" s="2097"/>
      <c r="K3" s="2097"/>
      <c r="L3" s="2097"/>
      <c r="M3" s="2097"/>
      <c r="N3" s="2097"/>
      <c r="O3" s="2097"/>
      <c r="P3" s="2097"/>
      <c r="Q3" s="2097"/>
    </row>
    <row r="4" spans="1:29" ht="36">
      <c r="A4" s="2518"/>
      <c r="B4" s="1916" t="s">
        <v>855</v>
      </c>
      <c r="C4" s="2521" t="s">
        <v>856</v>
      </c>
      <c r="D4" s="2517"/>
      <c r="E4" s="2522"/>
      <c r="F4" s="2093" t="s">
        <v>857</v>
      </c>
      <c r="G4" s="2523" t="s">
        <v>858</v>
      </c>
      <c r="H4" s="2097"/>
      <c r="I4" s="2097"/>
      <c r="J4" s="2097"/>
      <c r="K4" s="2097"/>
      <c r="L4" s="2097"/>
      <c r="M4" s="2097"/>
      <c r="N4" s="2097"/>
      <c r="O4" s="2097"/>
      <c r="P4" s="2097"/>
      <c r="Q4" s="2097"/>
    </row>
    <row r="5" spans="1:29" ht="24">
      <c r="A5" s="2518"/>
      <c r="B5" s="1916" t="s">
        <v>859</v>
      </c>
      <c r="C5" s="2524"/>
      <c r="D5" s="2517"/>
      <c r="E5" s="2522"/>
      <c r="F5" s="1916" t="s">
        <v>680</v>
      </c>
      <c r="G5" s="2523" t="s">
        <v>860</v>
      </c>
      <c r="H5" s="2097"/>
      <c r="I5" s="2097"/>
      <c r="J5" s="2097"/>
      <c r="K5" s="2097"/>
      <c r="L5" s="2097"/>
      <c r="M5" s="2097"/>
      <c r="N5" s="2097"/>
      <c r="O5" s="2097"/>
      <c r="P5" s="2097"/>
      <c r="Q5" s="2097"/>
    </row>
    <row r="6" spans="1:29" ht="48">
      <c r="A6" s="2518"/>
      <c r="B6" s="1916" t="s">
        <v>857</v>
      </c>
      <c r="C6" s="2523" t="s">
        <v>858</v>
      </c>
      <c r="D6" s="2517"/>
      <c r="E6" s="2522"/>
      <c r="F6" s="1916" t="s">
        <v>861</v>
      </c>
      <c r="G6" s="2523" t="s">
        <v>862</v>
      </c>
      <c r="H6" s="2097"/>
      <c r="I6" s="2097"/>
      <c r="J6" s="2097"/>
      <c r="K6" s="2097"/>
      <c r="L6" s="2097"/>
      <c r="M6" s="2097"/>
      <c r="N6" s="2097"/>
      <c r="O6" s="2097"/>
      <c r="P6" s="2097"/>
      <c r="Q6" s="2097"/>
    </row>
    <row r="7" spans="1:29" ht="36">
      <c r="A7" s="2518"/>
      <c r="B7" s="1916" t="s">
        <v>680</v>
      </c>
      <c r="C7" s="2523" t="s">
        <v>860</v>
      </c>
      <c r="D7" s="2525"/>
      <c r="E7" s="2526"/>
      <c r="F7" s="2527" t="s">
        <v>863</v>
      </c>
      <c r="G7" s="2528" t="s">
        <v>864</v>
      </c>
      <c r="H7" s="2097"/>
      <c r="I7" s="2097"/>
      <c r="J7" s="2097"/>
      <c r="K7" s="2097"/>
      <c r="L7" s="2097"/>
      <c r="M7" s="2097"/>
      <c r="N7" s="2097"/>
      <c r="O7" s="2097"/>
      <c r="P7" s="2097"/>
      <c r="Q7" s="2097"/>
    </row>
    <row r="8" spans="1:29" ht="24">
      <c r="A8" s="2518"/>
      <c r="B8" s="1916" t="s">
        <v>861</v>
      </c>
      <c r="C8" s="2523" t="s">
        <v>862</v>
      </c>
      <c r="D8" s="2525"/>
      <c r="E8" s="2525"/>
      <c r="F8" s="985"/>
      <c r="G8" s="985"/>
      <c r="H8" s="2097"/>
      <c r="I8" s="2097"/>
      <c r="J8" s="2097"/>
      <c r="K8" s="2097"/>
      <c r="L8" s="2097"/>
      <c r="M8" s="2097"/>
      <c r="N8" s="2097"/>
      <c r="O8" s="2097"/>
      <c r="P8" s="2097"/>
      <c r="Q8" s="2097"/>
    </row>
    <row r="9" spans="1:29" ht="24">
      <c r="A9" s="2518"/>
      <c r="B9" s="1916" t="s">
        <v>865</v>
      </c>
      <c r="C9" s="2524" t="s">
        <v>866</v>
      </c>
      <c r="D9" s="2517"/>
      <c r="E9" s="2525"/>
      <c r="F9" s="985"/>
      <c r="G9" s="985"/>
      <c r="H9" s="2097"/>
      <c r="I9" s="2097"/>
      <c r="J9" s="2097"/>
      <c r="K9" s="2097"/>
      <c r="L9" s="2097"/>
      <c r="M9" s="2097"/>
      <c r="N9" s="2097"/>
      <c r="O9" s="2097"/>
      <c r="P9" s="2097"/>
      <c r="Q9" s="2097"/>
    </row>
    <row r="10" spans="1:29">
      <c r="A10" s="2529"/>
      <c r="B10" s="2530" t="s">
        <v>867</v>
      </c>
      <c r="C10" s="2531" t="s">
        <v>868</v>
      </c>
      <c r="D10" s="2517"/>
      <c r="E10" s="2517"/>
      <c r="F10" s="985"/>
      <c r="G10" s="985"/>
      <c r="J10" s="2532"/>
      <c r="M10" s="2532"/>
      <c r="P10" s="2532"/>
      <c r="R10" s="2505"/>
    </row>
    <row r="11" spans="1:29">
      <c r="A11" s="2533"/>
      <c r="B11" s="2525"/>
      <c r="C11" s="2517"/>
      <c r="D11" s="2517"/>
      <c r="E11" s="2517"/>
      <c r="F11" s="2525"/>
      <c r="G11" s="2525"/>
      <c r="J11" s="2532"/>
      <c r="M11" s="2532"/>
      <c r="P11" s="2532"/>
      <c r="R11" s="2505"/>
    </row>
    <row r="12" spans="1:29" s="2503" customFormat="1" ht="17.399999999999999">
      <c r="A12" s="2533"/>
      <c r="B12" s="2525"/>
      <c r="C12" s="2517"/>
      <c r="D12" s="2534"/>
      <c r="E12" s="2517"/>
      <c r="F12" s="2525"/>
      <c r="G12" s="2525"/>
      <c r="H12" s="2535"/>
      <c r="I12" s="2535"/>
      <c r="J12" s="2535"/>
      <c r="K12" s="2535"/>
      <c r="L12" s="2536"/>
      <c r="M12" s="2535"/>
      <c r="N12" s="2537"/>
      <c r="O12" s="2537"/>
      <c r="P12" s="2537"/>
      <c r="Q12" s="2537"/>
      <c r="R12" s="2508"/>
      <c r="S12" s="2508"/>
      <c r="T12" s="2508"/>
      <c r="U12" s="2508"/>
      <c r="V12" s="2508"/>
      <c r="W12" s="2508"/>
      <c r="X12" s="2508"/>
      <c r="Y12" s="2508"/>
      <c r="Z12" s="2508"/>
      <c r="AA12" s="2508"/>
      <c r="AB12" s="2508"/>
      <c r="AC12" s="2508"/>
    </row>
    <row r="13" spans="1:29" ht="14.4">
      <c r="A13" s="2538" t="s">
        <v>869</v>
      </c>
      <c r="B13" s="2534"/>
      <c r="C13" s="2534"/>
      <c r="D13" s="2533"/>
      <c r="E13" s="2534"/>
      <c r="F13" s="2534"/>
      <c r="G13" s="2534"/>
    </row>
    <row r="14" spans="1:29">
      <c r="A14" s="2539"/>
      <c r="B14" s="2539"/>
      <c r="C14" s="2540" t="s">
        <v>849</v>
      </c>
      <c r="D14" s="2517"/>
      <c r="E14" s="2541"/>
      <c r="F14" s="2541"/>
      <c r="G14" s="2511" t="s">
        <v>850</v>
      </c>
    </row>
    <row r="15" spans="1:29" ht="39.6">
      <c r="A15" s="2542" t="s">
        <v>851</v>
      </c>
      <c r="B15" s="2543" t="s">
        <v>852</v>
      </c>
      <c r="C15" s="2544">
        <f>C3</f>
        <v>0</v>
      </c>
      <c r="D15" s="2517"/>
      <c r="E15" s="2545" t="s">
        <v>851</v>
      </c>
      <c r="F15" s="2543" t="s">
        <v>853</v>
      </c>
      <c r="G15" s="2546" t="str">
        <f>G3</f>
        <v>估价对象位于XX开发区，园区建设成熟度XX，产业集聚程度XX</v>
      </c>
    </row>
    <row r="16" spans="1:29" ht="39.6">
      <c r="A16" s="2547"/>
      <c r="B16" s="2548" t="s">
        <v>855</v>
      </c>
      <c r="C16" s="2549" t="str">
        <f>C4</f>
        <v>位于亦庄，周边商业氛围成熟度一般，人流量较大，商业繁华度一般</v>
      </c>
      <c r="D16" s="2517"/>
      <c r="E16" s="2550"/>
      <c r="F16" s="2551" t="s">
        <v>857</v>
      </c>
      <c r="G16" s="2552" t="str">
        <f>G4</f>
        <v>估价对象周边道路状况、公共交通通达情况、停车便捷程度，综合评价交通便捷度较好</v>
      </c>
    </row>
    <row r="17" spans="1:17">
      <c r="A17" s="2547"/>
      <c r="B17" s="2548" t="s">
        <v>859</v>
      </c>
      <c r="C17" s="2549">
        <f>C5</f>
        <v>0</v>
      </c>
      <c r="D17" s="2525"/>
      <c r="E17" s="2550"/>
      <c r="F17" s="2551" t="s">
        <v>870</v>
      </c>
      <c r="G17" s="2553"/>
    </row>
    <row r="18" spans="1:17" ht="52.8">
      <c r="A18" s="2547"/>
      <c r="B18" s="2551" t="s">
        <v>857</v>
      </c>
      <c r="C18" s="2552" t="str">
        <f>C6</f>
        <v>估价对象周边道路状况、公共交通通达情况、停车便捷程度，综合评价交通便捷度较好</v>
      </c>
      <c r="D18" s="2525"/>
      <c r="E18" s="2550"/>
      <c r="F18" s="2551" t="s">
        <v>863</v>
      </c>
      <c r="G18" s="2552" t="str">
        <f>G7</f>
        <v>该园区内是否有污染型企业，绿化情况，卫生条件，整体环境状况判断</v>
      </c>
    </row>
    <row r="19" spans="1:17" ht="26.4">
      <c r="A19" s="2547"/>
      <c r="B19" s="2551" t="s">
        <v>870</v>
      </c>
      <c r="C19" s="2553"/>
      <c r="D19" s="2517"/>
      <c r="E19" s="2550"/>
      <c r="F19" s="1916" t="s">
        <v>680</v>
      </c>
      <c r="G19" s="2552" t="str">
        <f>G5</f>
        <v>估价对象所在区域公共配套设施齐备情况</v>
      </c>
    </row>
    <row r="20" spans="1:17" ht="26.4">
      <c r="A20" s="2547"/>
      <c r="B20" s="2551" t="s">
        <v>871</v>
      </c>
      <c r="C20" s="2549" t="str">
        <f>C9</f>
        <v>区域自然环境：；人文环境；综合评价环境状况一般</v>
      </c>
      <c r="D20" s="2525"/>
      <c r="E20" s="2550"/>
      <c r="F20" s="1916" t="s">
        <v>861</v>
      </c>
      <c r="G20" s="2552" t="str">
        <f>G6</f>
        <v>估价对象所在区域基础设施水平</v>
      </c>
    </row>
    <row r="21" spans="1:17" ht="26.4">
      <c r="A21" s="2547"/>
      <c r="B21" s="1916" t="s">
        <v>680</v>
      </c>
      <c r="C21" s="2552" t="str">
        <f>C7</f>
        <v>估价对象所在区域公共配套设施齐备情况</v>
      </c>
      <c r="D21" s="2517"/>
      <c r="E21" s="2550"/>
      <c r="F21" s="2551" t="s">
        <v>872</v>
      </c>
      <c r="G21" s="2554"/>
    </row>
    <row r="22" spans="1:17" ht="13.5" customHeight="1">
      <c r="A22" s="2547"/>
      <c r="B22" s="1916" t="s">
        <v>861</v>
      </c>
      <c r="C22" s="2552" t="str">
        <f>C8</f>
        <v>估价对象所在区域基础设施水平</v>
      </c>
      <c r="D22" s="2517"/>
      <c r="E22" s="2550"/>
      <c r="F22" s="2551" t="s">
        <v>867</v>
      </c>
      <c r="G22" s="2553"/>
    </row>
    <row r="23" spans="1:17" s="2097" customFormat="1">
      <c r="A23" s="2547"/>
      <c r="B23" s="2551" t="s">
        <v>872</v>
      </c>
      <c r="C23" s="2554"/>
      <c r="D23" s="2488"/>
      <c r="E23" s="2555"/>
      <c r="F23" s="2556" t="s">
        <v>547</v>
      </c>
      <c r="G23" s="2557"/>
      <c r="H23" s="2505"/>
      <c r="I23" s="2505"/>
      <c r="J23" s="2505"/>
      <c r="K23" s="2505"/>
      <c r="L23" s="2505"/>
      <c r="M23" s="2505"/>
      <c r="N23" s="2505"/>
      <c r="O23" s="2505"/>
      <c r="P23" s="2505"/>
      <c r="Q23" s="2505"/>
    </row>
    <row r="24" spans="1:17" s="2097" customFormat="1">
      <c r="A24" s="2558"/>
      <c r="B24" s="2556" t="s">
        <v>867</v>
      </c>
      <c r="C24" s="2559" t="str">
        <f>C10</f>
        <v>次干道-兴海路</v>
      </c>
      <c r="D24" s="2488"/>
      <c r="E24" s="2525"/>
      <c r="F24" s="2525"/>
      <c r="G24" s="2525"/>
      <c r="H24" s="2505"/>
      <c r="I24" s="2505"/>
      <c r="J24" s="2505"/>
      <c r="K24" s="2505"/>
      <c r="L24" s="2505"/>
      <c r="M24" s="2505"/>
      <c r="N24" s="2505"/>
      <c r="O24" s="2505"/>
      <c r="P24" s="2505"/>
      <c r="Q24" s="2505"/>
    </row>
    <row r="25" spans="1:17" s="2097" customFormat="1">
      <c r="B25" s="2505"/>
      <c r="C25" s="2505"/>
      <c r="D25" s="2505"/>
      <c r="H25" s="2505"/>
      <c r="I25" s="2505"/>
      <c r="J25" s="2505"/>
      <c r="K25" s="2505"/>
      <c r="L25" s="2505"/>
      <c r="M25" s="2505"/>
      <c r="N25" s="2505"/>
      <c r="O25" s="2505"/>
      <c r="P25" s="2505"/>
      <c r="Q25" s="2505"/>
    </row>
    <row r="26" spans="1:17" s="2097" customFormat="1">
      <c r="B26" s="2505"/>
      <c r="C26" s="2505"/>
      <c r="D26" s="2505"/>
      <c r="H26" s="2505"/>
      <c r="I26" s="2505"/>
      <c r="J26" s="2505"/>
      <c r="K26" s="2505"/>
      <c r="L26" s="2505"/>
      <c r="M26" s="2505"/>
      <c r="N26" s="2505"/>
      <c r="O26" s="2505"/>
      <c r="P26" s="2505"/>
      <c r="Q26" s="2505"/>
    </row>
    <row r="27" spans="1:17" s="2097" customFormat="1">
      <c r="B27" s="2505"/>
      <c r="C27" s="2505"/>
      <c r="D27" s="2505"/>
      <c r="H27" s="2505"/>
      <c r="I27" s="2505"/>
      <c r="J27" s="2505"/>
      <c r="K27" s="2505"/>
      <c r="L27" s="2505"/>
      <c r="M27" s="2505"/>
      <c r="N27" s="2505"/>
      <c r="O27" s="2505"/>
      <c r="P27" s="2505"/>
      <c r="Q27" s="2505"/>
    </row>
    <row r="28" spans="1:17" s="2097" customFormat="1">
      <c r="B28" s="2505"/>
      <c r="C28" s="2505"/>
      <c r="D28" s="2505"/>
      <c r="H28" s="2505"/>
      <c r="I28" s="2505"/>
      <c r="J28" s="2505"/>
      <c r="K28" s="2505"/>
      <c r="L28" s="2505"/>
      <c r="M28" s="2505"/>
      <c r="N28" s="2505"/>
      <c r="O28" s="2505"/>
      <c r="P28" s="2505"/>
      <c r="Q28" s="2505"/>
    </row>
    <row r="29" spans="1:17" s="2097" customFormat="1">
      <c r="B29" s="2505"/>
      <c r="C29" s="2505"/>
      <c r="D29" s="2505"/>
      <c r="H29" s="2505"/>
      <c r="I29" s="2505"/>
      <c r="J29" s="2505"/>
      <c r="K29" s="2505"/>
      <c r="L29" s="2505"/>
      <c r="M29" s="2505"/>
      <c r="N29" s="2505"/>
      <c r="O29" s="2505"/>
      <c r="P29" s="2505"/>
      <c r="Q29" s="2505"/>
    </row>
    <row r="30" spans="1:17" s="2097" customFormat="1">
      <c r="B30" s="2505"/>
      <c r="C30" s="2505"/>
      <c r="D30" s="2505"/>
      <c r="H30" s="2505"/>
      <c r="I30" s="2505"/>
      <c r="J30" s="2505"/>
      <c r="K30" s="2505"/>
      <c r="L30" s="2505"/>
      <c r="M30" s="2505"/>
      <c r="N30" s="2505"/>
      <c r="O30" s="2505"/>
      <c r="P30" s="2505"/>
      <c r="Q30" s="2505"/>
    </row>
    <row r="31" spans="1:17" s="2097" customFormat="1">
      <c r="B31" s="2505"/>
      <c r="C31" s="2505"/>
      <c r="D31" s="2505"/>
      <c r="H31" s="2505"/>
      <c r="I31" s="2505"/>
      <c r="J31" s="2505"/>
      <c r="K31" s="2505"/>
      <c r="L31" s="2505"/>
      <c r="M31" s="2505"/>
      <c r="N31" s="2505"/>
      <c r="O31" s="2505"/>
      <c r="P31" s="2505"/>
      <c r="Q31" s="2505"/>
    </row>
    <row r="32" spans="1:17" s="2097" customFormat="1">
      <c r="B32" s="2505"/>
      <c r="C32" s="2505"/>
      <c r="D32" s="2505"/>
      <c r="H32" s="2505"/>
      <c r="I32" s="2505"/>
      <c r="J32" s="2505"/>
      <c r="K32" s="2505"/>
      <c r="L32" s="2505"/>
      <c r="M32" s="2505"/>
      <c r="N32" s="2505"/>
      <c r="O32" s="2505"/>
      <c r="P32" s="2505"/>
      <c r="Q32" s="2505"/>
    </row>
    <row r="33" spans="2:17" s="2097" customFormat="1">
      <c r="B33" s="2505"/>
      <c r="C33" s="2505"/>
      <c r="D33" s="2505"/>
      <c r="H33" s="2505"/>
      <c r="I33" s="2505"/>
      <c r="J33" s="2505"/>
      <c r="K33" s="2505"/>
      <c r="L33" s="2505"/>
      <c r="M33" s="2505"/>
      <c r="N33" s="2505"/>
      <c r="O33" s="2505"/>
      <c r="P33" s="2505"/>
      <c r="Q33" s="2505"/>
    </row>
    <row r="34" spans="2:17" s="2097" customFormat="1">
      <c r="B34" s="2505"/>
      <c r="C34" s="2505"/>
      <c r="D34" s="2505"/>
      <c r="H34" s="2505"/>
      <c r="I34" s="2505"/>
      <c r="J34" s="2505"/>
      <c r="K34" s="2505"/>
      <c r="L34" s="2505"/>
      <c r="M34" s="2505"/>
      <c r="N34" s="2505"/>
      <c r="O34" s="2505"/>
      <c r="P34" s="2505"/>
      <c r="Q34" s="2505"/>
    </row>
    <row r="35" spans="2:17" s="2097" customFormat="1">
      <c r="B35" s="2505"/>
      <c r="C35" s="2505"/>
      <c r="D35" s="2505"/>
      <c r="H35" s="2505"/>
      <c r="I35" s="2505"/>
      <c r="J35" s="2505"/>
      <c r="K35" s="2505"/>
      <c r="L35" s="2505"/>
      <c r="M35" s="2505"/>
      <c r="N35" s="2505"/>
      <c r="O35" s="2505"/>
      <c r="P35" s="2505"/>
      <c r="Q35" s="2505"/>
    </row>
    <row r="36" spans="2:17" s="2097" customFormat="1">
      <c r="B36" s="2505"/>
      <c r="C36" s="2505"/>
      <c r="D36" s="2505"/>
      <c r="H36" s="2505"/>
      <c r="I36" s="2505"/>
      <c r="J36" s="2505"/>
      <c r="K36" s="2505"/>
      <c r="L36" s="2505"/>
      <c r="M36" s="2505"/>
      <c r="N36" s="2505"/>
      <c r="O36" s="2505"/>
      <c r="P36" s="2505"/>
      <c r="Q36" s="2505"/>
    </row>
    <row r="37" spans="2:17" s="2097" customFormat="1">
      <c r="B37" s="2505"/>
      <c r="C37" s="2505"/>
      <c r="D37" s="2505"/>
      <c r="H37" s="2505"/>
      <c r="I37" s="2505"/>
      <c r="J37" s="2505"/>
      <c r="K37" s="2505"/>
      <c r="L37" s="2505"/>
      <c r="M37" s="2505"/>
      <c r="N37" s="2505"/>
      <c r="O37" s="2505"/>
      <c r="P37" s="2505"/>
      <c r="Q37" s="2505"/>
    </row>
    <row r="38" spans="2:17" s="2097" customFormat="1">
      <c r="B38" s="2505"/>
      <c r="C38" s="2505"/>
      <c r="D38" s="2505"/>
      <c r="E38" s="2505"/>
      <c r="F38" s="2505"/>
      <c r="G38" s="2505"/>
      <c r="H38" s="2505"/>
      <c r="I38" s="2505"/>
      <c r="J38" s="2505"/>
      <c r="K38" s="2505"/>
      <c r="L38" s="2505"/>
      <c r="M38" s="2505"/>
      <c r="N38" s="2505"/>
      <c r="O38" s="2505"/>
      <c r="P38" s="2505"/>
      <c r="Q38" s="2505"/>
    </row>
    <row r="39" spans="2:17" s="2097" customFormat="1">
      <c r="B39" s="2505"/>
      <c r="C39" s="2505"/>
      <c r="D39" s="2505"/>
      <c r="E39" s="2505"/>
      <c r="F39" s="2505"/>
      <c r="G39" s="2505"/>
      <c r="H39" s="2505"/>
      <c r="I39" s="2505"/>
      <c r="J39" s="2505"/>
      <c r="K39" s="2505"/>
      <c r="L39" s="2505"/>
      <c r="M39" s="2505"/>
      <c r="N39" s="2505"/>
      <c r="O39" s="2505"/>
      <c r="P39" s="2505"/>
      <c r="Q39" s="2505"/>
    </row>
    <row r="40" spans="2:17" s="2097" customFormat="1">
      <c r="B40" s="2505"/>
      <c r="C40" s="2505"/>
      <c r="D40" s="2505"/>
      <c r="E40" s="2505"/>
      <c r="F40" s="2505"/>
      <c r="G40" s="2505"/>
      <c r="H40" s="2505"/>
      <c r="I40" s="2505"/>
      <c r="J40" s="2505"/>
      <c r="K40" s="2505"/>
      <c r="L40" s="2505"/>
      <c r="M40" s="2505"/>
      <c r="N40" s="2505"/>
      <c r="O40" s="2505"/>
      <c r="P40" s="2505"/>
      <c r="Q40" s="2505"/>
    </row>
    <row r="41" spans="2:17" s="2097" customFormat="1">
      <c r="B41" s="2505"/>
      <c r="C41" s="2505"/>
      <c r="D41" s="2505"/>
      <c r="E41" s="2505"/>
      <c r="F41" s="2505"/>
      <c r="G41" s="2505"/>
      <c r="H41" s="2505"/>
      <c r="I41" s="2505"/>
      <c r="J41" s="2505"/>
      <c r="K41" s="2505"/>
      <c r="L41" s="2505"/>
      <c r="M41" s="2505"/>
      <c r="N41" s="2505"/>
      <c r="O41" s="2505"/>
      <c r="P41" s="2505"/>
      <c r="Q41" s="2505"/>
    </row>
    <row r="42" spans="2:17" s="2097" customFormat="1">
      <c r="B42" s="2505"/>
      <c r="C42" s="2505"/>
      <c r="D42" s="2505"/>
      <c r="E42" s="2505"/>
      <c r="F42" s="2505"/>
      <c r="G42" s="2505"/>
      <c r="H42" s="2505"/>
      <c r="I42" s="2505"/>
      <c r="J42" s="2505"/>
      <c r="K42" s="2505"/>
      <c r="L42" s="2505"/>
      <c r="M42" s="2505"/>
      <c r="N42" s="2505"/>
      <c r="O42" s="2505"/>
      <c r="P42" s="2505"/>
      <c r="Q42" s="2505"/>
    </row>
    <row r="43" spans="2:17" s="2097" customFormat="1">
      <c r="B43" s="2505"/>
      <c r="C43" s="2505"/>
      <c r="D43" s="2505"/>
      <c r="E43" s="2505"/>
      <c r="F43" s="2505"/>
      <c r="G43" s="2505"/>
      <c r="H43" s="2505"/>
      <c r="I43" s="2505"/>
      <c r="J43" s="2505"/>
      <c r="K43" s="2505"/>
      <c r="L43" s="2505"/>
      <c r="M43" s="2505"/>
      <c r="N43" s="2505"/>
      <c r="O43" s="2505"/>
      <c r="P43" s="2505"/>
      <c r="Q43" s="2505"/>
    </row>
    <row r="44" spans="2:17" s="2097" customFormat="1">
      <c r="B44" s="2505"/>
      <c r="C44" s="2505"/>
      <c r="D44" s="2505"/>
      <c r="E44" s="2505"/>
      <c r="F44" s="2505"/>
      <c r="G44" s="2505"/>
      <c r="H44" s="2505"/>
      <c r="I44" s="2505"/>
      <c r="J44" s="2505"/>
      <c r="K44" s="2505"/>
      <c r="L44" s="2505"/>
      <c r="M44" s="2505"/>
      <c r="N44" s="2505"/>
      <c r="O44" s="2505"/>
      <c r="P44" s="2505"/>
      <c r="Q44" s="2505"/>
    </row>
    <row r="45" spans="2:17" s="2097" customFormat="1">
      <c r="B45" s="2505"/>
      <c r="C45" s="2505"/>
      <c r="D45" s="2505"/>
      <c r="E45" s="2505"/>
      <c r="F45" s="2505"/>
      <c r="G45" s="2505"/>
      <c r="H45" s="2505"/>
      <c r="I45" s="2505"/>
      <c r="J45" s="2505"/>
      <c r="K45" s="2505"/>
      <c r="L45" s="2505"/>
      <c r="M45" s="2505"/>
      <c r="N45" s="2505"/>
      <c r="O45" s="2505"/>
      <c r="P45" s="2505"/>
      <c r="Q45" s="2505"/>
    </row>
    <row r="46" spans="2:17" s="2097" customFormat="1">
      <c r="B46" s="2505"/>
      <c r="C46" s="2505"/>
      <c r="D46" s="2505"/>
      <c r="E46" s="2505"/>
      <c r="F46" s="2505"/>
      <c r="G46" s="2505"/>
      <c r="H46" s="2505"/>
      <c r="I46" s="2505"/>
      <c r="J46" s="2505"/>
      <c r="K46" s="2505"/>
      <c r="L46" s="2505"/>
      <c r="M46" s="2505"/>
      <c r="N46" s="2505"/>
      <c r="O46" s="2505"/>
      <c r="P46" s="2505"/>
      <c r="Q46" s="2505"/>
    </row>
    <row r="47" spans="2:17" s="2097" customFormat="1">
      <c r="B47" s="2505"/>
      <c r="C47" s="2505"/>
      <c r="D47" s="2505"/>
      <c r="E47" s="2505"/>
      <c r="F47" s="2505"/>
      <c r="G47" s="2505"/>
      <c r="H47" s="2505"/>
      <c r="I47" s="2505"/>
      <c r="J47" s="2505"/>
      <c r="K47" s="2505"/>
      <c r="L47" s="2505"/>
      <c r="M47" s="2505"/>
      <c r="N47" s="2505"/>
      <c r="O47" s="2505"/>
      <c r="P47" s="2505"/>
      <c r="Q47" s="2505"/>
    </row>
    <row r="48" spans="2:17" s="2097" customFormat="1">
      <c r="B48" s="2505"/>
      <c r="C48" s="2505"/>
      <c r="D48" s="2505"/>
      <c r="E48" s="2505"/>
      <c r="F48" s="2505"/>
      <c r="G48" s="2505"/>
      <c r="H48" s="2505"/>
      <c r="I48" s="2505"/>
      <c r="J48" s="2505"/>
      <c r="K48" s="2505"/>
      <c r="L48" s="2505"/>
      <c r="M48" s="2505"/>
      <c r="N48" s="2505"/>
      <c r="O48" s="2505"/>
      <c r="P48" s="2505"/>
      <c r="Q48" s="2505"/>
    </row>
    <row r="49" spans="2:17" s="2097" customFormat="1">
      <c r="B49" s="2505"/>
      <c r="C49" s="2505"/>
      <c r="D49" s="2505"/>
      <c r="E49" s="2505"/>
      <c r="F49" s="2505"/>
      <c r="G49" s="2505"/>
      <c r="H49" s="2505"/>
      <c r="I49" s="2505"/>
      <c r="J49" s="2505"/>
      <c r="K49" s="2505"/>
      <c r="L49" s="2505"/>
      <c r="M49" s="2505"/>
      <c r="N49" s="2505"/>
      <c r="O49" s="2505"/>
      <c r="P49" s="2505"/>
      <c r="Q49" s="2505"/>
    </row>
    <row r="50" spans="2:17" s="2097" customFormat="1">
      <c r="B50" s="2505"/>
      <c r="C50" s="2505"/>
      <c r="D50" s="2505"/>
      <c r="E50" s="2505"/>
      <c r="F50" s="2505"/>
      <c r="G50" s="2505"/>
      <c r="H50" s="2505"/>
      <c r="I50" s="2505"/>
      <c r="J50" s="2505"/>
      <c r="K50" s="2505"/>
      <c r="L50" s="2505"/>
      <c r="M50" s="2505"/>
      <c r="N50" s="2505"/>
      <c r="O50" s="2505"/>
      <c r="P50" s="2505"/>
      <c r="Q50" s="2505"/>
    </row>
    <row r="51" spans="2:17" s="2097" customFormat="1">
      <c r="B51" s="2505"/>
      <c r="C51" s="2505"/>
      <c r="D51" s="2505"/>
      <c r="E51" s="2505"/>
      <c r="F51" s="2505"/>
      <c r="G51" s="2505"/>
      <c r="H51" s="2505"/>
      <c r="I51" s="2505"/>
      <c r="J51" s="2505"/>
      <c r="K51" s="2505"/>
      <c r="L51" s="2505"/>
      <c r="M51" s="2505"/>
      <c r="N51" s="2505"/>
      <c r="O51" s="2505"/>
      <c r="P51" s="2505"/>
      <c r="Q51" s="2505"/>
    </row>
    <row r="52" spans="2:17" s="2097" customFormat="1">
      <c r="B52" s="2505"/>
      <c r="C52" s="2505"/>
      <c r="D52" s="2505"/>
      <c r="E52" s="2505"/>
      <c r="F52" s="2505"/>
      <c r="G52" s="2505"/>
      <c r="H52" s="2505"/>
      <c r="I52" s="2505"/>
      <c r="J52" s="2505"/>
      <c r="K52" s="2505"/>
      <c r="L52" s="2505"/>
      <c r="M52" s="2505"/>
      <c r="N52" s="2505"/>
      <c r="O52" s="2505"/>
      <c r="P52" s="2505"/>
      <c r="Q52" s="2505"/>
    </row>
    <row r="53" spans="2:17" s="2097" customFormat="1">
      <c r="B53" s="2505"/>
      <c r="C53" s="2505"/>
      <c r="D53" s="2505"/>
      <c r="E53" s="2505"/>
      <c r="F53" s="2505"/>
      <c r="G53" s="2505"/>
      <c r="H53" s="2505"/>
      <c r="I53" s="2505"/>
      <c r="J53" s="2505"/>
      <c r="K53" s="2505"/>
      <c r="L53" s="2505"/>
      <c r="M53" s="2505"/>
      <c r="N53" s="2505"/>
      <c r="O53" s="2505"/>
      <c r="P53" s="2505"/>
      <c r="Q53" s="2505"/>
    </row>
    <row r="54" spans="2:17" s="2097" customFormat="1">
      <c r="B54" s="2505"/>
      <c r="C54" s="2505"/>
      <c r="D54" s="2505"/>
      <c r="E54" s="2505"/>
      <c r="F54" s="2505"/>
      <c r="G54" s="2505"/>
      <c r="H54" s="2505"/>
      <c r="I54" s="2505"/>
      <c r="J54" s="2505"/>
      <c r="K54" s="2505"/>
      <c r="L54" s="2505"/>
      <c r="M54" s="2505"/>
      <c r="N54" s="2505"/>
      <c r="O54" s="2505"/>
      <c r="P54" s="2505"/>
      <c r="Q54" s="2505"/>
    </row>
    <row r="55" spans="2:17" s="2097" customFormat="1">
      <c r="B55" s="2505"/>
      <c r="C55" s="2505"/>
      <c r="D55" s="2505"/>
      <c r="E55" s="2505"/>
      <c r="F55" s="2505"/>
      <c r="G55" s="2505"/>
      <c r="H55" s="2505"/>
      <c r="I55" s="2505"/>
      <c r="J55" s="2505"/>
      <c r="K55" s="2505"/>
      <c r="L55" s="2505"/>
      <c r="M55" s="2505"/>
      <c r="N55" s="2505"/>
      <c r="O55" s="2505"/>
      <c r="P55" s="2505"/>
      <c r="Q55" s="2505"/>
    </row>
    <row r="56" spans="2:17" s="2097" customFormat="1">
      <c r="B56" s="2505"/>
      <c r="C56" s="2505"/>
      <c r="D56" s="2505"/>
      <c r="E56" s="2505"/>
      <c r="F56" s="2505"/>
      <c r="G56" s="2505"/>
      <c r="H56" s="2505"/>
      <c r="I56" s="2505"/>
      <c r="J56" s="2505"/>
      <c r="K56" s="2505"/>
      <c r="L56" s="2505"/>
      <c r="M56" s="2505"/>
      <c r="N56" s="2505"/>
      <c r="O56" s="2505"/>
      <c r="P56" s="2505"/>
      <c r="Q56" s="2505"/>
    </row>
    <row r="57" spans="2:17" s="2097" customFormat="1">
      <c r="B57" s="2505"/>
      <c r="C57" s="2505"/>
      <c r="D57" s="2505"/>
      <c r="E57" s="2505"/>
      <c r="F57" s="2505"/>
      <c r="G57" s="2505"/>
      <c r="H57" s="2505"/>
      <c r="I57" s="2505"/>
      <c r="J57" s="2505"/>
      <c r="K57" s="2505"/>
      <c r="L57" s="2505"/>
      <c r="M57" s="2505"/>
      <c r="N57" s="2505"/>
      <c r="O57" s="2505"/>
      <c r="P57" s="2505"/>
      <c r="Q57" s="2505"/>
    </row>
    <row r="58" spans="2:17" s="2097" customFormat="1">
      <c r="B58" s="2505"/>
      <c r="C58" s="2505"/>
      <c r="D58" s="2505"/>
      <c r="E58" s="2505"/>
      <c r="F58" s="2505"/>
      <c r="G58" s="2505"/>
      <c r="H58" s="2505"/>
      <c r="I58" s="2505"/>
      <c r="J58" s="2505"/>
      <c r="K58" s="2505"/>
      <c r="L58" s="2505"/>
      <c r="M58" s="2505"/>
      <c r="N58" s="2505"/>
      <c r="O58" s="2505"/>
      <c r="P58" s="2505"/>
      <c r="Q58" s="2505"/>
    </row>
    <row r="59" spans="2:17" s="2097" customFormat="1">
      <c r="B59" s="2505"/>
      <c r="C59" s="2505"/>
      <c r="D59" s="2505"/>
      <c r="E59" s="2505"/>
      <c r="F59" s="2505"/>
      <c r="G59" s="2505"/>
      <c r="H59" s="2505"/>
      <c r="I59" s="2505"/>
      <c r="J59" s="2505"/>
      <c r="K59" s="2505"/>
      <c r="L59" s="2505"/>
      <c r="M59" s="2505"/>
      <c r="N59" s="2505"/>
      <c r="O59" s="2505"/>
      <c r="P59" s="2505"/>
      <c r="Q59" s="2505"/>
    </row>
    <row r="60" spans="2:17" s="2097" customFormat="1">
      <c r="B60" s="2505"/>
      <c r="C60" s="2505"/>
      <c r="D60" s="2505"/>
      <c r="E60" s="2505"/>
      <c r="F60" s="2505"/>
      <c r="G60" s="2505"/>
      <c r="H60" s="2505"/>
      <c r="I60" s="2505"/>
      <c r="J60" s="2505"/>
      <c r="K60" s="2505"/>
      <c r="L60" s="2505"/>
      <c r="M60" s="2505"/>
      <c r="N60" s="2505"/>
      <c r="O60" s="2505"/>
      <c r="P60" s="2505"/>
      <c r="Q60" s="2505"/>
    </row>
    <row r="61" spans="2:17" s="2097" customFormat="1">
      <c r="B61" s="2505"/>
      <c r="C61" s="2505"/>
      <c r="D61" s="2505"/>
      <c r="E61" s="2505"/>
      <c r="F61" s="2505"/>
      <c r="G61" s="2505"/>
      <c r="H61" s="2505"/>
      <c r="I61" s="2505"/>
      <c r="J61" s="2505"/>
      <c r="K61" s="2505"/>
      <c r="L61" s="2505"/>
      <c r="M61" s="2505"/>
      <c r="N61" s="2505"/>
      <c r="O61" s="2505"/>
      <c r="P61" s="2505"/>
      <c r="Q61" s="2505"/>
    </row>
    <row r="62" spans="2:17" s="2097" customFormat="1">
      <c r="B62" s="2505"/>
      <c r="C62" s="2505"/>
      <c r="D62" s="2505"/>
      <c r="E62" s="2505"/>
      <c r="F62" s="2505"/>
      <c r="G62" s="2505"/>
      <c r="H62" s="2505"/>
      <c r="I62" s="2505"/>
      <c r="J62" s="2505"/>
      <c r="K62" s="2505"/>
      <c r="L62" s="2505"/>
      <c r="M62" s="2505"/>
      <c r="N62" s="2505"/>
      <c r="O62" s="2505"/>
      <c r="P62" s="2505"/>
      <c r="Q62" s="2505"/>
    </row>
    <row r="63" spans="2:17" s="2097" customFormat="1">
      <c r="B63" s="2505"/>
      <c r="C63" s="2505"/>
      <c r="D63" s="2505"/>
      <c r="E63" s="2505"/>
      <c r="F63" s="2505"/>
      <c r="G63" s="2505"/>
      <c r="H63" s="2505"/>
      <c r="I63" s="2505"/>
      <c r="J63" s="2505"/>
      <c r="K63" s="2505"/>
      <c r="L63" s="2505"/>
      <c r="M63" s="2505"/>
      <c r="N63" s="2505"/>
      <c r="O63" s="2505"/>
      <c r="P63" s="2505"/>
      <c r="Q63" s="2505"/>
    </row>
    <row r="64" spans="2:17" s="2097" customFormat="1">
      <c r="B64" s="2505"/>
      <c r="C64" s="2505"/>
      <c r="D64" s="2505"/>
      <c r="E64" s="2505"/>
      <c r="F64" s="2505"/>
      <c r="G64" s="2505"/>
      <c r="H64" s="2505"/>
      <c r="I64" s="2505"/>
      <c r="J64" s="2505"/>
      <c r="K64" s="2505"/>
      <c r="L64" s="2505"/>
      <c r="M64" s="2505"/>
      <c r="N64" s="2505"/>
      <c r="O64" s="2505"/>
      <c r="P64" s="2505"/>
      <c r="Q64" s="2505"/>
    </row>
    <row r="65" spans="2:17" s="2097" customFormat="1">
      <c r="B65" s="2505"/>
      <c r="C65" s="2505"/>
      <c r="D65" s="2505"/>
      <c r="E65" s="2505"/>
      <c r="F65" s="2505"/>
      <c r="G65" s="2505"/>
      <c r="H65" s="2505"/>
      <c r="I65" s="2505"/>
      <c r="J65" s="2505"/>
      <c r="K65" s="2505"/>
      <c r="L65" s="2505"/>
      <c r="M65" s="2505"/>
      <c r="N65" s="2505"/>
      <c r="O65" s="2505"/>
      <c r="P65" s="2505"/>
      <c r="Q65" s="2505"/>
    </row>
    <row r="66" spans="2:17" s="2097" customFormat="1">
      <c r="B66" s="2505"/>
      <c r="C66" s="2505"/>
      <c r="D66" s="2505"/>
      <c r="E66" s="2505"/>
      <c r="F66" s="2505"/>
      <c r="G66" s="2505"/>
      <c r="H66" s="2505"/>
      <c r="I66" s="2505"/>
      <c r="J66" s="2505"/>
      <c r="K66" s="2505"/>
      <c r="L66" s="2505"/>
      <c r="M66" s="2505"/>
      <c r="N66" s="2505"/>
      <c r="O66" s="2505"/>
      <c r="P66" s="2505"/>
      <c r="Q66" s="2505"/>
    </row>
    <row r="67" spans="2:17" s="2097" customFormat="1">
      <c r="B67" s="2505"/>
      <c r="C67" s="2505"/>
      <c r="D67" s="2505"/>
      <c r="E67" s="2505"/>
      <c r="F67" s="2505"/>
      <c r="G67" s="2505"/>
      <c r="H67" s="2505"/>
      <c r="I67" s="2505"/>
      <c r="J67" s="2505"/>
      <c r="K67" s="2505"/>
      <c r="L67" s="2505"/>
      <c r="M67" s="2505"/>
      <c r="N67" s="2505"/>
      <c r="O67" s="2505"/>
      <c r="P67" s="2505"/>
      <c r="Q67" s="2505"/>
    </row>
    <row r="68" spans="2:17" s="2097" customFormat="1">
      <c r="B68" s="2505"/>
      <c r="C68" s="2505"/>
      <c r="D68" s="2505"/>
      <c r="E68" s="2505"/>
      <c r="F68" s="2505"/>
      <c r="G68" s="2505"/>
      <c r="H68" s="2505"/>
      <c r="I68" s="2505"/>
      <c r="J68" s="2505"/>
      <c r="K68" s="2505"/>
      <c r="L68" s="2505"/>
      <c r="M68" s="2505"/>
      <c r="N68" s="2505"/>
      <c r="O68" s="2505"/>
      <c r="P68" s="2505"/>
      <c r="Q68" s="2505"/>
    </row>
    <row r="69" spans="2:17" s="2097" customFormat="1">
      <c r="B69" s="2505"/>
      <c r="C69" s="2505"/>
      <c r="D69" s="2505"/>
      <c r="E69" s="2505"/>
      <c r="F69" s="2505"/>
      <c r="G69" s="2505"/>
      <c r="H69" s="2505"/>
      <c r="I69" s="2505"/>
      <c r="J69" s="2505"/>
      <c r="K69" s="2505"/>
      <c r="L69" s="2505"/>
      <c r="M69" s="2505"/>
      <c r="N69" s="2505"/>
      <c r="O69" s="2505"/>
      <c r="P69" s="2505"/>
      <c r="Q69" s="2505"/>
    </row>
    <row r="70" spans="2:17" s="2097" customFormat="1">
      <c r="B70" s="2505"/>
      <c r="C70" s="2505"/>
      <c r="D70" s="2505"/>
      <c r="E70" s="2505"/>
      <c r="F70" s="2505"/>
      <c r="G70" s="2505"/>
      <c r="H70" s="2505"/>
      <c r="I70" s="2505"/>
      <c r="J70" s="2505"/>
      <c r="K70" s="2505"/>
      <c r="L70" s="2505"/>
      <c r="M70" s="2505"/>
      <c r="N70" s="2505"/>
      <c r="O70" s="2505"/>
      <c r="P70" s="2505"/>
      <c r="Q70" s="2505"/>
    </row>
    <row r="71" spans="2:17" s="2097" customFormat="1">
      <c r="B71" s="2505"/>
      <c r="C71" s="2505"/>
      <c r="D71" s="2505"/>
      <c r="E71" s="2505"/>
      <c r="F71" s="2505"/>
      <c r="G71" s="2505"/>
      <c r="H71" s="2505"/>
      <c r="I71" s="2505"/>
      <c r="J71" s="2505"/>
      <c r="K71" s="2505"/>
      <c r="L71" s="2505"/>
      <c r="M71" s="2505"/>
      <c r="N71" s="2505"/>
      <c r="O71" s="2505"/>
      <c r="P71" s="2505"/>
      <c r="Q71" s="2505"/>
    </row>
    <row r="72" spans="2:17" s="2097" customFormat="1">
      <c r="B72" s="2505"/>
      <c r="C72" s="2505"/>
      <c r="D72" s="2505"/>
      <c r="E72" s="2505"/>
      <c r="F72" s="2505"/>
      <c r="G72" s="2505"/>
      <c r="H72" s="2505"/>
      <c r="I72" s="2505"/>
      <c r="J72" s="2505"/>
      <c r="K72" s="2505"/>
      <c r="L72" s="2505"/>
      <c r="M72" s="2505"/>
      <c r="N72" s="2505"/>
      <c r="O72" s="2505"/>
      <c r="P72" s="2505"/>
      <c r="Q72" s="2505"/>
    </row>
    <row r="73" spans="2:17" s="2097" customFormat="1">
      <c r="B73" s="2505"/>
      <c r="C73" s="2505"/>
      <c r="D73" s="2505"/>
      <c r="E73" s="2505"/>
      <c r="F73" s="2505"/>
      <c r="G73" s="2505"/>
      <c r="H73" s="2505"/>
      <c r="I73" s="2505"/>
      <c r="J73" s="2505"/>
      <c r="K73" s="2505"/>
      <c r="L73" s="2505"/>
      <c r="M73" s="2505"/>
      <c r="N73" s="2505"/>
      <c r="O73" s="2505"/>
      <c r="P73" s="2505"/>
      <c r="Q73" s="2505"/>
    </row>
    <row r="74" spans="2:17" s="2097" customFormat="1">
      <c r="B74" s="2505"/>
      <c r="C74" s="2505"/>
      <c r="D74" s="2505"/>
      <c r="E74" s="2505"/>
      <c r="F74" s="2505"/>
      <c r="G74" s="2505"/>
      <c r="H74" s="2505"/>
      <c r="I74" s="2505"/>
      <c r="J74" s="2505"/>
      <c r="K74" s="2505"/>
      <c r="L74" s="2505"/>
      <c r="M74" s="2505"/>
      <c r="N74" s="2505"/>
      <c r="O74" s="2505"/>
      <c r="P74" s="2505"/>
      <c r="Q74" s="2505"/>
    </row>
    <row r="75" spans="2:17" s="2097" customFormat="1">
      <c r="B75" s="2505"/>
      <c r="C75" s="2505"/>
      <c r="D75" s="2505"/>
      <c r="E75" s="2505"/>
      <c r="F75" s="2505"/>
      <c r="G75" s="2505"/>
      <c r="H75" s="2505"/>
      <c r="I75" s="2505"/>
      <c r="J75" s="2505"/>
      <c r="K75" s="2505"/>
      <c r="L75" s="2505"/>
      <c r="M75" s="2505"/>
      <c r="N75" s="2505"/>
      <c r="O75" s="2505"/>
      <c r="P75" s="2505"/>
      <c r="Q75" s="2505"/>
    </row>
    <row r="76" spans="2:17" s="2097" customFormat="1">
      <c r="B76" s="2505"/>
      <c r="C76" s="2505"/>
      <c r="D76" s="2505"/>
      <c r="E76" s="2505"/>
      <c r="F76" s="2505"/>
      <c r="G76" s="2505"/>
      <c r="H76" s="2505"/>
      <c r="I76" s="2505"/>
      <c r="J76" s="2505"/>
      <c r="K76" s="2505"/>
      <c r="L76" s="2505"/>
      <c r="M76" s="2505"/>
      <c r="N76" s="2505"/>
      <c r="O76" s="2505"/>
      <c r="P76" s="2505"/>
      <c r="Q76" s="2505"/>
    </row>
    <row r="77" spans="2:17" s="2097" customFormat="1">
      <c r="B77" s="2505"/>
      <c r="C77" s="2505"/>
      <c r="D77" s="2505"/>
      <c r="E77" s="2505"/>
      <c r="F77" s="2505"/>
      <c r="G77" s="2505"/>
      <c r="H77" s="2505"/>
      <c r="I77" s="2505"/>
      <c r="J77" s="2505"/>
      <c r="K77" s="2505"/>
      <c r="L77" s="2505"/>
      <c r="M77" s="2505"/>
      <c r="N77" s="2505"/>
      <c r="O77" s="2505"/>
      <c r="P77" s="2505"/>
      <c r="Q77" s="2505"/>
    </row>
    <row r="78" spans="2:17" s="2097" customFormat="1">
      <c r="B78" s="2505"/>
      <c r="C78" s="2505"/>
      <c r="D78" s="2505"/>
      <c r="E78" s="2505"/>
      <c r="F78" s="2505"/>
      <c r="G78" s="2505"/>
      <c r="H78" s="2505"/>
      <c r="I78" s="2505"/>
      <c r="J78" s="2505"/>
      <c r="K78" s="2505"/>
      <c r="L78" s="2505"/>
      <c r="M78" s="2505"/>
      <c r="N78" s="2505"/>
      <c r="O78" s="2505"/>
      <c r="P78" s="2505"/>
      <c r="Q78" s="2505"/>
    </row>
    <row r="79" spans="2:17" s="2097" customFormat="1">
      <c r="B79" s="2505"/>
      <c r="C79" s="2505"/>
      <c r="D79" s="2505"/>
      <c r="E79" s="2505"/>
      <c r="F79" s="2505"/>
      <c r="G79" s="2505"/>
      <c r="H79" s="2505"/>
      <c r="I79" s="2505"/>
      <c r="J79" s="2505"/>
      <c r="K79" s="2505"/>
      <c r="L79" s="2505"/>
      <c r="M79" s="2505"/>
      <c r="N79" s="2505"/>
      <c r="O79" s="2505"/>
      <c r="P79" s="2505"/>
      <c r="Q79" s="2505"/>
    </row>
    <row r="80" spans="2:17" s="2097" customFormat="1">
      <c r="B80" s="2505"/>
      <c r="C80" s="2505"/>
      <c r="D80" s="2505"/>
      <c r="E80" s="2505"/>
      <c r="F80" s="2505"/>
      <c r="G80" s="2505"/>
      <c r="H80" s="2505"/>
      <c r="I80" s="2505"/>
      <c r="J80" s="2505"/>
      <c r="K80" s="2505"/>
      <c r="L80" s="2505"/>
      <c r="M80" s="2505"/>
      <c r="N80" s="2505"/>
      <c r="O80" s="2505"/>
      <c r="P80" s="2505"/>
      <c r="Q80" s="2505"/>
    </row>
    <row r="81" spans="2:17" s="2097" customFormat="1">
      <c r="B81" s="2505"/>
      <c r="C81" s="2505"/>
      <c r="D81" s="2505"/>
      <c r="E81" s="2505"/>
      <c r="F81" s="2505"/>
      <c r="G81" s="2505"/>
      <c r="H81" s="2505"/>
      <c r="I81" s="2505"/>
      <c r="J81" s="2505"/>
      <c r="K81" s="2505"/>
      <c r="L81" s="2505"/>
      <c r="M81" s="2505"/>
      <c r="N81" s="2505"/>
      <c r="O81" s="2505"/>
      <c r="P81" s="2505"/>
      <c r="Q81" s="2505"/>
    </row>
    <row r="82" spans="2:17" s="2097" customFormat="1">
      <c r="B82" s="2505"/>
      <c r="C82" s="2505"/>
      <c r="D82" s="2505"/>
      <c r="E82" s="2505"/>
      <c r="F82" s="2505"/>
      <c r="G82" s="2505"/>
      <c r="H82" s="2505"/>
      <c r="I82" s="2505"/>
      <c r="J82" s="2505"/>
      <c r="K82" s="2505"/>
      <c r="L82" s="2505"/>
      <c r="M82" s="2505"/>
      <c r="N82" s="2505"/>
      <c r="O82" s="2505"/>
      <c r="P82" s="2505"/>
      <c r="Q82" s="2505"/>
    </row>
    <row r="83" spans="2:17" s="2097" customFormat="1">
      <c r="B83" s="2505"/>
      <c r="C83" s="2505"/>
      <c r="D83" s="2505"/>
      <c r="E83" s="2505"/>
      <c r="F83" s="2505"/>
      <c r="G83" s="2505"/>
      <c r="H83" s="2505"/>
      <c r="I83" s="2505"/>
      <c r="J83" s="2505"/>
      <c r="K83" s="2505"/>
      <c r="L83" s="2505"/>
      <c r="M83" s="2505"/>
      <c r="N83" s="2505"/>
      <c r="O83" s="2505"/>
      <c r="P83" s="2505"/>
      <c r="Q83" s="2505"/>
    </row>
    <row r="84" spans="2:17" s="2097" customFormat="1">
      <c r="B84" s="2505"/>
      <c r="C84" s="2505"/>
      <c r="D84" s="2505"/>
      <c r="E84" s="2505"/>
      <c r="F84" s="2505"/>
      <c r="G84" s="2505"/>
      <c r="H84" s="2505"/>
      <c r="I84" s="2505"/>
      <c r="J84" s="2505"/>
      <c r="K84" s="2505"/>
      <c r="L84" s="2505"/>
      <c r="M84" s="2505"/>
      <c r="N84" s="2505"/>
      <c r="O84" s="2505"/>
      <c r="P84" s="2505"/>
      <c r="Q84" s="2505"/>
    </row>
    <row r="85" spans="2:17" s="2097" customFormat="1">
      <c r="B85" s="2505"/>
      <c r="C85" s="2505"/>
      <c r="D85" s="2505"/>
      <c r="E85" s="2505"/>
      <c r="F85" s="2505"/>
      <c r="G85" s="2505"/>
      <c r="H85" s="2505"/>
      <c r="I85" s="2505"/>
      <c r="J85" s="2505"/>
      <c r="K85" s="2505"/>
      <c r="L85" s="2505"/>
      <c r="M85" s="2505"/>
      <c r="N85" s="2505"/>
      <c r="O85" s="2505"/>
      <c r="P85" s="2505"/>
      <c r="Q85" s="2505"/>
    </row>
    <row r="86" spans="2:17" s="2097" customFormat="1">
      <c r="B86" s="2505"/>
      <c r="C86" s="2505"/>
      <c r="D86" s="2505"/>
      <c r="E86" s="2505"/>
      <c r="F86" s="2505"/>
      <c r="G86" s="2505"/>
      <c r="H86" s="2505"/>
      <c r="I86" s="2505"/>
      <c r="J86" s="2505"/>
      <c r="K86" s="2505"/>
      <c r="L86" s="2505"/>
      <c r="M86" s="2505"/>
      <c r="N86" s="2505"/>
      <c r="O86" s="2505"/>
      <c r="P86" s="2505"/>
      <c r="Q86" s="2505"/>
    </row>
    <row r="87" spans="2:17" s="2097" customFormat="1">
      <c r="B87" s="2505"/>
      <c r="C87" s="2505"/>
      <c r="D87" s="2505"/>
      <c r="E87" s="2505"/>
      <c r="F87" s="2505"/>
      <c r="G87" s="2505"/>
      <c r="H87" s="2505"/>
      <c r="I87" s="2505"/>
      <c r="J87" s="2505"/>
      <c r="K87" s="2505"/>
      <c r="L87" s="2505"/>
      <c r="M87" s="2505"/>
      <c r="N87" s="2505"/>
      <c r="O87" s="2505"/>
      <c r="P87" s="2505"/>
      <c r="Q87" s="2505"/>
    </row>
    <row r="88" spans="2:17" s="2097" customFormat="1">
      <c r="B88" s="2505"/>
      <c r="C88" s="2505"/>
      <c r="D88" s="2505"/>
      <c r="E88" s="2505"/>
      <c r="F88" s="2505"/>
      <c r="G88" s="2505"/>
      <c r="H88" s="2505"/>
      <c r="I88" s="2505"/>
      <c r="J88" s="2505"/>
      <c r="K88" s="2505"/>
      <c r="L88" s="2505"/>
      <c r="M88" s="2505"/>
      <c r="N88" s="2505"/>
      <c r="O88" s="2505"/>
      <c r="P88" s="2505"/>
      <c r="Q88" s="2505"/>
    </row>
    <row r="89" spans="2:17" s="2097" customFormat="1">
      <c r="B89" s="2505"/>
      <c r="C89" s="2505"/>
      <c r="D89" s="2505"/>
      <c r="E89" s="2505"/>
      <c r="F89" s="2505"/>
      <c r="G89" s="2505"/>
      <c r="H89" s="2505"/>
      <c r="I89" s="2505"/>
      <c r="J89" s="2505"/>
      <c r="K89" s="2505"/>
      <c r="L89" s="2505"/>
      <c r="M89" s="2505"/>
      <c r="N89" s="2505"/>
      <c r="O89" s="2505"/>
      <c r="P89" s="2505"/>
      <c r="Q89" s="2505"/>
    </row>
    <row r="90" spans="2:17" s="2097" customFormat="1">
      <c r="B90" s="2505"/>
      <c r="C90" s="2505"/>
      <c r="D90" s="2505"/>
      <c r="E90" s="2505"/>
      <c r="F90" s="2505"/>
      <c r="G90" s="2505"/>
      <c r="H90" s="2505"/>
      <c r="I90" s="2505"/>
      <c r="J90" s="2505"/>
      <c r="K90" s="2505"/>
      <c r="L90" s="2505"/>
      <c r="M90" s="2505"/>
      <c r="N90" s="2505"/>
      <c r="O90" s="2505"/>
      <c r="P90" s="2505"/>
      <c r="Q90" s="2505"/>
    </row>
    <row r="91" spans="2:17" s="2097" customFormat="1">
      <c r="B91" s="2505"/>
      <c r="C91" s="2505"/>
      <c r="D91" s="2505"/>
      <c r="E91" s="2505"/>
      <c r="F91" s="2505"/>
      <c r="G91" s="2505"/>
      <c r="H91" s="2505"/>
      <c r="I91" s="2505"/>
      <c r="J91" s="2505"/>
      <c r="K91" s="2505"/>
      <c r="L91" s="2505"/>
      <c r="M91" s="2505"/>
      <c r="N91" s="2505"/>
      <c r="O91" s="2505"/>
      <c r="P91" s="2505"/>
      <c r="Q91" s="2505"/>
    </row>
    <row r="92" spans="2:17" s="2097" customFormat="1">
      <c r="B92" s="2505"/>
      <c r="C92" s="2505"/>
      <c r="D92" s="2505"/>
      <c r="E92" s="2505"/>
      <c r="F92" s="2505"/>
      <c r="G92" s="2505"/>
      <c r="H92" s="2505"/>
      <c r="I92" s="2505"/>
      <c r="J92" s="2505"/>
      <c r="K92" s="2505"/>
      <c r="L92" s="2505"/>
      <c r="M92" s="2505"/>
      <c r="N92" s="2505"/>
      <c r="O92" s="2505"/>
      <c r="P92" s="2505"/>
      <c r="Q92" s="2505"/>
    </row>
    <row r="93" spans="2:17" s="2097" customFormat="1">
      <c r="B93" s="2505"/>
      <c r="C93" s="2505"/>
      <c r="D93" s="2505"/>
      <c r="E93" s="2505"/>
      <c r="F93" s="2505"/>
      <c r="G93" s="2505"/>
      <c r="H93" s="2505"/>
      <c r="I93" s="2505"/>
      <c r="J93" s="2505"/>
      <c r="K93" s="2505"/>
      <c r="L93" s="2505"/>
      <c r="M93" s="2505"/>
      <c r="N93" s="2505"/>
      <c r="O93" s="2505"/>
      <c r="P93" s="2505"/>
      <c r="Q93" s="2505"/>
    </row>
    <row r="94" spans="2:17" s="2097" customFormat="1">
      <c r="B94" s="2505"/>
      <c r="C94" s="2505"/>
      <c r="D94" s="2505"/>
      <c r="E94" s="2505"/>
      <c r="F94" s="2505"/>
      <c r="G94" s="2505"/>
      <c r="H94" s="2505"/>
      <c r="I94" s="2505"/>
      <c r="J94" s="2505"/>
      <c r="K94" s="2505"/>
      <c r="L94" s="2505"/>
      <c r="M94" s="2505"/>
      <c r="N94" s="2505"/>
      <c r="O94" s="2505"/>
      <c r="P94" s="2505"/>
      <c r="Q94" s="2505"/>
    </row>
    <row r="95" spans="2:17" s="2097" customFormat="1">
      <c r="B95" s="2505"/>
      <c r="C95" s="2505"/>
      <c r="D95" s="2505"/>
      <c r="E95" s="2505"/>
      <c r="F95" s="2505"/>
      <c r="G95" s="2505"/>
      <c r="H95" s="2505"/>
      <c r="I95" s="2505"/>
      <c r="J95" s="2505"/>
      <c r="K95" s="2505"/>
      <c r="L95" s="2505"/>
      <c r="M95" s="2505"/>
      <c r="N95" s="2505"/>
      <c r="O95" s="2505"/>
      <c r="P95" s="2505"/>
      <c r="Q95" s="2505"/>
    </row>
    <row r="96" spans="2:17" s="2097" customFormat="1">
      <c r="B96" s="2505"/>
      <c r="C96" s="2505"/>
      <c r="D96" s="2505"/>
      <c r="E96" s="2505"/>
      <c r="F96" s="2505"/>
      <c r="G96" s="2505"/>
      <c r="H96" s="2505"/>
      <c r="I96" s="2505"/>
      <c r="J96" s="2505"/>
      <c r="K96" s="2505"/>
      <c r="L96" s="2505"/>
      <c r="M96" s="2505"/>
      <c r="N96" s="2505"/>
      <c r="O96" s="2505"/>
      <c r="P96" s="2505"/>
      <c r="Q96" s="2505"/>
    </row>
    <row r="97" spans="2:17" s="2097" customFormat="1">
      <c r="B97" s="2505"/>
      <c r="C97" s="2505"/>
      <c r="D97" s="2505"/>
      <c r="E97" s="2505"/>
      <c r="F97" s="2505"/>
      <c r="G97" s="2505"/>
      <c r="H97" s="2505"/>
      <c r="I97" s="2505"/>
      <c r="J97" s="2505"/>
      <c r="K97" s="2505"/>
      <c r="L97" s="2505"/>
      <c r="M97" s="2505"/>
      <c r="N97" s="2505"/>
      <c r="O97" s="2505"/>
      <c r="P97" s="2505"/>
      <c r="Q97" s="2505"/>
    </row>
    <row r="98" spans="2:17" s="2097" customFormat="1">
      <c r="B98" s="2505"/>
      <c r="C98" s="2505"/>
      <c r="D98" s="2505"/>
      <c r="E98" s="2505"/>
      <c r="F98" s="2505"/>
      <c r="G98" s="2505"/>
      <c r="H98" s="2505"/>
      <c r="I98" s="2505"/>
      <c r="J98" s="2505"/>
      <c r="K98" s="2505"/>
      <c r="L98" s="2505"/>
      <c r="M98" s="2505"/>
      <c r="N98" s="2505"/>
      <c r="O98" s="2505"/>
      <c r="P98" s="2505"/>
      <c r="Q98" s="2505"/>
    </row>
    <row r="99" spans="2:17" s="2097" customFormat="1">
      <c r="B99" s="2505"/>
      <c r="C99" s="2505"/>
      <c r="D99" s="2505"/>
      <c r="E99" s="2505"/>
      <c r="F99" s="2505"/>
      <c r="G99" s="2505"/>
      <c r="H99" s="2505"/>
      <c r="I99" s="2505"/>
      <c r="J99" s="2505"/>
      <c r="K99" s="2505"/>
      <c r="L99" s="2505"/>
      <c r="M99" s="2505"/>
      <c r="N99" s="2505"/>
      <c r="O99" s="2505"/>
      <c r="P99" s="2505"/>
      <c r="Q99" s="2505"/>
    </row>
    <row r="100" spans="2:17" s="2097" customFormat="1">
      <c r="B100" s="2505"/>
      <c r="C100" s="2505"/>
      <c r="D100" s="2505"/>
      <c r="E100" s="2505"/>
      <c r="F100" s="2505"/>
      <c r="G100" s="2505"/>
      <c r="H100" s="2505"/>
      <c r="I100" s="2505"/>
      <c r="J100" s="2505"/>
      <c r="K100" s="2505"/>
      <c r="L100" s="2505"/>
      <c r="M100" s="2505"/>
      <c r="N100" s="2505"/>
      <c r="O100" s="2505"/>
      <c r="P100" s="2505"/>
      <c r="Q100" s="2505"/>
    </row>
    <row r="101" spans="2:17" s="2097" customFormat="1">
      <c r="B101" s="2505"/>
      <c r="C101" s="2505"/>
      <c r="D101" s="2505"/>
      <c r="E101" s="2505"/>
      <c r="F101" s="2505"/>
      <c r="G101" s="2505"/>
      <c r="H101" s="2505"/>
      <c r="I101" s="2505"/>
      <c r="J101" s="2505"/>
      <c r="K101" s="2505"/>
      <c r="L101" s="2505"/>
      <c r="M101" s="2505"/>
      <c r="N101" s="2505"/>
      <c r="O101" s="2505"/>
      <c r="P101" s="2505"/>
      <c r="Q101" s="2505"/>
    </row>
    <row r="102" spans="2:17" s="2097" customFormat="1">
      <c r="B102" s="2505"/>
      <c r="C102" s="2505"/>
      <c r="D102" s="2505"/>
      <c r="E102" s="2505"/>
      <c r="F102" s="2505"/>
      <c r="G102" s="2505"/>
      <c r="H102" s="2505"/>
      <c r="I102" s="2505"/>
      <c r="J102" s="2505"/>
      <c r="K102" s="2505"/>
      <c r="L102" s="2505"/>
      <c r="M102" s="2505"/>
      <c r="N102" s="2505"/>
      <c r="O102" s="2505"/>
      <c r="P102" s="2505"/>
      <c r="Q102" s="2505"/>
    </row>
    <row r="103" spans="2:17" s="2097" customFormat="1">
      <c r="B103" s="2505"/>
      <c r="C103" s="2505"/>
      <c r="D103" s="2505"/>
      <c r="E103" s="2505"/>
      <c r="F103" s="2505"/>
      <c r="G103" s="2505"/>
      <c r="H103" s="2505"/>
      <c r="I103" s="2505"/>
      <c r="J103" s="2505"/>
      <c r="K103" s="2505"/>
      <c r="L103" s="2505"/>
      <c r="M103" s="2505"/>
      <c r="N103" s="2505"/>
      <c r="O103" s="2505"/>
      <c r="P103" s="2505"/>
      <c r="Q103" s="2505"/>
    </row>
    <row r="104" spans="2:17" s="2097" customFormat="1">
      <c r="B104" s="2505"/>
      <c r="C104" s="2505"/>
      <c r="D104" s="2505"/>
      <c r="E104" s="2505"/>
      <c r="F104" s="2505"/>
      <c r="G104" s="2505"/>
      <c r="H104" s="2505"/>
      <c r="I104" s="2505"/>
      <c r="J104" s="2505"/>
      <c r="K104" s="2505"/>
      <c r="L104" s="2505"/>
      <c r="M104" s="2505"/>
      <c r="N104" s="2505"/>
      <c r="O104" s="2505"/>
      <c r="P104" s="2505"/>
      <c r="Q104" s="2505"/>
    </row>
    <row r="105" spans="2:17" s="2097" customFormat="1">
      <c r="B105" s="2505"/>
      <c r="C105" s="2505"/>
      <c r="D105" s="2505"/>
      <c r="E105" s="2505"/>
      <c r="F105" s="2505"/>
      <c r="G105" s="2505"/>
      <c r="H105" s="2505"/>
      <c r="I105" s="2505"/>
      <c r="J105" s="2505"/>
      <c r="K105" s="2505"/>
      <c r="L105" s="2505"/>
      <c r="M105" s="2505"/>
      <c r="N105" s="2505"/>
      <c r="O105" s="2505"/>
      <c r="P105" s="2505"/>
      <c r="Q105" s="2505"/>
    </row>
    <row r="106" spans="2:17" s="2097" customFormat="1">
      <c r="B106" s="2505"/>
      <c r="C106" s="2505"/>
      <c r="D106" s="2505"/>
      <c r="E106" s="2505"/>
      <c r="F106" s="2505"/>
      <c r="G106" s="2505"/>
      <c r="H106" s="2505"/>
      <c r="I106" s="2505"/>
      <c r="J106" s="2505"/>
      <c r="K106" s="2505"/>
      <c r="L106" s="2505"/>
      <c r="M106" s="2505"/>
      <c r="N106" s="2505"/>
      <c r="O106" s="2505"/>
      <c r="P106" s="2505"/>
      <c r="Q106" s="2505"/>
    </row>
    <row r="107" spans="2:17" s="2097" customFormat="1">
      <c r="B107" s="2505"/>
      <c r="C107" s="2505"/>
      <c r="D107" s="2505"/>
      <c r="E107" s="2505"/>
      <c r="F107" s="2505"/>
      <c r="G107" s="2505"/>
      <c r="H107" s="2505"/>
      <c r="I107" s="2505"/>
      <c r="J107" s="2505"/>
      <c r="K107" s="2505"/>
      <c r="L107" s="2505"/>
      <c r="M107" s="2505"/>
      <c r="N107" s="2505"/>
      <c r="O107" s="2505"/>
      <c r="P107" s="2505"/>
      <c r="Q107" s="2505"/>
    </row>
    <row r="108" spans="2:17" s="2097" customFormat="1">
      <c r="B108" s="2505"/>
      <c r="C108" s="2505"/>
      <c r="D108" s="2505"/>
      <c r="E108" s="2505"/>
      <c r="F108" s="2505"/>
      <c r="G108" s="2505"/>
      <c r="H108" s="2505"/>
      <c r="I108" s="2505"/>
      <c r="J108" s="2505"/>
      <c r="K108" s="2505"/>
      <c r="L108" s="2505"/>
      <c r="M108" s="2505"/>
      <c r="N108" s="2505"/>
      <c r="O108" s="2505"/>
      <c r="P108" s="2505"/>
      <c r="Q108" s="2505"/>
    </row>
    <row r="109" spans="2:17" s="2097" customFormat="1">
      <c r="B109" s="2505"/>
      <c r="C109" s="2505"/>
      <c r="D109" s="2505"/>
      <c r="E109" s="2505"/>
      <c r="F109" s="2505"/>
      <c r="G109" s="2505"/>
      <c r="H109" s="2505"/>
      <c r="I109" s="2505"/>
      <c r="J109" s="2505"/>
      <c r="K109" s="2505"/>
      <c r="L109" s="2505"/>
      <c r="M109" s="2505"/>
      <c r="N109" s="2505"/>
      <c r="O109" s="2505"/>
      <c r="P109" s="2505"/>
      <c r="Q109" s="2505"/>
    </row>
    <row r="110" spans="2:17" s="2097" customFormat="1">
      <c r="B110" s="2505"/>
      <c r="C110" s="2505"/>
      <c r="D110" s="2505"/>
      <c r="E110" s="2505"/>
      <c r="F110" s="2505"/>
      <c r="G110" s="2505"/>
      <c r="H110" s="2505"/>
      <c r="I110" s="2505"/>
      <c r="J110" s="2505"/>
      <c r="K110" s="2505"/>
      <c r="L110" s="2505"/>
      <c r="M110" s="2505"/>
      <c r="N110" s="2505"/>
      <c r="O110" s="2505"/>
      <c r="P110" s="2505"/>
      <c r="Q110" s="2505"/>
    </row>
    <row r="111" spans="2:17" s="2097" customFormat="1">
      <c r="B111" s="2505"/>
      <c r="C111" s="2505"/>
      <c r="D111" s="2505"/>
      <c r="E111" s="2505"/>
      <c r="F111" s="2505"/>
      <c r="G111" s="2505"/>
      <c r="H111" s="2505"/>
      <c r="I111" s="2505"/>
      <c r="J111" s="2505"/>
      <c r="K111" s="2505"/>
      <c r="L111" s="2505"/>
      <c r="M111" s="2505"/>
      <c r="N111" s="2505"/>
      <c r="O111" s="2505"/>
      <c r="P111" s="2505"/>
      <c r="Q111" s="2505"/>
    </row>
    <row r="112" spans="2:17" s="2097" customFormat="1">
      <c r="B112" s="2505"/>
      <c r="C112" s="2505"/>
      <c r="D112" s="2505"/>
      <c r="E112" s="2505"/>
      <c r="F112" s="2505"/>
      <c r="G112" s="2505"/>
      <c r="H112" s="2505"/>
      <c r="I112" s="2505"/>
      <c r="J112" s="2505"/>
      <c r="K112" s="2505"/>
      <c r="L112" s="2505"/>
      <c r="M112" s="2505"/>
      <c r="N112" s="2505"/>
      <c r="O112" s="2505"/>
      <c r="P112" s="2505"/>
      <c r="Q112" s="2505"/>
    </row>
    <row r="113" spans="2:17" s="2097" customFormat="1">
      <c r="B113" s="2505"/>
      <c r="C113" s="2505"/>
      <c r="D113" s="2505"/>
      <c r="E113" s="2505"/>
      <c r="F113" s="2505"/>
      <c r="G113" s="2505"/>
      <c r="H113" s="2505"/>
      <c r="I113" s="2505"/>
      <c r="J113" s="2505"/>
      <c r="K113" s="2505"/>
      <c r="L113" s="2505"/>
      <c r="M113" s="2505"/>
      <c r="N113" s="2505"/>
      <c r="O113" s="2505"/>
      <c r="P113" s="2505"/>
      <c r="Q113" s="2505"/>
    </row>
    <row r="114" spans="2:17" s="2097" customFormat="1">
      <c r="B114" s="2505"/>
      <c r="C114" s="2505"/>
      <c r="D114" s="2505"/>
      <c r="E114" s="2505"/>
      <c r="F114" s="2505"/>
      <c r="G114" s="2505"/>
      <c r="H114" s="2505"/>
      <c r="I114" s="2505"/>
      <c r="J114" s="2505"/>
      <c r="K114" s="2505"/>
      <c r="L114" s="2505"/>
      <c r="M114" s="2505"/>
      <c r="N114" s="2505"/>
      <c r="O114" s="2505"/>
      <c r="P114" s="2505"/>
      <c r="Q114" s="2505"/>
    </row>
    <row r="115" spans="2:17" s="2097" customFormat="1">
      <c r="B115" s="2505"/>
      <c r="C115" s="2505"/>
      <c r="D115" s="2505"/>
      <c r="E115" s="2505"/>
      <c r="F115" s="2505"/>
      <c r="G115" s="2505"/>
      <c r="H115" s="2505"/>
      <c r="I115" s="2505"/>
      <c r="J115" s="2505"/>
      <c r="K115" s="2505"/>
      <c r="L115" s="2505"/>
      <c r="M115" s="2505"/>
      <c r="N115" s="2505"/>
      <c r="O115" s="2505"/>
      <c r="P115" s="2505"/>
      <c r="Q115" s="2505"/>
    </row>
    <row r="116" spans="2:17" s="2097" customFormat="1">
      <c r="B116" s="2505"/>
      <c r="C116" s="2505"/>
      <c r="D116" s="2505"/>
      <c r="E116" s="2505"/>
      <c r="F116" s="2505"/>
      <c r="G116" s="2505"/>
      <c r="H116" s="2505"/>
      <c r="I116" s="2505"/>
      <c r="J116" s="2505"/>
      <c r="K116" s="2505"/>
      <c r="L116" s="2505"/>
      <c r="M116" s="2505"/>
      <c r="N116" s="2505"/>
      <c r="O116" s="2505"/>
      <c r="P116" s="2505"/>
      <c r="Q116" s="2505"/>
    </row>
    <row r="117" spans="2:17" s="2097" customFormat="1">
      <c r="B117" s="2505"/>
      <c r="C117" s="2505"/>
      <c r="D117" s="2505"/>
      <c r="E117" s="2505"/>
      <c r="F117" s="2505"/>
      <c r="G117" s="2505"/>
      <c r="H117" s="2505"/>
      <c r="I117" s="2505"/>
      <c r="J117" s="2505"/>
      <c r="K117" s="2505"/>
      <c r="L117" s="2505"/>
      <c r="M117" s="2505"/>
      <c r="N117" s="2505"/>
      <c r="O117" s="2505"/>
      <c r="P117" s="2505"/>
      <c r="Q117" s="2505"/>
    </row>
    <row r="118" spans="2:17" s="2097" customFormat="1">
      <c r="B118" s="2505"/>
      <c r="C118" s="2505"/>
      <c r="D118" s="2505"/>
      <c r="E118" s="2505"/>
      <c r="F118" s="2505"/>
      <c r="G118" s="2505"/>
      <c r="H118" s="2505"/>
      <c r="I118" s="2505"/>
      <c r="J118" s="2505"/>
      <c r="K118" s="2505"/>
      <c r="L118" s="2505"/>
      <c r="M118" s="2505"/>
      <c r="N118" s="2505"/>
      <c r="O118" s="2505"/>
      <c r="P118" s="2505"/>
      <c r="Q118" s="2505"/>
    </row>
    <row r="119" spans="2:17" s="2097" customFormat="1">
      <c r="B119" s="2505"/>
      <c r="C119" s="2505"/>
      <c r="D119" s="2505"/>
      <c r="E119" s="2505"/>
      <c r="F119" s="2505"/>
      <c r="G119" s="2505"/>
      <c r="H119" s="2505"/>
      <c r="I119" s="2505"/>
      <c r="J119" s="2505"/>
      <c r="K119" s="2505"/>
      <c r="L119" s="2505"/>
      <c r="M119" s="2505"/>
      <c r="N119" s="2505"/>
      <c r="O119" s="2505"/>
      <c r="P119" s="2505"/>
      <c r="Q119" s="2505"/>
    </row>
    <row r="120" spans="2:17" s="2097" customFormat="1">
      <c r="B120" s="2505"/>
      <c r="C120" s="2505"/>
      <c r="D120" s="2505"/>
      <c r="E120" s="2505"/>
      <c r="F120" s="2505"/>
      <c r="G120" s="2505"/>
      <c r="H120" s="2505"/>
      <c r="I120" s="2505"/>
      <c r="J120" s="2505"/>
      <c r="K120" s="2505"/>
      <c r="L120" s="2505"/>
      <c r="M120" s="2505"/>
      <c r="N120" s="2505"/>
      <c r="O120" s="2505"/>
      <c r="P120" s="2505"/>
      <c r="Q120" s="2505"/>
    </row>
    <row r="121" spans="2:17" s="2097" customFormat="1">
      <c r="B121" s="2505"/>
      <c r="C121" s="2505"/>
      <c r="D121" s="2505"/>
      <c r="E121" s="2505"/>
      <c r="F121" s="2505"/>
      <c r="G121" s="2505"/>
      <c r="H121" s="2505"/>
      <c r="I121" s="2505"/>
      <c r="J121" s="2505"/>
      <c r="K121" s="2505"/>
      <c r="L121" s="2505"/>
      <c r="M121" s="2505"/>
      <c r="N121" s="2505"/>
      <c r="O121" s="2505"/>
      <c r="P121" s="2505"/>
      <c r="Q121" s="2505"/>
    </row>
    <row r="122" spans="2:17" s="2097" customFormat="1">
      <c r="B122" s="2505"/>
      <c r="C122" s="2505"/>
      <c r="D122" s="2505"/>
      <c r="E122" s="2505"/>
      <c r="F122" s="2505"/>
      <c r="G122" s="2505"/>
      <c r="H122" s="2505"/>
      <c r="I122" s="2505"/>
      <c r="J122" s="2505"/>
      <c r="K122" s="2505"/>
      <c r="L122" s="2505"/>
      <c r="M122" s="2505"/>
      <c r="N122" s="2505"/>
      <c r="O122" s="2505"/>
      <c r="P122" s="2505"/>
      <c r="Q122" s="2505"/>
    </row>
    <row r="123" spans="2:17" s="2097" customFormat="1">
      <c r="B123" s="2505"/>
      <c r="C123" s="2505"/>
      <c r="D123" s="2505"/>
      <c r="E123" s="2505"/>
      <c r="F123" s="2505"/>
      <c r="G123" s="2505"/>
      <c r="H123" s="2505"/>
      <c r="I123" s="2505"/>
      <c r="J123" s="2505"/>
      <c r="K123" s="2505"/>
      <c r="L123" s="2505"/>
      <c r="M123" s="2505"/>
      <c r="N123" s="2505"/>
      <c r="O123" s="2505"/>
      <c r="P123" s="2505"/>
      <c r="Q123" s="2505"/>
    </row>
    <row r="124" spans="2:17" s="2097" customFormat="1">
      <c r="B124" s="2505"/>
      <c r="C124" s="2505"/>
      <c r="D124" s="2505"/>
      <c r="E124" s="2505"/>
      <c r="F124" s="2505"/>
      <c r="G124" s="2505"/>
      <c r="H124" s="2505"/>
      <c r="I124" s="2505"/>
      <c r="J124" s="2505"/>
      <c r="K124" s="2505"/>
      <c r="L124" s="2505"/>
      <c r="M124" s="2505"/>
      <c r="N124" s="2505"/>
      <c r="O124" s="2505"/>
      <c r="P124" s="2505"/>
      <c r="Q124" s="2505"/>
    </row>
    <row r="125" spans="2:17" s="2097" customFormat="1">
      <c r="B125" s="2505"/>
      <c r="C125" s="2505"/>
      <c r="D125" s="2505"/>
      <c r="E125" s="2505"/>
      <c r="F125" s="2505"/>
      <c r="G125" s="2505"/>
      <c r="H125" s="2505"/>
      <c r="I125" s="2505"/>
      <c r="J125" s="2505"/>
      <c r="K125" s="2505"/>
      <c r="L125" s="2505"/>
      <c r="M125" s="2505"/>
      <c r="N125" s="2505"/>
      <c r="O125" s="2505"/>
      <c r="P125" s="2505"/>
      <c r="Q125" s="2505"/>
    </row>
    <row r="126" spans="2:17" s="2097" customFormat="1">
      <c r="B126" s="2505"/>
      <c r="C126" s="2505"/>
      <c r="D126" s="2505"/>
      <c r="E126" s="2505"/>
      <c r="F126" s="2505"/>
      <c r="G126" s="2505"/>
      <c r="H126" s="2505"/>
      <c r="I126" s="2505"/>
      <c r="J126" s="2505"/>
      <c r="K126" s="2505"/>
      <c r="L126" s="2505"/>
      <c r="M126" s="2505"/>
      <c r="N126" s="2505"/>
      <c r="O126" s="2505"/>
      <c r="P126" s="2505"/>
      <c r="Q126" s="2505"/>
    </row>
    <row r="127" spans="2:17" s="2097" customFormat="1">
      <c r="B127" s="2505"/>
      <c r="C127" s="2505"/>
      <c r="D127" s="2505"/>
      <c r="E127" s="2505"/>
      <c r="F127" s="2505"/>
      <c r="G127" s="2505"/>
      <c r="H127" s="2505"/>
      <c r="I127" s="2505"/>
      <c r="J127" s="2505"/>
      <c r="K127" s="2505"/>
      <c r="L127" s="2505"/>
      <c r="M127" s="2505"/>
      <c r="N127" s="2505"/>
      <c r="O127" s="2505"/>
      <c r="P127" s="2505"/>
      <c r="Q127" s="2505"/>
    </row>
    <row r="128" spans="2:17" s="2097" customFormat="1">
      <c r="B128" s="2505"/>
      <c r="C128" s="2505"/>
      <c r="D128" s="2505"/>
      <c r="E128" s="2505"/>
      <c r="F128" s="2505"/>
      <c r="G128" s="2505"/>
      <c r="H128" s="2505"/>
      <c r="I128" s="2505"/>
      <c r="J128" s="2505"/>
      <c r="K128" s="2505"/>
      <c r="L128" s="2505"/>
      <c r="M128" s="2505"/>
      <c r="N128" s="2505"/>
      <c r="O128" s="2505"/>
      <c r="P128" s="2505"/>
      <c r="Q128" s="2505"/>
    </row>
    <row r="129" spans="2:17" s="2097" customFormat="1">
      <c r="B129" s="2505"/>
      <c r="C129" s="2505"/>
      <c r="D129" s="2505"/>
      <c r="E129" s="2505"/>
      <c r="F129" s="2505"/>
      <c r="G129" s="2505"/>
      <c r="H129" s="2505"/>
      <c r="I129" s="2505"/>
      <c r="J129" s="2505"/>
      <c r="K129" s="2505"/>
      <c r="L129" s="2505"/>
      <c r="M129" s="2505"/>
      <c r="N129" s="2505"/>
      <c r="O129" s="2505"/>
      <c r="P129" s="2505"/>
      <c r="Q129" s="2505"/>
    </row>
    <row r="130" spans="2:17" s="2097" customFormat="1">
      <c r="B130" s="2505"/>
      <c r="C130" s="2505"/>
      <c r="D130" s="2505"/>
      <c r="E130" s="2505"/>
      <c r="F130" s="2505"/>
      <c r="G130" s="2505"/>
      <c r="H130" s="2505"/>
      <c r="I130" s="2505"/>
      <c r="J130" s="2505"/>
      <c r="K130" s="2505"/>
      <c r="L130" s="2505"/>
      <c r="M130" s="2505"/>
      <c r="N130" s="2505"/>
      <c r="O130" s="2505"/>
      <c r="P130" s="2505"/>
      <c r="Q130" s="2505"/>
    </row>
    <row r="131" spans="2:17" s="2097" customFormat="1">
      <c r="B131" s="2505"/>
      <c r="C131" s="2505"/>
      <c r="D131" s="2505"/>
      <c r="E131" s="2505"/>
      <c r="F131" s="2505"/>
      <c r="G131" s="2505"/>
      <c r="H131" s="2505"/>
      <c r="I131" s="2505"/>
      <c r="J131" s="2505"/>
      <c r="K131" s="2505"/>
      <c r="L131" s="2505"/>
      <c r="M131" s="2505"/>
      <c r="N131" s="2505"/>
      <c r="O131" s="2505"/>
      <c r="P131" s="2505"/>
      <c r="Q131" s="2505"/>
    </row>
    <row r="132" spans="2:17" s="2097" customFormat="1">
      <c r="B132" s="2505"/>
      <c r="C132" s="2505"/>
      <c r="D132" s="2505"/>
      <c r="E132" s="2505"/>
      <c r="F132" s="2505"/>
      <c r="G132" s="2505"/>
      <c r="H132" s="2505"/>
      <c r="I132" s="2505"/>
      <c r="J132" s="2505"/>
      <c r="K132" s="2505"/>
      <c r="L132" s="2505"/>
      <c r="M132" s="2505"/>
      <c r="N132" s="2505"/>
      <c r="O132" s="2505"/>
      <c r="P132" s="2505"/>
      <c r="Q132" s="2505"/>
    </row>
    <row r="133" spans="2:17" s="2097" customFormat="1">
      <c r="B133" s="2505"/>
      <c r="C133" s="2505"/>
      <c r="D133" s="2505"/>
      <c r="E133" s="2505"/>
      <c r="F133" s="2505"/>
      <c r="G133" s="2505"/>
      <c r="H133" s="2505"/>
      <c r="I133" s="2505"/>
      <c r="J133" s="2505"/>
      <c r="K133" s="2505"/>
      <c r="L133" s="2505"/>
      <c r="M133" s="2505"/>
      <c r="N133" s="2505"/>
      <c r="O133" s="2505"/>
      <c r="P133" s="2505"/>
      <c r="Q133" s="2505"/>
    </row>
    <row r="134" spans="2:17" s="2097" customFormat="1">
      <c r="B134" s="2505"/>
      <c r="C134" s="2505"/>
      <c r="D134" s="2505"/>
      <c r="E134" s="2505"/>
      <c r="F134" s="2505"/>
      <c r="G134" s="2505"/>
      <c r="H134" s="2505"/>
      <c r="I134" s="2505"/>
      <c r="J134" s="2505"/>
      <c r="K134" s="2505"/>
      <c r="L134" s="2505"/>
      <c r="M134" s="2505"/>
      <c r="N134" s="2505"/>
      <c r="O134" s="2505"/>
      <c r="P134" s="2505"/>
      <c r="Q134" s="2505"/>
    </row>
    <row r="135" spans="2:17" s="2097" customFormat="1">
      <c r="B135" s="2505"/>
      <c r="C135" s="2505"/>
      <c r="D135" s="2505"/>
      <c r="E135" s="2505"/>
      <c r="F135" s="2505"/>
      <c r="G135" s="2505"/>
      <c r="H135" s="2505"/>
      <c r="I135" s="2505"/>
      <c r="J135" s="2505"/>
      <c r="K135" s="2505"/>
      <c r="L135" s="2505"/>
      <c r="M135" s="2505"/>
      <c r="N135" s="2505"/>
      <c r="O135" s="2505"/>
      <c r="P135" s="2505"/>
      <c r="Q135" s="2505"/>
    </row>
    <row r="136" spans="2:17" s="2097" customFormat="1">
      <c r="B136" s="2505"/>
      <c r="C136" s="2505"/>
      <c r="D136" s="2505"/>
      <c r="E136" s="2505"/>
      <c r="F136" s="2505"/>
      <c r="G136" s="2505"/>
      <c r="H136" s="2505"/>
      <c r="I136" s="2505"/>
      <c r="J136" s="2505"/>
      <c r="K136" s="2505"/>
      <c r="L136" s="2505"/>
      <c r="M136" s="2505"/>
      <c r="N136" s="2505"/>
      <c r="O136" s="2505"/>
      <c r="P136" s="2505"/>
      <c r="Q136" s="2505"/>
    </row>
    <row r="137" spans="2:17" s="2097" customFormat="1">
      <c r="B137" s="2505"/>
      <c r="C137" s="2505"/>
      <c r="D137" s="2505"/>
      <c r="E137" s="2505"/>
      <c r="F137" s="2505"/>
      <c r="G137" s="2505"/>
      <c r="H137" s="2505"/>
      <c r="I137" s="2505"/>
      <c r="J137" s="2505"/>
      <c r="K137" s="2505"/>
      <c r="L137" s="2505"/>
      <c r="M137" s="2505"/>
      <c r="N137" s="2505"/>
      <c r="O137" s="2505"/>
      <c r="P137" s="2505"/>
      <c r="Q137" s="2505"/>
    </row>
    <row r="138" spans="2:17" s="2097" customFormat="1">
      <c r="B138" s="2505"/>
      <c r="C138" s="2505"/>
      <c r="D138" s="2505"/>
      <c r="E138" s="2505"/>
      <c r="F138" s="2505"/>
      <c r="G138" s="2505"/>
      <c r="H138" s="2505"/>
      <c r="I138" s="2505"/>
      <c r="J138" s="2505"/>
      <c r="K138" s="2505"/>
      <c r="L138" s="2505"/>
      <c r="M138" s="2505"/>
      <c r="N138" s="2505"/>
      <c r="O138" s="2505"/>
      <c r="P138" s="2505"/>
      <c r="Q138" s="2505"/>
    </row>
    <row r="139" spans="2:17" s="2097" customFormat="1">
      <c r="B139" s="2505"/>
      <c r="C139" s="2505"/>
      <c r="D139" s="2505"/>
      <c r="E139" s="2505"/>
      <c r="F139" s="2505"/>
      <c r="G139" s="2505"/>
      <c r="H139" s="2505"/>
      <c r="I139" s="2505"/>
      <c r="J139" s="2505"/>
      <c r="K139" s="2505"/>
      <c r="L139" s="2505"/>
      <c r="M139" s="2505"/>
      <c r="N139" s="2505"/>
      <c r="O139" s="2505"/>
      <c r="P139" s="2505"/>
      <c r="Q139" s="2505"/>
    </row>
    <row r="140" spans="2:17" s="2097" customFormat="1">
      <c r="B140" s="2505"/>
      <c r="C140" s="2505"/>
      <c r="D140" s="2505"/>
      <c r="E140" s="2505"/>
      <c r="F140" s="2505"/>
      <c r="G140" s="2505"/>
      <c r="H140" s="2505"/>
      <c r="I140" s="2505"/>
      <c r="J140" s="2505"/>
      <c r="K140" s="2505"/>
      <c r="L140" s="2505"/>
      <c r="M140" s="2505"/>
      <c r="N140" s="2505"/>
      <c r="O140" s="2505"/>
      <c r="P140" s="2505"/>
      <c r="Q140" s="2505"/>
    </row>
    <row r="141" spans="2:17" s="2097" customFormat="1">
      <c r="B141" s="2505"/>
      <c r="C141" s="2505"/>
      <c r="D141" s="2505"/>
      <c r="E141" s="2505"/>
      <c r="F141" s="2505"/>
      <c r="G141" s="2505"/>
      <c r="H141" s="2505"/>
      <c r="I141" s="2505"/>
      <c r="J141" s="2505"/>
      <c r="K141" s="2505"/>
      <c r="L141" s="2505"/>
      <c r="M141" s="2505"/>
      <c r="N141" s="2505"/>
      <c r="O141" s="2505"/>
      <c r="P141" s="2505"/>
      <c r="Q141" s="2505"/>
    </row>
    <row r="142" spans="2:17" s="2097" customFormat="1">
      <c r="B142" s="2505"/>
      <c r="C142" s="2505"/>
      <c r="D142" s="2505"/>
      <c r="E142" s="2505"/>
      <c r="F142" s="2505"/>
      <c r="G142" s="2505"/>
      <c r="H142" s="2505"/>
      <c r="I142" s="2505"/>
      <c r="J142" s="2505"/>
      <c r="K142" s="2505"/>
      <c r="L142" s="2505"/>
      <c r="M142" s="2505"/>
      <c r="N142" s="2505"/>
      <c r="O142" s="2505"/>
      <c r="P142" s="2505"/>
      <c r="Q142" s="2505"/>
    </row>
    <row r="143" spans="2:17" s="2097" customFormat="1">
      <c r="B143" s="2505"/>
      <c r="C143" s="2505"/>
      <c r="D143" s="2505"/>
      <c r="E143" s="2505"/>
      <c r="F143" s="2505"/>
      <c r="G143" s="2505"/>
      <c r="H143" s="2505"/>
      <c r="I143" s="2505"/>
      <c r="J143" s="2505"/>
      <c r="K143" s="2505"/>
      <c r="L143" s="2505"/>
      <c r="M143" s="2505"/>
      <c r="N143" s="2505"/>
      <c r="O143" s="2505"/>
      <c r="P143" s="2505"/>
      <c r="Q143" s="2505"/>
    </row>
    <row r="144" spans="2:17" s="2097" customFormat="1">
      <c r="B144" s="2505"/>
      <c r="C144" s="2505"/>
      <c r="D144" s="2505"/>
      <c r="E144" s="2505"/>
      <c r="F144" s="2505"/>
      <c r="G144" s="2505"/>
      <c r="H144" s="2505"/>
      <c r="I144" s="2505"/>
      <c r="J144" s="2505"/>
      <c r="K144" s="2505"/>
      <c r="L144" s="2505"/>
      <c r="M144" s="2505"/>
      <c r="N144" s="2505"/>
      <c r="O144" s="2505"/>
      <c r="P144" s="2505"/>
      <c r="Q144" s="2505"/>
    </row>
    <row r="145" spans="2:17" s="2097" customFormat="1">
      <c r="B145" s="2505"/>
      <c r="C145" s="2505"/>
      <c r="D145" s="2505"/>
      <c r="E145" s="2505"/>
      <c r="F145" s="2505"/>
      <c r="G145" s="2505"/>
      <c r="H145" s="2505"/>
      <c r="I145" s="2505"/>
      <c r="J145" s="2505"/>
      <c r="K145" s="2505"/>
      <c r="L145" s="2505"/>
      <c r="M145" s="2505"/>
      <c r="N145" s="2505"/>
      <c r="O145" s="2505"/>
      <c r="P145" s="2505"/>
      <c r="Q145" s="2505"/>
    </row>
    <row r="146" spans="2:17" s="2097" customFormat="1">
      <c r="B146" s="2505"/>
      <c r="C146" s="2505"/>
      <c r="D146" s="2505"/>
      <c r="E146" s="2505"/>
      <c r="F146" s="2505"/>
      <c r="G146" s="2505"/>
      <c r="H146" s="2505"/>
      <c r="I146" s="2505"/>
      <c r="J146" s="2505"/>
      <c r="K146" s="2505"/>
      <c r="L146" s="2505"/>
      <c r="M146" s="2505"/>
      <c r="N146" s="2505"/>
      <c r="O146" s="2505"/>
      <c r="P146" s="2505"/>
      <c r="Q146" s="2505"/>
    </row>
    <row r="147" spans="2:17" s="2097" customFormat="1">
      <c r="B147" s="2505"/>
      <c r="C147" s="2505"/>
      <c r="D147" s="2505"/>
      <c r="E147" s="2505"/>
      <c r="F147" s="2505"/>
      <c r="G147" s="2505"/>
      <c r="H147" s="2505"/>
      <c r="I147" s="2505"/>
      <c r="J147" s="2505"/>
      <c r="K147" s="2505"/>
      <c r="L147" s="2505"/>
      <c r="M147" s="2505"/>
      <c r="N147" s="2505"/>
      <c r="O147" s="2505"/>
      <c r="P147" s="2505"/>
      <c r="Q147" s="2505"/>
    </row>
    <row r="148" spans="2:17" s="2097" customFormat="1">
      <c r="B148" s="2505"/>
      <c r="C148" s="2505"/>
      <c r="D148" s="2505"/>
      <c r="E148" s="2505"/>
      <c r="F148" s="2505"/>
      <c r="G148" s="2505"/>
      <c r="H148" s="2505"/>
      <c r="I148" s="2505"/>
      <c r="J148" s="2505"/>
      <c r="K148" s="2505"/>
      <c r="L148" s="2505"/>
      <c r="M148" s="2505"/>
      <c r="N148" s="2505"/>
      <c r="O148" s="2505"/>
      <c r="P148" s="2505"/>
      <c r="Q148" s="2505"/>
    </row>
    <row r="149" spans="2:17" s="2097" customFormat="1">
      <c r="B149" s="2505"/>
      <c r="C149" s="2505"/>
      <c r="D149" s="2505"/>
      <c r="E149" s="2505"/>
      <c r="F149" s="2505"/>
      <c r="G149" s="2505"/>
      <c r="H149" s="2505"/>
      <c r="I149" s="2505"/>
      <c r="J149" s="2505"/>
      <c r="K149" s="2505"/>
      <c r="L149" s="2505"/>
      <c r="M149" s="2505"/>
      <c r="N149" s="2505"/>
      <c r="O149" s="2505"/>
      <c r="P149" s="2505"/>
      <c r="Q149" s="2505"/>
    </row>
    <row r="150" spans="2:17" s="2097" customFormat="1">
      <c r="B150" s="2505"/>
      <c r="C150" s="2505"/>
      <c r="D150" s="2505"/>
      <c r="E150" s="2505"/>
      <c r="F150" s="2505"/>
      <c r="G150" s="2505"/>
      <c r="H150" s="2505"/>
      <c r="I150" s="2505"/>
      <c r="J150" s="2505"/>
      <c r="K150" s="2505"/>
      <c r="L150" s="2505"/>
      <c r="M150" s="2505"/>
      <c r="N150" s="2505"/>
      <c r="O150" s="2505"/>
      <c r="P150" s="2505"/>
      <c r="Q150" s="2505"/>
    </row>
    <row r="151" spans="2:17" s="2097" customFormat="1">
      <c r="B151" s="2505"/>
      <c r="C151" s="2505"/>
      <c r="D151" s="2505"/>
      <c r="E151" s="2505"/>
      <c r="F151" s="2505"/>
      <c r="G151" s="2505"/>
      <c r="H151" s="2505"/>
      <c r="I151" s="2505"/>
      <c r="J151" s="2505"/>
      <c r="K151" s="2505"/>
      <c r="L151" s="2505"/>
      <c r="M151" s="2505"/>
      <c r="N151" s="2505"/>
      <c r="O151" s="2505"/>
      <c r="P151" s="2505"/>
      <c r="Q151" s="2505"/>
    </row>
    <row r="152" spans="2:17" s="2097" customFormat="1">
      <c r="B152" s="2505"/>
      <c r="C152" s="2505"/>
      <c r="D152" s="2505"/>
      <c r="E152" s="2505"/>
      <c r="F152" s="2505"/>
      <c r="G152" s="2505"/>
      <c r="H152" s="2505"/>
      <c r="I152" s="2505"/>
      <c r="J152" s="2505"/>
      <c r="K152" s="2505"/>
      <c r="L152" s="2505"/>
      <c r="M152" s="2505"/>
      <c r="N152" s="2505"/>
      <c r="O152" s="2505"/>
      <c r="P152" s="2505"/>
      <c r="Q152" s="2505"/>
    </row>
    <row r="153" spans="2:17" s="2097" customFormat="1">
      <c r="B153" s="2505"/>
      <c r="C153" s="2505"/>
      <c r="D153" s="2505"/>
      <c r="E153" s="2505"/>
      <c r="F153" s="2505"/>
      <c r="G153" s="2505"/>
      <c r="H153" s="2505"/>
      <c r="I153" s="2505"/>
      <c r="J153" s="2505"/>
      <c r="K153" s="2505"/>
      <c r="L153" s="2505"/>
      <c r="M153" s="2505"/>
      <c r="N153" s="2505"/>
      <c r="O153" s="2505"/>
      <c r="P153" s="2505"/>
      <c r="Q153" s="2505"/>
    </row>
    <row r="154" spans="2:17" s="2097" customFormat="1">
      <c r="B154" s="2505"/>
      <c r="C154" s="2505"/>
      <c r="D154" s="2505"/>
      <c r="E154" s="2505"/>
      <c r="F154" s="2505"/>
      <c r="G154" s="2505"/>
      <c r="H154" s="2505"/>
      <c r="I154" s="2505"/>
      <c r="J154" s="2505"/>
      <c r="K154" s="2505"/>
      <c r="L154" s="2505"/>
      <c r="M154" s="2505"/>
      <c r="N154" s="2505"/>
      <c r="O154" s="2505"/>
      <c r="P154" s="2505"/>
      <c r="Q154" s="2505"/>
    </row>
    <row r="155" spans="2:17" s="2097" customFormat="1">
      <c r="B155" s="2505"/>
      <c r="C155" s="2505"/>
      <c r="D155" s="2505"/>
      <c r="E155" s="2505"/>
      <c r="F155" s="2505"/>
      <c r="G155" s="2505"/>
      <c r="H155" s="2505"/>
      <c r="I155" s="2505"/>
      <c r="J155" s="2505"/>
      <c r="K155" s="2505"/>
      <c r="L155" s="2505"/>
      <c r="M155" s="2505"/>
      <c r="N155" s="2505"/>
      <c r="O155" s="2505"/>
      <c r="P155" s="2505"/>
      <c r="Q155" s="2505"/>
    </row>
    <row r="156" spans="2:17" s="2097" customFormat="1">
      <c r="B156" s="2505"/>
      <c r="C156" s="2505"/>
      <c r="D156" s="2505"/>
      <c r="E156" s="2505"/>
      <c r="F156" s="2505"/>
      <c r="G156" s="2505"/>
      <c r="H156" s="2505"/>
      <c r="I156" s="2505"/>
      <c r="J156" s="2505"/>
      <c r="K156" s="2505"/>
      <c r="L156" s="2505"/>
      <c r="M156" s="2505"/>
      <c r="N156" s="2505"/>
      <c r="O156" s="2505"/>
      <c r="P156" s="2505"/>
      <c r="Q156" s="2505"/>
    </row>
    <row r="157" spans="2:17" s="2097" customFormat="1">
      <c r="B157" s="2505"/>
      <c r="C157" s="2505"/>
      <c r="D157" s="2505"/>
      <c r="E157" s="2505"/>
      <c r="F157" s="2505"/>
      <c r="G157" s="2505"/>
      <c r="H157" s="2505"/>
      <c r="I157" s="2505"/>
      <c r="J157" s="2505"/>
      <c r="K157" s="2505"/>
      <c r="L157" s="2505"/>
      <c r="M157" s="2505"/>
      <c r="N157" s="2505"/>
      <c r="O157" s="2505"/>
      <c r="P157" s="2505"/>
      <c r="Q157" s="2505"/>
    </row>
    <row r="158" spans="2:17" s="2097" customFormat="1">
      <c r="B158" s="2505"/>
      <c r="C158" s="2505"/>
      <c r="D158" s="2505"/>
      <c r="E158" s="2505"/>
      <c r="F158" s="2505"/>
      <c r="G158" s="2505"/>
      <c r="H158" s="2505"/>
      <c r="I158" s="2505"/>
      <c r="J158" s="2505"/>
      <c r="K158" s="2505"/>
      <c r="L158" s="2505"/>
      <c r="M158" s="2505"/>
      <c r="N158" s="2505"/>
      <c r="O158" s="2505"/>
      <c r="P158" s="2505"/>
      <c r="Q158" s="2505"/>
    </row>
    <row r="159" spans="2:17" s="2097" customFormat="1">
      <c r="B159" s="2505"/>
      <c r="C159" s="2505"/>
      <c r="D159" s="2505"/>
      <c r="E159" s="2505"/>
      <c r="F159" s="2505"/>
      <c r="G159" s="2505"/>
      <c r="H159" s="2505"/>
      <c r="I159" s="2505"/>
      <c r="J159" s="2505"/>
      <c r="K159" s="2505"/>
      <c r="L159" s="2505"/>
      <c r="M159" s="2505"/>
      <c r="N159" s="2505"/>
      <c r="O159" s="2505"/>
      <c r="P159" s="2505"/>
      <c r="Q159" s="2505"/>
    </row>
    <row r="160" spans="2:17" s="2097" customFormat="1">
      <c r="B160" s="2505"/>
      <c r="C160" s="2505"/>
      <c r="D160" s="2505"/>
      <c r="E160" s="2505"/>
      <c r="F160" s="2505"/>
      <c r="G160" s="2505"/>
      <c r="H160" s="2505"/>
      <c r="I160" s="2505"/>
      <c r="J160" s="2505"/>
      <c r="K160" s="2505"/>
      <c r="L160" s="2505"/>
      <c r="M160" s="2505"/>
      <c r="N160" s="2505"/>
      <c r="O160" s="2505"/>
      <c r="P160" s="2505"/>
      <c r="Q160" s="2505"/>
    </row>
    <row r="161" spans="2:17" s="2097" customFormat="1">
      <c r="B161" s="2505"/>
      <c r="C161" s="2505"/>
      <c r="D161" s="2505"/>
      <c r="E161" s="2505"/>
      <c r="F161" s="2505"/>
      <c r="G161" s="2505"/>
      <c r="H161" s="2505"/>
      <c r="I161" s="2505"/>
      <c r="J161" s="2505"/>
      <c r="K161" s="2505"/>
      <c r="L161" s="2505"/>
      <c r="M161" s="2505"/>
      <c r="N161" s="2505"/>
      <c r="O161" s="2505"/>
      <c r="P161" s="2505"/>
      <c r="Q161" s="2505"/>
    </row>
    <row r="162" spans="2:17" s="2097" customFormat="1">
      <c r="B162" s="2505"/>
      <c r="C162" s="2505"/>
      <c r="D162" s="2505"/>
      <c r="E162" s="2505"/>
      <c r="F162" s="2505"/>
      <c r="G162" s="2505"/>
      <c r="H162" s="2505"/>
      <c r="I162" s="2505"/>
      <c r="J162" s="2505"/>
      <c r="K162" s="2505"/>
      <c r="L162" s="2505"/>
      <c r="M162" s="2505"/>
      <c r="N162" s="2505"/>
      <c r="O162" s="2505"/>
      <c r="P162" s="2505"/>
      <c r="Q162" s="2505"/>
    </row>
    <row r="163" spans="2:17" s="2097" customFormat="1">
      <c r="B163" s="2505"/>
      <c r="C163" s="2505"/>
      <c r="D163" s="2505"/>
      <c r="E163" s="2505"/>
      <c r="F163" s="2505"/>
      <c r="G163" s="2505"/>
      <c r="H163" s="2505"/>
      <c r="I163" s="2505"/>
      <c r="J163" s="2505"/>
      <c r="K163" s="2505"/>
      <c r="L163" s="2505"/>
      <c r="M163" s="2505"/>
      <c r="N163" s="2505"/>
      <c r="O163" s="2505"/>
      <c r="P163" s="2505"/>
      <c r="Q163" s="2505"/>
    </row>
    <row r="164" spans="2:17" s="2097" customFormat="1">
      <c r="B164" s="2505"/>
      <c r="C164" s="2505"/>
      <c r="D164" s="2505"/>
      <c r="E164" s="2505"/>
      <c r="F164" s="2505"/>
      <c r="G164" s="2505"/>
      <c r="H164" s="2505"/>
      <c r="I164" s="2505"/>
      <c r="J164" s="2505"/>
      <c r="K164" s="2505"/>
      <c r="L164" s="2505"/>
      <c r="M164" s="2505"/>
      <c r="N164" s="2505"/>
      <c r="O164" s="2505"/>
      <c r="P164" s="2505"/>
      <c r="Q164" s="2505"/>
    </row>
    <row r="165" spans="2:17" s="2097" customFormat="1">
      <c r="B165" s="2505"/>
      <c r="C165" s="2505"/>
      <c r="D165" s="2505"/>
      <c r="E165" s="2505"/>
      <c r="F165" s="2505"/>
      <c r="G165" s="2505"/>
      <c r="H165" s="2505"/>
      <c r="I165" s="2505"/>
      <c r="J165" s="2505"/>
      <c r="K165" s="2505"/>
      <c r="L165" s="2505"/>
      <c r="M165" s="2505"/>
      <c r="N165" s="2505"/>
      <c r="O165" s="2505"/>
      <c r="P165" s="2505"/>
      <c r="Q165" s="2505"/>
    </row>
    <row r="166" spans="2:17" s="2097" customFormat="1">
      <c r="B166" s="2505"/>
      <c r="C166" s="2505"/>
      <c r="D166" s="2505"/>
      <c r="E166" s="2505"/>
      <c r="F166" s="2505"/>
      <c r="G166" s="2505"/>
      <c r="H166" s="2505"/>
      <c r="I166" s="2505"/>
      <c r="J166" s="2505"/>
      <c r="K166" s="2505"/>
      <c r="L166" s="2505"/>
      <c r="M166" s="2505"/>
      <c r="N166" s="2505"/>
      <c r="O166" s="2505"/>
      <c r="P166" s="2505"/>
      <c r="Q166" s="2505"/>
    </row>
    <row r="167" spans="2:17" s="2097" customFormat="1">
      <c r="B167" s="2505"/>
      <c r="C167" s="2505"/>
      <c r="D167" s="2505"/>
      <c r="E167" s="2505"/>
      <c r="F167" s="2505"/>
      <c r="G167" s="2505"/>
      <c r="H167" s="2505"/>
      <c r="I167" s="2505"/>
      <c r="J167" s="2505"/>
      <c r="K167" s="2505"/>
      <c r="L167" s="2505"/>
      <c r="M167" s="2505"/>
      <c r="N167" s="2505"/>
      <c r="O167" s="2505"/>
      <c r="P167" s="2505"/>
      <c r="Q167" s="2505"/>
    </row>
    <row r="168" spans="2:17" s="2097" customFormat="1">
      <c r="B168" s="2505"/>
      <c r="C168" s="2505"/>
      <c r="D168" s="2505"/>
      <c r="E168" s="2505"/>
      <c r="F168" s="2505"/>
      <c r="G168" s="2505"/>
      <c r="H168" s="2505"/>
      <c r="I168" s="2505"/>
      <c r="J168" s="2505"/>
      <c r="K168" s="2505"/>
      <c r="L168" s="2505"/>
      <c r="M168" s="2505"/>
      <c r="N168" s="2505"/>
      <c r="O168" s="2505"/>
      <c r="P168" s="2505"/>
      <c r="Q168" s="2505"/>
    </row>
    <row r="169" spans="2:17" s="2097" customFormat="1">
      <c r="B169" s="2505"/>
      <c r="C169" s="2505"/>
      <c r="D169" s="2505"/>
      <c r="E169" s="2505"/>
      <c r="F169" s="2505"/>
      <c r="G169" s="2505"/>
      <c r="H169" s="2505"/>
      <c r="I169" s="2505"/>
      <c r="J169" s="2505"/>
      <c r="K169" s="2505"/>
      <c r="L169" s="2505"/>
      <c r="M169" s="2505"/>
      <c r="N169" s="2505"/>
      <c r="O169" s="2505"/>
      <c r="P169" s="2505"/>
      <c r="Q169" s="2505"/>
    </row>
    <row r="170" spans="2:17" s="2097" customFormat="1">
      <c r="B170" s="2505"/>
      <c r="C170" s="2505"/>
      <c r="D170" s="2505"/>
      <c r="E170" s="2505"/>
      <c r="F170" s="2505"/>
      <c r="G170" s="2505"/>
      <c r="H170" s="2505"/>
      <c r="I170" s="2505"/>
      <c r="J170" s="2505"/>
      <c r="K170" s="2505"/>
      <c r="L170" s="2505"/>
      <c r="M170" s="2505"/>
      <c r="N170" s="2505"/>
      <c r="O170" s="2505"/>
      <c r="P170" s="2505"/>
      <c r="Q170" s="2505"/>
    </row>
    <row r="171" spans="2:17" s="2097" customFormat="1">
      <c r="B171" s="2505"/>
      <c r="C171" s="2505"/>
      <c r="D171" s="2505"/>
      <c r="E171" s="2505"/>
      <c r="F171" s="2505"/>
      <c r="G171" s="2505"/>
      <c r="H171" s="2505"/>
      <c r="I171" s="2505"/>
      <c r="J171" s="2505"/>
      <c r="K171" s="2505"/>
      <c r="L171" s="2505"/>
      <c r="M171" s="2505"/>
      <c r="N171" s="2505"/>
      <c r="O171" s="2505"/>
      <c r="P171" s="2505"/>
      <c r="Q171" s="2505"/>
    </row>
    <row r="172" spans="2:17" s="2097" customFormat="1">
      <c r="B172" s="2505"/>
      <c r="C172" s="2505"/>
      <c r="D172" s="2505"/>
      <c r="E172" s="2505"/>
      <c r="F172" s="2505"/>
      <c r="G172" s="2505"/>
      <c r="H172" s="2505"/>
      <c r="I172" s="2505"/>
      <c r="J172" s="2505"/>
      <c r="K172" s="2505"/>
      <c r="L172" s="2505"/>
      <c r="M172" s="2505"/>
      <c r="N172" s="2505"/>
      <c r="O172" s="2505"/>
      <c r="P172" s="2505"/>
      <c r="Q172" s="2505"/>
    </row>
    <row r="173" spans="2:17" s="2097" customFormat="1">
      <c r="B173" s="2505"/>
      <c r="C173" s="2505"/>
      <c r="D173" s="2505"/>
      <c r="E173" s="2505"/>
      <c r="F173" s="2505"/>
      <c r="G173" s="2505"/>
      <c r="H173" s="2505"/>
      <c r="I173" s="2505"/>
      <c r="J173" s="2505"/>
      <c r="K173" s="2505"/>
      <c r="L173" s="2505"/>
      <c r="M173" s="2505"/>
      <c r="N173" s="2505"/>
      <c r="O173" s="2505"/>
      <c r="P173" s="2505"/>
      <c r="Q173" s="2505"/>
    </row>
    <row r="174" spans="2:17" s="2097" customFormat="1">
      <c r="B174" s="2505"/>
      <c r="C174" s="2505"/>
      <c r="D174" s="2505"/>
      <c r="E174" s="2505"/>
      <c r="F174" s="2505"/>
      <c r="G174" s="2505"/>
      <c r="H174" s="2505"/>
      <c r="I174" s="2505"/>
      <c r="J174" s="2505"/>
      <c r="K174" s="2505"/>
      <c r="L174" s="2505"/>
      <c r="M174" s="2505"/>
      <c r="N174" s="2505"/>
      <c r="O174" s="2505"/>
      <c r="P174" s="2505"/>
      <c r="Q174" s="2505"/>
    </row>
    <row r="175" spans="2:17" s="2097" customFormat="1">
      <c r="B175" s="2505"/>
      <c r="C175" s="2505"/>
      <c r="D175" s="2505"/>
      <c r="E175" s="2505"/>
      <c r="F175" s="2505"/>
      <c r="G175" s="2505"/>
      <c r="H175" s="2505"/>
      <c r="I175" s="2505"/>
      <c r="J175" s="2505"/>
      <c r="K175" s="2505"/>
      <c r="L175" s="2505"/>
      <c r="M175" s="2505"/>
      <c r="N175" s="2505"/>
      <c r="O175" s="2505"/>
      <c r="P175" s="2505"/>
      <c r="Q175" s="2505"/>
    </row>
    <row r="176" spans="2:17" s="2097" customFormat="1">
      <c r="B176" s="2505"/>
      <c r="C176" s="2505"/>
      <c r="D176" s="2505"/>
      <c r="E176" s="2505"/>
      <c r="F176" s="2505"/>
      <c r="G176" s="2505"/>
      <c r="H176" s="2505"/>
      <c r="I176" s="2505"/>
      <c r="J176" s="2505"/>
      <c r="K176" s="2505"/>
      <c r="L176" s="2505"/>
      <c r="M176" s="2505"/>
      <c r="N176" s="2505"/>
      <c r="O176" s="2505"/>
      <c r="P176" s="2505"/>
      <c r="Q176" s="2505"/>
    </row>
    <row r="177" spans="1:17" s="2097" customFormat="1">
      <c r="B177" s="2505"/>
      <c r="C177" s="2505"/>
      <c r="D177" s="2505"/>
      <c r="E177" s="2505"/>
      <c r="F177" s="2505"/>
      <c r="G177" s="2505"/>
      <c r="H177" s="2505"/>
      <c r="I177" s="2505"/>
      <c r="J177" s="2505"/>
      <c r="K177" s="2505"/>
      <c r="L177" s="2505"/>
      <c r="M177" s="2505"/>
      <c r="N177" s="2505"/>
      <c r="O177" s="2505"/>
      <c r="P177" s="2505"/>
      <c r="Q177" s="2505"/>
    </row>
    <row r="178" spans="1:17" s="2097" customFormat="1">
      <c r="B178" s="2505"/>
      <c r="C178" s="2505"/>
      <c r="D178" s="2505"/>
      <c r="E178" s="2505"/>
      <c r="F178" s="2505"/>
      <c r="G178" s="2505"/>
      <c r="H178" s="2505"/>
      <c r="I178" s="2505"/>
      <c r="J178" s="2505"/>
      <c r="K178" s="2505"/>
      <c r="L178" s="2505"/>
      <c r="M178" s="2505"/>
      <c r="N178" s="2505"/>
      <c r="O178" s="2505"/>
      <c r="P178" s="2505"/>
      <c r="Q178" s="2505"/>
    </row>
    <row r="179" spans="1:17" s="2097" customFormat="1">
      <c r="B179" s="2505"/>
      <c r="C179" s="2505"/>
      <c r="D179" s="2505"/>
      <c r="E179" s="2505"/>
      <c r="F179" s="2505"/>
      <c r="G179" s="2505"/>
      <c r="H179" s="2505"/>
      <c r="I179" s="2505"/>
      <c r="J179" s="2505"/>
      <c r="K179" s="2505"/>
      <c r="L179" s="2505"/>
      <c r="M179" s="2505"/>
      <c r="N179" s="2505"/>
      <c r="O179" s="2505"/>
      <c r="P179" s="2505"/>
      <c r="Q179" s="2505"/>
    </row>
    <row r="180" spans="1:17" s="2097" customFormat="1">
      <c r="B180" s="2505"/>
      <c r="C180" s="2505"/>
      <c r="D180" s="2505"/>
      <c r="E180" s="2505"/>
      <c r="F180" s="2505"/>
      <c r="G180" s="2505"/>
      <c r="H180" s="2505"/>
      <c r="I180" s="2505"/>
      <c r="J180" s="2505"/>
      <c r="K180" s="2505"/>
      <c r="L180" s="2505"/>
      <c r="M180" s="2505"/>
      <c r="N180" s="2505"/>
      <c r="O180" s="2505"/>
      <c r="P180" s="2505"/>
      <c r="Q180" s="2505"/>
    </row>
    <row r="181" spans="1:17" s="2097" customFormat="1">
      <c r="B181" s="2505"/>
      <c r="C181" s="2505"/>
      <c r="D181" s="2505"/>
      <c r="E181" s="2505"/>
      <c r="F181" s="2505"/>
      <c r="G181" s="2505"/>
      <c r="H181" s="2505"/>
      <c r="I181" s="2505"/>
      <c r="J181" s="2505"/>
      <c r="K181" s="2505"/>
      <c r="L181" s="2505"/>
      <c r="M181" s="2505"/>
      <c r="N181" s="2505"/>
      <c r="O181" s="2505"/>
      <c r="P181" s="2505"/>
      <c r="Q181" s="2505"/>
    </row>
    <row r="182" spans="1:17" s="2097" customFormat="1">
      <c r="B182" s="2505"/>
      <c r="C182" s="2505"/>
      <c r="D182" s="2505"/>
      <c r="E182" s="2505"/>
      <c r="F182" s="2505"/>
      <c r="G182" s="2505"/>
      <c r="H182" s="2505"/>
      <c r="I182" s="2505"/>
      <c r="J182" s="2505"/>
      <c r="K182" s="2505"/>
      <c r="L182" s="2505"/>
      <c r="M182" s="2505"/>
      <c r="N182" s="2505"/>
      <c r="O182" s="2505"/>
      <c r="P182" s="2505"/>
      <c r="Q182" s="2505"/>
    </row>
    <row r="183" spans="1:17" s="2097" customFormat="1">
      <c r="B183" s="2505"/>
      <c r="C183" s="2505"/>
      <c r="D183" s="2505"/>
      <c r="E183" s="2505"/>
      <c r="F183" s="2505"/>
      <c r="G183" s="2505"/>
      <c r="H183" s="2505"/>
      <c r="I183" s="2505"/>
      <c r="J183" s="2505"/>
      <c r="K183" s="2505"/>
      <c r="L183" s="2505"/>
      <c r="M183" s="2505"/>
      <c r="N183" s="2505"/>
      <c r="O183" s="2505"/>
      <c r="P183" s="2505"/>
      <c r="Q183" s="2505"/>
    </row>
    <row r="184" spans="1:17" s="2097" customFormat="1">
      <c r="B184" s="2505"/>
      <c r="C184" s="2505"/>
      <c r="D184" s="2505"/>
      <c r="E184" s="2505"/>
      <c r="F184" s="2505"/>
      <c r="G184" s="2505"/>
      <c r="H184" s="2505"/>
      <c r="I184" s="2505"/>
      <c r="J184" s="2505"/>
      <c r="K184" s="2505"/>
      <c r="L184" s="2505"/>
      <c r="M184" s="2505"/>
      <c r="N184" s="2505"/>
      <c r="O184" s="2505"/>
      <c r="P184" s="2505"/>
      <c r="Q184" s="2505"/>
    </row>
    <row r="185" spans="1:17" s="2097" customFormat="1">
      <c r="B185" s="2505"/>
      <c r="C185" s="2505"/>
      <c r="D185" s="2505"/>
      <c r="E185" s="2505"/>
      <c r="F185" s="2505"/>
      <c r="G185" s="2505"/>
      <c r="H185" s="2505"/>
      <c r="I185" s="2505"/>
      <c r="J185" s="2505"/>
      <c r="K185" s="2505"/>
      <c r="L185" s="2505"/>
      <c r="M185" s="2505"/>
      <c r="N185" s="2505"/>
      <c r="O185" s="2505"/>
      <c r="P185" s="2505"/>
      <c r="Q185" s="2505"/>
    </row>
    <row r="186" spans="1:17">
      <c r="A186" s="2097"/>
      <c r="B186" s="2505"/>
      <c r="C186" s="2505"/>
      <c r="E186" s="2505"/>
      <c r="F186" s="2505"/>
      <c r="G186" s="2505"/>
    </row>
    <row r="187" spans="1:17">
      <c r="A187" s="2097"/>
      <c r="B187" s="2505"/>
      <c r="C187" s="2505"/>
      <c r="E187" s="2505"/>
      <c r="F187" s="2505"/>
      <c r="G187" s="250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12" sqref="I12"/>
    </sheetView>
  </sheetViews>
  <sheetFormatPr defaultColWidth="9" defaultRowHeight="14.4"/>
  <cols>
    <col min="1" max="1" width="25" style="2489" customWidth="1"/>
    <col min="2" max="9" width="15.77734375" style="2489" customWidth="1"/>
    <col min="10" max="16384" width="9" style="2489"/>
  </cols>
  <sheetData>
    <row r="1" spans="1:11" ht="16.2">
      <c r="A1" s="2490" t="s">
        <v>873</v>
      </c>
      <c r="B1" s="2490">
        <f>SUM(B14:B23)</f>
        <v>154306.03</v>
      </c>
      <c r="C1" s="2491"/>
      <c r="D1" s="2491"/>
      <c r="E1" s="2491"/>
      <c r="F1" s="2491"/>
      <c r="G1" s="2492"/>
      <c r="H1" s="2492"/>
      <c r="I1" s="2492"/>
      <c r="J1" s="2492"/>
      <c r="K1" s="2492"/>
    </row>
    <row r="2" spans="1:11" ht="16.2">
      <c r="A2" s="2490" t="s">
        <v>874</v>
      </c>
      <c r="B2" s="2490">
        <f>SUM(C14:C23)</f>
        <v>42276.47</v>
      </c>
      <c r="C2" s="2491"/>
      <c r="D2" s="2491"/>
      <c r="E2" s="2491"/>
      <c r="F2" s="2491"/>
      <c r="G2" s="2492"/>
      <c r="H2" s="2492"/>
      <c r="I2" s="2492"/>
      <c r="J2" s="2492"/>
      <c r="K2" s="2492"/>
    </row>
    <row r="3" spans="1:11" ht="15.6">
      <c r="A3" s="2490" t="s">
        <v>875</v>
      </c>
      <c r="B3" s="2493">
        <f>项目基本情况!D3</f>
        <v>46026</v>
      </c>
      <c r="C3" s="2491"/>
      <c r="D3" s="2491"/>
      <c r="E3" s="2491"/>
      <c r="F3" s="2491"/>
      <c r="G3" s="2492"/>
      <c r="H3" s="2492"/>
      <c r="I3" s="2492"/>
      <c r="J3" s="2492"/>
      <c r="K3" s="2492"/>
    </row>
    <row r="4" spans="1:11" ht="31.2">
      <c r="A4" s="2490" t="s">
        <v>876</v>
      </c>
      <c r="B4" s="2490" t="s">
        <v>877</v>
      </c>
      <c r="C4" s="2490" t="s">
        <v>878</v>
      </c>
      <c r="D4" s="2490" t="s">
        <v>879</v>
      </c>
      <c r="E4" s="2491"/>
      <c r="F4" s="2492"/>
      <c r="G4" s="2492"/>
      <c r="H4" s="2492"/>
      <c r="I4" s="2492"/>
      <c r="J4" s="2492"/>
      <c r="K4" s="2492"/>
    </row>
    <row r="5" spans="1:11" ht="15.6">
      <c r="A5" s="2490" t="s">
        <v>880</v>
      </c>
      <c r="B5" s="2490">
        <f ca="1">SUM(D14:D23)</f>
        <v>341568</v>
      </c>
      <c r="C5" s="2490">
        <f ca="1">IF(B5=D14,结果表!H102,ROUND(B5*10000/$B$1,0))</f>
        <v>22136</v>
      </c>
      <c r="D5" s="2490">
        <f ca="1">ROUND(B5*10000/$B$2,0)</f>
        <v>80794</v>
      </c>
      <c r="E5" s="2491"/>
      <c r="F5" s="2492"/>
      <c r="G5" s="2492"/>
      <c r="H5" s="2492"/>
      <c r="I5" s="2492"/>
      <c r="J5" s="2492"/>
      <c r="K5" s="2492"/>
    </row>
    <row r="6" spans="1:11" ht="15.6">
      <c r="A6" s="2490" t="s">
        <v>881</v>
      </c>
      <c r="B6" s="2490">
        <f ca="1">SUM(G14:G23)</f>
        <v>341568</v>
      </c>
      <c r="C6" s="2490">
        <f ca="1">IF(B6=G14,结果表!H108,ROUND(B6*10000/$B$1,0))</f>
        <v>22136</v>
      </c>
      <c r="D6" s="2490">
        <f ca="1">ROUND(B6*10000/$B$2,0)</f>
        <v>80794</v>
      </c>
      <c r="E6" s="2491"/>
      <c r="F6" s="2492"/>
      <c r="G6" s="2492"/>
      <c r="H6" s="2492"/>
      <c r="I6" s="2492"/>
      <c r="J6" s="2492"/>
      <c r="K6" s="2492"/>
    </row>
    <row r="7" spans="1:11" ht="15.6">
      <c r="A7" s="2490" t="s">
        <v>882</v>
      </c>
      <c r="B7" s="2490">
        <f>SUM(H14:H23)</f>
        <v>0</v>
      </c>
      <c r="C7" s="2490" t="str">
        <f>IF(B7=H14,结果表!H110,ROUND(B7*10000/$B$1,0))</f>
        <v>——</v>
      </c>
      <c r="D7" s="2490">
        <f>ROUND(B7*10000/$B$2,0)</f>
        <v>0</v>
      </c>
      <c r="E7" s="2491"/>
      <c r="F7" s="2492"/>
      <c r="G7" s="2492"/>
      <c r="H7" s="2492"/>
      <c r="I7" s="2492"/>
      <c r="J7" s="2492"/>
      <c r="K7" s="2492"/>
    </row>
    <row r="8" spans="1:11" ht="15.6">
      <c r="A8" s="2490" t="s">
        <v>374</v>
      </c>
      <c r="B8" s="2490">
        <f>SUM(I14:I23)</f>
        <v>0</v>
      </c>
      <c r="C8" s="2490" t="str">
        <f>IF(B8=I14,结果表!H112,ROUND(B8*10000/$B$1,0))</f>
        <v>——</v>
      </c>
      <c r="D8" s="2490">
        <f>ROUND(B8*10000/$B$2,0)</f>
        <v>0</v>
      </c>
      <c r="E8" s="2491"/>
      <c r="F8" s="2492"/>
      <c r="G8" s="2492"/>
      <c r="H8" s="2492"/>
      <c r="I8" s="2492"/>
      <c r="J8" s="2492"/>
      <c r="K8" s="2492"/>
    </row>
    <row r="9" spans="1:11" ht="15.6">
      <c r="A9" s="2490" t="s">
        <v>883</v>
      </c>
      <c r="B9" s="2494"/>
      <c r="C9" s="2491"/>
      <c r="D9" s="2491"/>
      <c r="E9" s="2491"/>
      <c r="F9" s="2492"/>
      <c r="G9" s="2492"/>
      <c r="H9" s="2492"/>
      <c r="I9" s="2492"/>
      <c r="J9" s="2492"/>
      <c r="K9" s="2492"/>
    </row>
    <row r="10" spans="1:11" ht="15.6">
      <c r="A10" s="2490" t="s">
        <v>586</v>
      </c>
      <c r="B10" s="2490">
        <f>IF(E10="",0,ROUND(B1*(E10*365/G10)/10000,0))</f>
        <v>0</v>
      </c>
      <c r="C10" s="2490" t="s">
        <v>884</v>
      </c>
      <c r="D10" s="2490" t="s">
        <v>586</v>
      </c>
      <c r="E10" s="2495"/>
      <c r="F10" s="2496" t="s">
        <v>885</v>
      </c>
      <c r="G10" s="2497"/>
      <c r="H10" s="2492"/>
      <c r="I10" s="2492"/>
      <c r="J10" s="2492"/>
      <c r="K10" s="2492"/>
    </row>
    <row r="11" spans="1:11" ht="15.6">
      <c r="A11" s="2490" t="s">
        <v>886</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887</v>
      </c>
      <c r="B13" s="2499" t="s">
        <v>873</v>
      </c>
      <c r="C13" s="2499" t="s">
        <v>874</v>
      </c>
      <c r="D13" s="2499" t="s">
        <v>888</v>
      </c>
      <c r="E13" s="2490" t="s">
        <v>878</v>
      </c>
      <c r="F13" s="2490" t="s">
        <v>879</v>
      </c>
      <c r="G13" s="2499" t="s">
        <v>889</v>
      </c>
      <c r="H13" s="2499" t="s">
        <v>890</v>
      </c>
      <c r="I13" s="2499" t="s">
        <v>891</v>
      </c>
      <c r="J13" s="2492"/>
      <c r="K13" s="2492"/>
    </row>
    <row r="14" spans="1:11" ht="15.6">
      <c r="A14" s="2500" t="s">
        <v>892</v>
      </c>
      <c r="B14" s="2501">
        <f>结果表!B118</f>
        <v>154306.03</v>
      </c>
      <c r="C14" s="2501">
        <f>结果表!C118</f>
        <v>42276.47</v>
      </c>
      <c r="D14" s="2501">
        <f ca="1">结果表!H118</f>
        <v>341568</v>
      </c>
      <c r="E14" s="2501">
        <f ca="1">ROUND(D14*10000/B14,0)</f>
        <v>22136</v>
      </c>
      <c r="F14" s="2501">
        <f ca="1">ROUND(D14*10000/C14,0)</f>
        <v>80794</v>
      </c>
      <c r="G14" s="2501">
        <f ca="1">D14</f>
        <v>341568</v>
      </c>
      <c r="H14" s="2501"/>
      <c r="I14" s="2501"/>
      <c r="J14" s="2492"/>
      <c r="K14" s="2492"/>
    </row>
    <row r="15" spans="1:11" ht="15.6">
      <c r="A15" s="2500" t="s">
        <v>893</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894</v>
      </c>
      <c r="B16" s="2502"/>
      <c r="C16" s="2502"/>
      <c r="D16" s="2502"/>
      <c r="E16" s="2501" t="e">
        <f t="shared" si="0"/>
        <v>#DIV/0!</v>
      </c>
      <c r="F16" s="2501" t="e">
        <f t="shared" si="1"/>
        <v>#DIV/0!</v>
      </c>
      <c r="G16" s="2494"/>
      <c r="H16" s="2494"/>
      <c r="I16" s="2502"/>
      <c r="J16" s="2492"/>
      <c r="K16" s="2492"/>
    </row>
    <row r="17" spans="1:11" ht="15.6">
      <c r="A17" s="2500" t="s">
        <v>895</v>
      </c>
      <c r="B17" s="2502"/>
      <c r="C17" s="2502"/>
      <c r="D17" s="2502"/>
      <c r="E17" s="2501" t="e">
        <f t="shared" si="0"/>
        <v>#DIV/0!</v>
      </c>
      <c r="F17" s="2501" t="e">
        <f t="shared" si="1"/>
        <v>#DIV/0!</v>
      </c>
      <c r="G17" s="2494"/>
      <c r="H17" s="2494"/>
      <c r="I17" s="2502"/>
      <c r="J17" s="2492"/>
      <c r="K17" s="2492"/>
    </row>
    <row r="18" spans="1:11" ht="15.6">
      <c r="A18" s="2500" t="s">
        <v>896</v>
      </c>
      <c r="B18" s="2502"/>
      <c r="C18" s="2502"/>
      <c r="D18" s="2502"/>
      <c r="E18" s="2501" t="e">
        <f t="shared" si="0"/>
        <v>#DIV/0!</v>
      </c>
      <c r="F18" s="2501" t="e">
        <f t="shared" si="1"/>
        <v>#DIV/0!</v>
      </c>
      <c r="G18" s="2502"/>
      <c r="H18" s="2502"/>
      <c r="I18" s="2502"/>
      <c r="J18" s="2492"/>
      <c r="K18" s="2492"/>
    </row>
    <row r="19" spans="1:11" ht="15.6">
      <c r="A19" s="2500" t="s">
        <v>897</v>
      </c>
      <c r="B19" s="2502"/>
      <c r="C19" s="2502"/>
      <c r="D19" s="2502"/>
      <c r="E19" s="2501" t="e">
        <f t="shared" si="0"/>
        <v>#DIV/0!</v>
      </c>
      <c r="F19" s="2501" t="e">
        <f t="shared" si="1"/>
        <v>#DIV/0!</v>
      </c>
      <c r="G19" s="2502"/>
      <c r="H19" s="2502"/>
      <c r="I19" s="2502"/>
      <c r="J19" s="2492"/>
      <c r="K19" s="2492"/>
    </row>
    <row r="20" spans="1:11" ht="15.6">
      <c r="A20" s="2500" t="s">
        <v>898</v>
      </c>
      <c r="B20" s="2502"/>
      <c r="C20" s="2502"/>
      <c r="D20" s="2502"/>
      <c r="E20" s="2501" t="e">
        <f t="shared" si="0"/>
        <v>#DIV/0!</v>
      </c>
      <c r="F20" s="2501" t="e">
        <f t="shared" si="1"/>
        <v>#DIV/0!</v>
      </c>
      <c r="G20" s="2502"/>
      <c r="H20" s="2502"/>
      <c r="I20" s="2502"/>
      <c r="J20" s="2492"/>
      <c r="K20" s="2492"/>
    </row>
    <row r="21" spans="1:11" ht="15.6">
      <c r="A21" s="2500" t="s">
        <v>899</v>
      </c>
      <c r="B21" s="2502"/>
      <c r="C21" s="2502"/>
      <c r="D21" s="2502"/>
      <c r="E21" s="2501" t="e">
        <f t="shared" si="0"/>
        <v>#DIV/0!</v>
      </c>
      <c r="F21" s="2501" t="e">
        <f t="shared" si="1"/>
        <v>#DIV/0!</v>
      </c>
      <c r="G21" s="2502"/>
      <c r="H21" s="2502"/>
      <c r="I21" s="2502"/>
      <c r="J21" s="2492"/>
      <c r="K21" s="2492"/>
    </row>
    <row r="22" spans="1:11" ht="15.6">
      <c r="A22" s="2500" t="s">
        <v>900</v>
      </c>
      <c r="B22" s="2502"/>
      <c r="C22" s="2502"/>
      <c r="D22" s="2502"/>
      <c r="E22" s="2501" t="e">
        <f t="shared" si="0"/>
        <v>#DIV/0!</v>
      </c>
      <c r="F22" s="2501" t="e">
        <f t="shared" si="1"/>
        <v>#DIV/0!</v>
      </c>
      <c r="G22" s="2502"/>
      <c r="H22" s="2502"/>
      <c r="I22" s="2502"/>
      <c r="J22" s="2492"/>
      <c r="K22" s="2492"/>
    </row>
    <row r="23" spans="1:11" ht="15.6">
      <c r="A23" s="2500" t="s">
        <v>901</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10" zoomScaleNormal="100" zoomScalePageLayoutView="80" workbookViewId="0">
      <selection activeCell="I118" sqref="I118"/>
    </sheetView>
  </sheetViews>
  <sheetFormatPr defaultColWidth="12.6640625" defaultRowHeight="21.75" customHeight="1"/>
  <cols>
    <col min="1" max="2" width="12.6640625" style="2223"/>
    <col min="3" max="4" width="12.6640625" style="2223" customWidth="1"/>
    <col min="5" max="9" width="12.6640625" style="2223"/>
    <col min="10" max="11" width="12.6640625" style="901" customWidth="1"/>
    <col min="12" max="12" width="12.6640625" style="901"/>
    <col min="13" max="13" width="14.109375" style="901" customWidth="1"/>
    <col min="14" max="26" width="12.6640625" style="901"/>
    <col min="27" max="35" width="12.6640625" style="2222"/>
    <col min="36" max="16384" width="12.6640625" style="2223"/>
  </cols>
  <sheetData>
    <row r="1" spans="1:12" ht="21.75" customHeight="1">
      <c r="A1" s="2224" t="s">
        <v>902</v>
      </c>
      <c r="B1" s="1874"/>
      <c r="C1" s="2225"/>
      <c r="D1" s="1874"/>
      <c r="E1" s="1874"/>
      <c r="F1" s="2226" t="s">
        <v>903</v>
      </c>
      <c r="G1" s="2227" t="s">
        <v>904</v>
      </c>
      <c r="H1" s="2226" t="str">
        <f>IF(G1="现房","——","估价对象范围")</f>
        <v>——</v>
      </c>
      <c r="I1" s="2228" t="s">
        <v>905</v>
      </c>
    </row>
    <row r="2" spans="1:12" ht="21.75" customHeight="1">
      <c r="A2" s="3329" t="str">
        <f>项目基本情况!S2</f>
        <v>北京市北京经济技术开发区兴海路1号院1号楼-3至6层商业、地下车库用房房地产</v>
      </c>
      <c r="B2" s="3330"/>
      <c r="C2" s="3330"/>
      <c r="D2" s="3330"/>
      <c r="E2" s="3330"/>
      <c r="F2" s="3330"/>
      <c r="G2" s="3330"/>
      <c r="H2" s="3330"/>
      <c r="I2" s="3331"/>
    </row>
    <row r="3" spans="1:12" ht="13.2">
      <c r="A3" s="3332" t="s">
        <v>906</v>
      </c>
      <c r="B3" s="3333"/>
      <c r="C3" s="3333"/>
      <c r="D3" s="3333"/>
      <c r="E3" s="3333"/>
      <c r="F3" s="3333"/>
      <c r="G3" s="3333"/>
      <c r="H3" s="3333"/>
      <c r="I3" s="3333"/>
    </row>
    <row r="4" spans="1:12" ht="14.4">
      <c r="A4" s="2229" t="s">
        <v>907</v>
      </c>
      <c r="B4" s="2230" t="s">
        <v>908</v>
      </c>
      <c r="C4" s="2231" t="s">
        <v>909</v>
      </c>
      <c r="D4" s="2231" t="s">
        <v>781</v>
      </c>
      <c r="E4" s="3334" t="s">
        <v>910</v>
      </c>
      <c r="F4" s="3335"/>
      <c r="G4" s="3335"/>
      <c r="H4" s="3335"/>
      <c r="I4" s="3336"/>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88" t="s">
        <v>911</v>
      </c>
      <c r="B5" s="3404">
        <v>25</v>
      </c>
      <c r="C5" s="3407"/>
      <c r="D5" s="3410"/>
      <c r="E5" s="1914" t="s">
        <v>912</v>
      </c>
      <c r="F5" s="2236"/>
      <c r="G5" s="2236"/>
      <c r="H5" s="2236"/>
      <c r="I5" s="2093"/>
    </row>
    <row r="6" spans="1:12" ht="13.2">
      <c r="A6" s="3388"/>
      <c r="B6" s="3404"/>
      <c r="C6" s="3408"/>
      <c r="D6" s="3410"/>
      <c r="E6" s="1914" t="s">
        <v>913</v>
      </c>
      <c r="F6" s="2236"/>
      <c r="G6" s="2236"/>
      <c r="H6" s="2236"/>
      <c r="I6" s="2093"/>
    </row>
    <row r="7" spans="1:12" ht="13.2">
      <c r="A7" s="3388"/>
      <c r="B7" s="3404"/>
      <c r="C7" s="3409"/>
      <c r="D7" s="3410"/>
      <c r="E7" s="1914" t="s">
        <v>914</v>
      </c>
      <c r="F7" s="2236"/>
      <c r="G7" s="2236"/>
      <c r="H7" s="2236"/>
      <c r="I7" s="2093"/>
    </row>
    <row r="8" spans="1:12" ht="13.2">
      <c r="A8" s="3388" t="s">
        <v>915</v>
      </c>
      <c r="B8" s="3404">
        <v>15</v>
      </c>
      <c r="C8" s="3407"/>
      <c r="D8" s="3410"/>
      <c r="E8" s="1914" t="s">
        <v>916</v>
      </c>
      <c r="F8" s="2236"/>
      <c r="G8" s="2236"/>
      <c r="H8" s="2236"/>
      <c r="I8" s="2093"/>
    </row>
    <row r="9" spans="1:12" ht="13.2">
      <c r="A9" s="3388"/>
      <c r="B9" s="3404"/>
      <c r="C9" s="3409"/>
      <c r="D9" s="3410"/>
      <c r="E9" s="1914" t="s">
        <v>917</v>
      </c>
      <c r="F9" s="2236"/>
      <c r="G9" s="2236"/>
      <c r="H9" s="2236"/>
      <c r="I9" s="2093"/>
    </row>
    <row r="10" spans="1:12" ht="13.2">
      <c r="A10" s="3388" t="s">
        <v>918</v>
      </c>
      <c r="B10" s="3404">
        <v>15</v>
      </c>
      <c r="C10" s="3407"/>
      <c r="D10" s="3410"/>
      <c r="E10" s="1914" t="s">
        <v>919</v>
      </c>
      <c r="F10" s="2236"/>
      <c r="G10" s="2236"/>
      <c r="H10" s="2236"/>
      <c r="I10" s="2093"/>
    </row>
    <row r="11" spans="1:12" ht="13.2">
      <c r="A11" s="3388"/>
      <c r="B11" s="3404"/>
      <c r="C11" s="3409"/>
      <c r="D11" s="3410"/>
      <c r="E11" s="1914" t="s">
        <v>920</v>
      </c>
      <c r="F11" s="2236"/>
      <c r="G11" s="2236"/>
      <c r="H11" s="2236"/>
      <c r="I11" s="2093"/>
    </row>
    <row r="12" spans="1:12" ht="13.2">
      <c r="A12" s="3388" t="s">
        <v>921</v>
      </c>
      <c r="B12" s="3404">
        <v>15</v>
      </c>
      <c r="C12" s="3407"/>
      <c r="D12" s="3410"/>
      <c r="E12" s="1914" t="s">
        <v>922</v>
      </c>
      <c r="F12" s="2236"/>
      <c r="G12" s="2236"/>
      <c r="H12" s="2236"/>
      <c r="I12" s="2093"/>
    </row>
    <row r="13" spans="1:12" ht="13.2">
      <c r="A13" s="3388"/>
      <c r="B13" s="3404"/>
      <c r="C13" s="3409"/>
      <c r="D13" s="3410"/>
      <c r="E13" s="1914" t="s">
        <v>923</v>
      </c>
      <c r="F13" s="2236"/>
      <c r="G13" s="2236"/>
      <c r="H13" s="2236"/>
      <c r="I13" s="2093"/>
    </row>
    <row r="14" spans="1:12" ht="13.2">
      <c r="A14" s="3388" t="s">
        <v>924</v>
      </c>
      <c r="B14" s="3404">
        <v>30</v>
      </c>
      <c r="C14" s="3407">
        <v>5</v>
      </c>
      <c r="D14" s="3410">
        <v>5</v>
      </c>
      <c r="E14" s="1914" t="s">
        <v>925</v>
      </c>
      <c r="F14" s="2236"/>
      <c r="G14" s="2236"/>
      <c r="H14" s="2236"/>
      <c r="I14" s="2093"/>
    </row>
    <row r="15" spans="1:12" ht="13.2">
      <c r="A15" s="3388"/>
      <c r="B15" s="3404"/>
      <c r="C15" s="3408"/>
      <c r="D15" s="3410"/>
      <c r="E15" s="1914" t="s">
        <v>926</v>
      </c>
      <c r="F15" s="2236"/>
      <c r="G15" s="2236"/>
      <c r="H15" s="2236"/>
      <c r="I15" s="2093"/>
    </row>
    <row r="16" spans="1:12" ht="13.2">
      <c r="A16" s="3388"/>
      <c r="B16" s="3404"/>
      <c r="C16" s="3409"/>
      <c r="D16" s="3410"/>
      <c r="E16" s="1914" t="s">
        <v>927</v>
      </c>
      <c r="F16" s="2236"/>
      <c r="G16" s="2236"/>
      <c r="H16" s="2236"/>
      <c r="I16" s="2093"/>
    </row>
    <row r="17" spans="1:36" ht="14.4">
      <c r="A17" s="2237" t="s">
        <v>928</v>
      </c>
      <c r="B17" s="2238"/>
      <c r="C17" s="2239">
        <f>SUM(C5:C16)</f>
        <v>5</v>
      </c>
      <c r="D17" s="2239">
        <f>SUM(D5:D16)</f>
        <v>5</v>
      </c>
      <c r="E17" s="985"/>
      <c r="F17" s="985"/>
      <c r="G17" s="985"/>
      <c r="H17" s="985"/>
      <c r="I17" s="985"/>
      <c r="K17" s="1853"/>
      <c r="L17" s="1853" t="s">
        <v>929</v>
      </c>
      <c r="M17" s="1853" t="s">
        <v>930</v>
      </c>
    </row>
    <row r="18" spans="1:36" ht="31.95" customHeight="1">
      <c r="A18" s="2240" t="s">
        <v>931</v>
      </c>
      <c r="B18" s="2241"/>
      <c r="C18" s="2242">
        <f>ROUND(C17/SUM(C17:D17),2)</f>
        <v>0.5</v>
      </c>
      <c r="D18" s="2242">
        <f>1-C18</f>
        <v>0.5</v>
      </c>
      <c r="E18" s="3337" t="s">
        <v>932</v>
      </c>
      <c r="F18" s="3338"/>
      <c r="G18" s="3338"/>
      <c r="H18" s="3338"/>
      <c r="I18" s="3338"/>
      <c r="K18" s="1853" t="s">
        <v>506</v>
      </c>
      <c r="L18" s="1853">
        <f>IF(C1="",'数据-汇总表'!E3,SUMIF(项目类型,C1,'数据-汇总表'!E17:E26)+SUMIF(项目类型,C1,'数据-汇总表'!I17:I26))</f>
        <v>154306.03</v>
      </c>
      <c r="M18" s="1853">
        <f>IF(C1="",'数据-汇总表'!E3,SUMIF(项目类型,C1,'数据-汇总表'!E17:E26))</f>
        <v>154306.03</v>
      </c>
    </row>
    <row r="19" spans="1:36" ht="14.4">
      <c r="A19" s="1241" t="s">
        <v>933</v>
      </c>
      <c r="B19" s="2243" t="s">
        <v>934</v>
      </c>
      <c r="C19" s="2244">
        <f ca="1">SUMIF(INDIRECT("'"&amp;C4&amp;"'"&amp;"!A:A"),结果表!B19,INDIRECT("'"&amp;C4&amp;"'"&amp;"!B:B"))</f>
        <v>337624</v>
      </c>
      <c r="D19" s="2206">
        <f ca="1">SUMIF(INDIRECT("'"&amp;D4&amp;"'"&amp;"!A:A"),结果表!B19,INDIRECT("'"&amp;D4&amp;"'"&amp;"!B:B"))</f>
        <v>345512</v>
      </c>
      <c r="E19" s="1241" t="s">
        <v>935</v>
      </c>
      <c r="F19" s="2243" t="s">
        <v>934</v>
      </c>
      <c r="G19" s="2245">
        <f ca="1">ROUND(C19*$C$18+D19*$D$18,0)</f>
        <v>341568</v>
      </c>
      <c r="H19" s="2246" t="s">
        <v>936</v>
      </c>
      <c r="I19" s="985"/>
      <c r="K19" s="1853" t="s">
        <v>510</v>
      </c>
      <c r="L19" s="1853">
        <f>IF(C1="",'数据-汇总表'!D3,SUMIF(项目类型,C1,'数据-汇总表'!D17:D26)+SUMIF(项目类型,C1,'数据-汇总表'!H17:H27))</f>
        <v>42276.47</v>
      </c>
      <c r="M19" s="1853">
        <f>IF(C1="",'数据-汇总表'!D3,SUMIF(项目类型,C1,'数据-汇总表'!D17:D26))</f>
        <v>42276.47</v>
      </c>
    </row>
    <row r="20" spans="1:36" ht="14.4">
      <c r="A20" s="2247"/>
      <c r="B20" s="2248" t="s">
        <v>937</v>
      </c>
      <c r="C20" s="1595">
        <f ca="1">SUMIF(INDIRECT("'"&amp;C4&amp;"'"&amp;"!A:A"),结果表!B20,INDIRECT("'"&amp;C4&amp;"'"&amp;"!B:B"))</f>
        <v>21880</v>
      </c>
      <c r="D20" s="1598">
        <f ca="1">SUMIF(INDIRECT("'"&amp;D4&amp;"'"&amp;"!A:A"),结果表!B20,INDIRECT("'"&amp;D4&amp;"'"&amp;"!B:B"))</f>
        <v>22466</v>
      </c>
      <c r="E20" s="2247"/>
      <c r="F20" s="2248" t="s">
        <v>937</v>
      </c>
      <c r="G20" s="2249">
        <f ca="1">ROUND(C20*$C$18+D20*$D$18,0)</f>
        <v>22173</v>
      </c>
      <c r="H20" s="1900" t="s">
        <v>938</v>
      </c>
      <c r="I20" s="985"/>
    </row>
    <row r="21" spans="1:36" ht="15" customHeight="1">
      <c r="A21" s="1249"/>
      <c r="B21" s="2250" t="s">
        <v>939</v>
      </c>
      <c r="C21" s="2251">
        <f ca="1">ROUND(C19*10000/L19,0)</f>
        <v>79861</v>
      </c>
      <c r="D21" s="2252">
        <f ca="1">ROUND(D19*10000/L19,0)</f>
        <v>81727</v>
      </c>
      <c r="E21" s="1249"/>
      <c r="F21" s="2250" t="s">
        <v>939</v>
      </c>
      <c r="G21" s="2253">
        <f ca="1">ROUND(G19*10000/L19,0)</f>
        <v>80794</v>
      </c>
      <c r="H21" s="2254" t="s">
        <v>938</v>
      </c>
      <c r="I21" s="985"/>
    </row>
    <row r="22" spans="1:36" ht="14.4">
      <c r="A22" s="2255" t="s">
        <v>940</v>
      </c>
      <c r="B22" s="2256"/>
      <c r="C22" s="2257"/>
      <c r="D22" s="2258">
        <f ca="1">IF(C19&lt;D19,D19/C19-1,C19/D19-1)</f>
        <v>2.3363268014122252E-2</v>
      </c>
      <c r="E22" s="985"/>
      <c r="F22" s="985"/>
      <c r="G22" s="985"/>
      <c r="H22" s="985"/>
      <c r="I22" s="985"/>
    </row>
    <row r="23" spans="1:36" ht="13.2">
      <c r="A23" s="1874"/>
      <c r="B23" s="1874"/>
      <c r="C23" s="1874"/>
      <c r="D23" s="1874"/>
      <c r="E23" s="985"/>
      <c r="F23" s="985"/>
      <c r="G23" s="985"/>
      <c r="H23" s="985"/>
      <c r="I23" s="985"/>
    </row>
    <row r="24" spans="1:36" ht="14.4">
      <c r="A24" s="3397" t="s">
        <v>941</v>
      </c>
      <c r="B24" s="2243" t="s">
        <v>934</v>
      </c>
      <c r="C24" s="2245">
        <f>IF(B30=0,0,D30)</f>
        <v>0</v>
      </c>
      <c r="D24" s="2259"/>
      <c r="E24" s="985"/>
      <c r="F24" s="985"/>
      <c r="G24" s="985"/>
      <c r="H24" s="985"/>
      <c r="I24" s="985"/>
    </row>
    <row r="25" spans="1:36" ht="14.4">
      <c r="A25" s="3398"/>
      <c r="B25" s="2248" t="s">
        <v>937</v>
      </c>
      <c r="C25" s="2260">
        <f>IF(B30=0,0,C30)</f>
        <v>0</v>
      </c>
      <c r="D25" s="2261"/>
      <c r="E25" s="985"/>
      <c r="F25" s="985"/>
      <c r="G25" s="985"/>
      <c r="H25" s="985"/>
      <c r="I25" s="985"/>
    </row>
    <row r="26" spans="1:36" ht="13.5" customHeight="1">
      <c r="A26" s="2262" t="s">
        <v>942</v>
      </c>
      <c r="B26" s="2263" t="s">
        <v>943</v>
      </c>
      <c r="C26" s="2263" t="s">
        <v>944</v>
      </c>
      <c r="D26" s="2264" t="s">
        <v>945</v>
      </c>
      <c r="E26" s="985"/>
      <c r="F26" s="985"/>
      <c r="G26" s="985"/>
      <c r="H26" s="985"/>
      <c r="I26" s="985"/>
    </row>
    <row r="27" spans="1:36" ht="13.8">
      <c r="A27" s="2262"/>
      <c r="B27" s="2263">
        <v>0</v>
      </c>
      <c r="C27" s="2263">
        <v>0</v>
      </c>
      <c r="D27" s="2264">
        <f>ROUND(C27*B27/10000,0)</f>
        <v>0</v>
      </c>
      <c r="E27" s="985"/>
      <c r="F27" s="985"/>
      <c r="G27" s="985"/>
      <c r="H27" s="985"/>
      <c r="I27" s="985"/>
    </row>
    <row r="28" spans="1:36" ht="13.8">
      <c r="A28" s="2262"/>
      <c r="B28" s="2263"/>
      <c r="C28" s="2263"/>
      <c r="D28" s="2264"/>
      <c r="E28" s="985"/>
      <c r="F28" s="985"/>
      <c r="G28" s="985"/>
      <c r="H28" s="985"/>
      <c r="I28" s="985"/>
    </row>
    <row r="29" spans="1:36" ht="13.8">
      <c r="A29" s="2262"/>
      <c r="B29" s="2263"/>
      <c r="C29" s="2263"/>
      <c r="D29" s="2264"/>
      <c r="E29" s="985"/>
      <c r="F29" s="985"/>
      <c r="G29" s="985"/>
      <c r="H29" s="985"/>
      <c r="I29" s="985"/>
    </row>
    <row r="30" spans="1:36" ht="14.4">
      <c r="A30" s="2263" t="s">
        <v>946</v>
      </c>
      <c r="B30" s="2263"/>
      <c r="C30" s="2263"/>
      <c r="D30" s="2263"/>
      <c r="E30" s="2265" t="s">
        <v>947</v>
      </c>
      <c r="F30" s="985"/>
      <c r="G30" s="985"/>
      <c r="H30" s="985"/>
      <c r="I30" s="985"/>
    </row>
    <row r="31" spans="1:36" s="2221" customFormat="1" ht="26.4" customHeight="1">
      <c r="A31" s="2266"/>
      <c r="B31" s="2267"/>
      <c r="C31" s="2267"/>
      <c r="D31" s="2267"/>
      <c r="E31" s="2267"/>
      <c r="F31" s="2267"/>
      <c r="G31" s="2267"/>
      <c r="H31" s="2267"/>
      <c r="I31" s="2268" t="s">
        <v>948</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4.4">
      <c r="A32" s="2272" t="s">
        <v>949</v>
      </c>
      <c r="B32" s="2273"/>
      <c r="C32" s="2274">
        <f ca="1">IF(D32="总价",G19-C24,G20-C25)</f>
        <v>341568</v>
      </c>
      <c r="D32" s="2275" t="s">
        <v>950</v>
      </c>
      <c r="E32" s="985"/>
      <c r="F32" s="985"/>
      <c r="G32" s="985"/>
      <c r="H32" s="985"/>
      <c r="I32" s="985"/>
    </row>
    <row r="33" spans="1:15" ht="14.4">
      <c r="A33" s="2115" t="s">
        <v>951</v>
      </c>
      <c r="B33" s="1914"/>
      <c r="C33" s="2276" t="s">
        <v>952</v>
      </c>
      <c r="D33" s="2277" t="s">
        <v>909</v>
      </c>
      <c r="E33" s="2278" t="s">
        <v>953</v>
      </c>
      <c r="F33" s="2279" t="str">
        <f>IF(D32="楼面单价","取值（单价）","取值（总价）")</f>
        <v>取值（总价）</v>
      </c>
      <c r="G33" s="985"/>
      <c r="H33" s="985"/>
      <c r="I33" s="985"/>
    </row>
    <row r="34" spans="1:15" ht="14.4">
      <c r="A34" s="2280"/>
      <c r="B34" s="2281" t="s">
        <v>954</v>
      </c>
      <c r="C34" s="2282">
        <f ca="1">IF(C33="自定义",F34,C32-C35)</f>
        <v>182397</v>
      </c>
      <c r="D34" s="2283">
        <f ca="1">IF(C33="自定义",ROUND(C34/C32,3),IF(C33="收益比率",SUMIF(INDIRECT("'"&amp;D33&amp;"'"&amp;"!b:b"),"土地收益比率",INDIRECT("'"&amp;D33&amp;"'"&amp;"!c:c")),SUMIF(INDIRECT("'"&amp;D33&amp;"'"&amp;"!b:b"),"土地成本比率",INDIRECT("'"&amp;D33&amp;"'"&amp;"!c:c"))))</f>
        <v>0.53400000000000003</v>
      </c>
      <c r="E34" s="2284" t="s">
        <v>955</v>
      </c>
      <c r="F34" s="2285"/>
      <c r="G34" s="985"/>
      <c r="H34" s="985"/>
      <c r="I34" s="985"/>
    </row>
    <row r="35" spans="1:15" ht="14.4">
      <c r="A35" s="2286"/>
      <c r="B35" s="2287" t="s">
        <v>956</v>
      </c>
      <c r="C35" s="2288">
        <f ca="1">IF(C33="自定义",F35,ROUND(C32*D35,0))</f>
        <v>159171</v>
      </c>
      <c r="D35" s="2289">
        <f ca="1">IF(C33="自定义",ROUND(C35/C32,3),IF(C33="收益比率",SUMIF(INDIRECT("'"&amp;D33&amp;"'"&amp;"!b:b"),"建筑物收益比率",INDIRECT("'"&amp;D33&amp;"'"&amp;"!c:c")),SUMIF(INDIRECT("'"&amp;D33&amp;"'"&amp;"!b:b"),"建筑物成本比率",INDIRECT("'"&amp;D33&amp;"'"&amp;"!c:c"))))</f>
        <v>0.46600000000000003</v>
      </c>
      <c r="E35" s="2290" t="s">
        <v>957</v>
      </c>
      <c r="F35" s="2291"/>
      <c r="G35" s="985"/>
      <c r="H35" s="985"/>
      <c r="I35" s="985"/>
    </row>
    <row r="36" spans="1:15" ht="14.4">
      <c r="A36" s="3399" t="s">
        <v>958</v>
      </c>
      <c r="B36" s="2292" t="s">
        <v>959</v>
      </c>
      <c r="C36" s="2293"/>
      <c r="D36" s="2294"/>
      <c r="E36" s="2295"/>
      <c r="F36" s="2296"/>
      <c r="G36" s="985"/>
      <c r="H36" s="985"/>
      <c r="I36" s="985"/>
    </row>
    <row r="37" spans="1:15" ht="14.4">
      <c r="A37" s="3400"/>
      <c r="B37" s="2297" t="s">
        <v>960</v>
      </c>
      <c r="C37" s="2298"/>
      <c r="D37" s="2299"/>
      <c r="E37" s="2299"/>
      <c r="F37" s="2296"/>
      <c r="G37" s="985"/>
      <c r="H37" s="985"/>
      <c r="I37" s="985"/>
    </row>
    <row r="38" spans="1:15" ht="14.4">
      <c r="A38" s="3401"/>
      <c r="B38" s="2300" t="s">
        <v>961</v>
      </c>
      <c r="C38" s="2301"/>
      <c r="D38" s="2302" t="s">
        <v>962</v>
      </c>
      <c r="E38" s="2299"/>
      <c r="F38" s="2296"/>
      <c r="G38" s="985"/>
      <c r="H38" s="985"/>
      <c r="I38" s="985"/>
    </row>
    <row r="39" spans="1:15" ht="14.4">
      <c r="A39" s="2247" t="s">
        <v>963</v>
      </c>
      <c r="B39" s="2303" t="s">
        <v>943</v>
      </c>
      <c r="C39" s="2304" t="s">
        <v>944</v>
      </c>
      <c r="D39" s="2304" t="s">
        <v>964</v>
      </c>
      <c r="E39" s="2305" t="s">
        <v>945</v>
      </c>
      <c r="F39" s="2296"/>
      <c r="G39" s="985"/>
      <c r="H39" s="985"/>
      <c r="I39" s="985"/>
    </row>
    <row r="40" spans="1:15" ht="13.8">
      <c r="A40" s="2306" t="s">
        <v>965</v>
      </c>
      <c r="B40" s="2307"/>
      <c r="C40" s="1007"/>
      <c r="D40" s="1007"/>
      <c r="E40" s="2308"/>
      <c r="F40" s="2296"/>
      <c r="G40" s="985"/>
      <c r="H40" s="985"/>
      <c r="I40" s="985"/>
    </row>
    <row r="41" spans="1:15" ht="13.8">
      <c r="A41" s="2306" t="s">
        <v>966</v>
      </c>
      <c r="B41" s="2307"/>
      <c r="C41" s="1007"/>
      <c r="D41" s="1007"/>
      <c r="E41" s="2308"/>
      <c r="F41" s="2296"/>
      <c r="G41" s="985"/>
      <c r="H41" s="985"/>
      <c r="I41" s="985"/>
    </row>
    <row r="42" spans="1:15" ht="13.8">
      <c r="A42" s="2309"/>
      <c r="B42" s="2310"/>
      <c r="C42" s="2311"/>
      <c r="D42" s="2311"/>
      <c r="E42" s="2291"/>
      <c r="F42" s="2296"/>
      <c r="G42" s="985"/>
      <c r="H42" s="985"/>
      <c r="I42" s="985"/>
    </row>
    <row r="43" spans="1:15" ht="13.2">
      <c r="A43" s="2312"/>
      <c r="B43" s="2312"/>
      <c r="C43" s="2312"/>
      <c r="D43" s="2312"/>
      <c r="E43" s="2312"/>
      <c r="F43" s="2313"/>
      <c r="G43" s="2313"/>
      <c r="H43" s="2313"/>
      <c r="I43" s="2314"/>
    </row>
    <row r="44" spans="1:15" ht="17.399999999999999">
      <c r="A44" s="2315" t="s">
        <v>967</v>
      </c>
      <c r="B44" s="2316"/>
      <c r="C44" s="2316"/>
      <c r="D44" s="2317"/>
      <c r="E44" s="2317"/>
      <c r="F44" s="2318"/>
      <c r="G44" s="2318"/>
      <c r="H44" s="2318"/>
      <c r="I44" s="2318"/>
      <c r="J44" s="857" t="s">
        <v>968</v>
      </c>
      <c r="K44" s="602"/>
      <c r="L44" s="602"/>
      <c r="M44" s="602"/>
      <c r="N44" s="602"/>
      <c r="O44" s="602"/>
    </row>
    <row r="45" spans="1:15" ht="14.25" customHeight="1">
      <c r="A45" s="3339" t="s">
        <v>969</v>
      </c>
      <c r="B45" s="3340"/>
      <c r="C45" s="3341"/>
      <c r="D45" s="1852">
        <f ca="1">ROUND(H101*F45,0)</f>
        <v>341568</v>
      </c>
      <c r="E45" s="2319" t="s">
        <v>970</v>
      </c>
      <c r="F45" s="2320">
        <v>1</v>
      </c>
      <c r="G45" s="1867" t="s">
        <v>971</v>
      </c>
      <c r="H45" s="985"/>
      <c r="I45" s="985"/>
      <c r="J45" s="3342" t="s">
        <v>972</v>
      </c>
      <c r="K45" s="3342"/>
      <c r="L45" s="3342"/>
      <c r="M45" s="3342"/>
      <c r="N45" s="3342"/>
      <c r="O45" s="3342"/>
    </row>
    <row r="46" spans="1:15" ht="14.25" customHeight="1">
      <c r="A46" s="3343" t="s">
        <v>973</v>
      </c>
      <c r="B46" s="3344"/>
      <c r="C46" s="3344"/>
      <c r="D46" s="3344"/>
      <c r="E46" s="3344"/>
      <c r="F46" s="3344"/>
      <c r="G46" s="3345"/>
      <c r="H46" s="2321"/>
      <c r="I46" s="986"/>
      <c r="J46" s="629">
        <v>1</v>
      </c>
      <c r="K46" s="3346" t="s">
        <v>974</v>
      </c>
      <c r="L46" s="3346"/>
      <c r="M46" s="3347"/>
      <c r="N46" s="3347"/>
      <c r="O46" s="3347"/>
    </row>
    <row r="47" spans="1:15" ht="12" customHeight="1">
      <c r="A47" s="2323" t="s">
        <v>975</v>
      </c>
      <c r="B47" s="2324"/>
      <c r="C47" s="2325"/>
      <c r="D47" s="1890" t="s">
        <v>976</v>
      </c>
      <c r="E47" s="1853" t="s">
        <v>977</v>
      </c>
      <c r="F47" s="2326" t="s">
        <v>978</v>
      </c>
      <c r="G47" s="2327" t="s">
        <v>979</v>
      </c>
      <c r="H47" s="2328"/>
      <c r="I47" s="986"/>
      <c r="J47" s="629">
        <v>2</v>
      </c>
      <c r="K47" s="3346" t="s">
        <v>980</v>
      </c>
      <c r="L47" s="3346"/>
      <c r="M47" s="3348">
        <f>'数据-取费表'!B2</f>
        <v>46026</v>
      </c>
      <c r="N47" s="3348"/>
      <c r="O47" s="3348"/>
    </row>
    <row r="48" spans="1:15" ht="26.4">
      <c r="A48" s="3349" t="s">
        <v>981</v>
      </c>
      <c r="B48" s="3350"/>
      <c r="C48" s="3350"/>
      <c r="D48" s="1898" t="b">
        <f>IF(H48="情况1",0,IF(H48="情况2",D52,IF(H48="情况3",D53,IF(H48="情况4",D54))))</f>
        <v>0</v>
      </c>
      <c r="E48" s="1912" t="str">
        <f>IF(H48="情况4","(销售额-原购置价)×税（费）率","销售额×税（费）率")</f>
        <v>销售额×税（费）率</v>
      </c>
      <c r="F48" s="2330">
        <f>IF(H48="情况1","免征",'数据-取费表'!B41)</f>
        <v>5.5E-2</v>
      </c>
      <c r="G48" s="2331" t="s">
        <v>982</v>
      </c>
      <c r="H48" s="2332"/>
      <c r="I48" s="2321"/>
      <c r="J48" s="629">
        <v>3</v>
      </c>
      <c r="K48" s="3346" t="s">
        <v>983</v>
      </c>
      <c r="L48" s="3346"/>
      <c r="M48" s="3351">
        <f ca="1">H101</f>
        <v>341568</v>
      </c>
      <c r="N48" s="3351"/>
      <c r="O48" s="3351"/>
    </row>
    <row r="49" spans="1:35" ht="25.5" customHeight="1">
      <c r="A49" s="2329" t="s">
        <v>984</v>
      </c>
      <c r="B49" s="3352" t="s">
        <v>985</v>
      </c>
      <c r="C49" s="3352"/>
      <c r="D49" s="2333">
        <v>0</v>
      </c>
      <c r="E49" s="1918" t="s">
        <v>986</v>
      </c>
      <c r="F49" s="2334" t="s">
        <v>124</v>
      </c>
      <c r="G49" s="3411"/>
      <c r="H49" s="2335" t="s">
        <v>987</v>
      </c>
      <c r="I49" s="2336"/>
      <c r="J49" s="629">
        <v>4</v>
      </c>
      <c r="K49" s="3346" t="str">
        <f>IF(项目基本情况!E8="房地产抵押价值","房地产抵押价值","抵押担保权已注销时的房地产抵押价值")</f>
        <v>房地产抵押价值</v>
      </c>
      <c r="L49" s="3346"/>
      <c r="M49" s="3351">
        <f ca="1">IF(项目基本情况!E8="房地产抵押价值",H107,H109)</f>
        <v>341568</v>
      </c>
      <c r="N49" s="3351"/>
      <c r="O49" s="3351"/>
    </row>
    <row r="50" spans="1:35" ht="25.5" customHeight="1">
      <c r="A50" s="2337"/>
      <c r="B50" s="3352" t="s">
        <v>988</v>
      </c>
      <c r="C50" s="3352"/>
      <c r="D50" s="2338"/>
      <c r="E50" s="1934"/>
      <c r="F50" s="2334"/>
      <c r="G50" s="3412"/>
      <c r="H50" s="2339" t="s">
        <v>989</v>
      </c>
      <c r="I50" s="2336"/>
      <c r="J50" s="3342" t="s">
        <v>990</v>
      </c>
      <c r="K50" s="3342"/>
      <c r="L50" s="3342"/>
      <c r="M50" s="3342"/>
      <c r="N50" s="3342"/>
      <c r="O50" s="3342"/>
    </row>
    <row r="51" spans="1:35" ht="20.399999999999999" customHeight="1">
      <c r="A51" s="2340"/>
      <c r="B51" s="3352" t="s">
        <v>991</v>
      </c>
      <c r="C51" s="3352"/>
      <c r="D51" s="1890"/>
      <c r="E51" s="1923"/>
      <c r="F51" s="2334"/>
      <c r="G51" s="3413"/>
      <c r="H51" s="2339" t="s">
        <v>992</v>
      </c>
      <c r="I51" s="2336"/>
      <c r="J51" s="2322" t="s">
        <v>993</v>
      </c>
      <c r="K51" s="3346" t="s">
        <v>994</v>
      </c>
      <c r="L51" s="3346"/>
      <c r="M51" s="2322" t="s">
        <v>995</v>
      </c>
      <c r="N51" s="2322" t="s">
        <v>996</v>
      </c>
      <c r="O51" s="2322" t="s">
        <v>997</v>
      </c>
    </row>
    <row r="52" spans="1:35" ht="24" customHeight="1">
      <c r="A52" s="2341" t="s">
        <v>998</v>
      </c>
      <c r="B52" s="3352" t="s">
        <v>999</v>
      </c>
      <c r="C52" s="3352"/>
      <c r="D52" s="1890">
        <f ca="1">ROUND(D45*'数据-取费表'!B41/(1+'数据-取费表'!C42),0)</f>
        <v>17892</v>
      </c>
      <c r="E52" s="1912" t="s">
        <v>1000</v>
      </c>
      <c r="F52" s="2342">
        <f>'数据-取费表'!B41</f>
        <v>5.5E-2</v>
      </c>
      <c r="G52" s="2343"/>
      <c r="H52" s="1957"/>
      <c r="I52" s="2344"/>
      <c r="J52" s="629">
        <v>1</v>
      </c>
      <c r="K52" s="3353" t="s">
        <v>1001</v>
      </c>
      <c r="L52" s="3353"/>
      <c r="M52" s="2345" t="b">
        <f>D48</f>
        <v>0</v>
      </c>
      <c r="N52" s="629" t="str">
        <f>E48</f>
        <v>销售额×税（费）率</v>
      </c>
      <c r="O52" s="2346">
        <f>F48</f>
        <v>5.5E-2</v>
      </c>
    </row>
    <row r="53" spans="1:35" ht="12" customHeight="1">
      <c r="A53" s="2341" t="s">
        <v>1002</v>
      </c>
      <c r="B53" s="3354" t="s">
        <v>1003</v>
      </c>
      <c r="C53" s="3355"/>
      <c r="D53" s="1890">
        <f ca="1">ROUND(D45*'数据-取费表'!B41/(1+'数据-取费表'!C42),0)</f>
        <v>17892</v>
      </c>
      <c r="E53" s="1912" t="s">
        <v>1000</v>
      </c>
      <c r="F53" s="2342">
        <f>'数据-取费表'!B41</f>
        <v>5.5E-2</v>
      </c>
      <c r="G53" s="2343"/>
      <c r="H53" s="1957"/>
      <c r="I53" s="2344"/>
      <c r="J53" s="629">
        <v>2</v>
      </c>
      <c r="K53" s="3353" t="s">
        <v>1004</v>
      </c>
      <c r="L53" s="3353"/>
      <c r="M53" s="2345">
        <f t="shared" ref="M53:O54" ca="1" si="0">D55</f>
        <v>171</v>
      </c>
      <c r="N53" s="629" t="str">
        <f t="shared" si="0"/>
        <v>销售额×税（费）率</v>
      </c>
      <c r="O53" s="2346" t="str">
        <f t="shared" si="0"/>
        <v>免征</v>
      </c>
    </row>
    <row r="54" spans="1:35" ht="12" customHeight="1">
      <c r="A54" s="2341" t="s">
        <v>1005</v>
      </c>
      <c r="B54" s="3354" t="s">
        <v>1006</v>
      </c>
      <c r="C54" s="3355"/>
      <c r="D54" s="1890">
        <f ca="1">C68</f>
        <v>17892</v>
      </c>
      <c r="E54" s="1923" t="s">
        <v>1007</v>
      </c>
      <c r="F54" s="2342">
        <f>'数据-取费表'!B41</f>
        <v>5.5E-2</v>
      </c>
      <c r="G54" s="2343"/>
      <c r="H54" s="2347"/>
      <c r="I54" s="2344"/>
      <c r="J54" s="629">
        <v>3</v>
      </c>
      <c r="K54" s="3353" t="s">
        <v>1008</v>
      </c>
      <c r="L54" s="3353"/>
      <c r="M54" s="2345">
        <f t="shared" ca="1" si="0"/>
        <v>193636</v>
      </c>
      <c r="N54" s="629" t="str">
        <f t="shared" si="0"/>
        <v>增值额×税（费）率</v>
      </c>
      <c r="O54" s="2348" t="str">
        <f t="shared" si="0"/>
        <v>免征</v>
      </c>
    </row>
    <row r="55" spans="1:35" ht="24" customHeight="1">
      <c r="A55" s="3356" t="s">
        <v>1009</v>
      </c>
      <c r="B55" s="3350"/>
      <c r="C55" s="3350"/>
      <c r="D55" s="1898">
        <f ca="1">IF(H55="个人住宅",0,ROUND(D45*I55,0))</f>
        <v>171</v>
      </c>
      <c r="E55" s="1912" t="s">
        <v>1010</v>
      </c>
      <c r="F55" s="2342" t="str">
        <f>IF(H55="正常",I55,"免征")</f>
        <v>免征</v>
      </c>
      <c r="G55" s="2343"/>
      <c r="H55" s="2332"/>
      <c r="I55" s="2349">
        <f>'数据-取费表'!B49</f>
        <v>5.0000000000000001E-4</v>
      </c>
      <c r="J55" s="629">
        <f>IF(H59="非个人房产","",4)</f>
        <v>4</v>
      </c>
      <c r="K55" s="3353" t="str">
        <f>IF(H59="非个人房产","——","个人所得税")</f>
        <v>个人所得税</v>
      </c>
      <c r="L55" s="3353"/>
      <c r="M55" s="2350">
        <f ca="1">D59</f>
        <v>3253</v>
      </c>
      <c r="N55" s="605" t="str">
        <f>E59</f>
        <v>差额计税</v>
      </c>
      <c r="O55" s="2351">
        <f>F59</f>
        <v>0.01</v>
      </c>
    </row>
    <row r="56" spans="1:35" ht="25.2">
      <c r="A56" s="3356" t="s">
        <v>1011</v>
      </c>
      <c r="B56" s="3350"/>
      <c r="C56" s="3350"/>
      <c r="D56" s="1898">
        <f ca="1">IF(H56="个人住宅",D57,D58)</f>
        <v>193636</v>
      </c>
      <c r="E56" s="1912" t="s">
        <v>1012</v>
      </c>
      <c r="F56" s="2342" t="str">
        <f>IF(H56="正常",F58,"免征")</f>
        <v>免征</v>
      </c>
      <c r="G56" s="2352" t="s">
        <v>1013</v>
      </c>
      <c r="H56" s="2353"/>
      <c r="I56" s="2354"/>
      <c r="J56" s="629" t="str">
        <f>IF(项目基本情况!K6="上海银行",IF(J55="",4,J55+1),"")</f>
        <v/>
      </c>
      <c r="K56" s="3357" t="str">
        <f>IF(项目基本情况!K6="上海银行","其他处置费用","")</f>
        <v/>
      </c>
      <c r="L56" s="3358"/>
      <c r="M56" s="2345" t="str">
        <f>IF(项目基本情况!K6="上海银行",M69,"")</f>
        <v/>
      </c>
      <c r="N56" s="3357" t="str">
        <f>IF(项目基本情况!K6="上海银行","包含处置中涉及的律师、诉讼、拍卖、评估等费用","")</f>
        <v/>
      </c>
      <c r="O56" s="3359"/>
    </row>
    <row r="57" spans="1:35" ht="13.2">
      <c r="A57" s="2341" t="s">
        <v>984</v>
      </c>
      <c r="B57" s="3354" t="s">
        <v>1014</v>
      </c>
      <c r="C57" s="3355"/>
      <c r="D57" s="2333">
        <v>0</v>
      </c>
      <c r="E57" s="1918" t="s">
        <v>986</v>
      </c>
      <c r="F57" s="1853"/>
      <c r="G57" s="2343"/>
      <c r="H57" s="2355"/>
      <c r="I57" s="2354"/>
      <c r="J57" s="3353">
        <f>IF(AND(J55="",J56=""),4,IF(项目基本情况!K6="上海银行",结果表!J56+1,结果表!J55+1))</f>
        <v>5</v>
      </c>
      <c r="K57" s="3353" t="s">
        <v>1015</v>
      </c>
      <c r="L57" s="2356" t="s">
        <v>1016</v>
      </c>
      <c r="M57" s="2357"/>
      <c r="N57" s="2358">
        <f ca="1">SUMIF(M52:M56,"&lt;9e307")</f>
        <v>197060</v>
      </c>
      <c r="O57" s="2359"/>
      <c r="P57" s="2360">
        <f ca="1">N57/M49</f>
        <v>0.57692758103803632</v>
      </c>
    </row>
    <row r="58" spans="1:35" ht="25.2">
      <c r="A58" s="2341" t="s">
        <v>998</v>
      </c>
      <c r="B58" s="3354" t="s">
        <v>1017</v>
      </c>
      <c r="C58" s="3352"/>
      <c r="D58" s="1898">
        <f ca="1">IF(H58="转让取得",C81,C97)</f>
        <v>193636</v>
      </c>
      <c r="E58" s="1912" t="s">
        <v>1012</v>
      </c>
      <c r="F58" s="1853" t="s">
        <v>124</v>
      </c>
      <c r="G58" s="2343"/>
      <c r="H58" s="2353"/>
      <c r="I58" s="2354"/>
      <c r="J58" s="3353"/>
      <c r="K58" s="3353"/>
      <c r="L58" s="2356" t="s">
        <v>1018</v>
      </c>
      <c r="M58" s="2361"/>
      <c r="N58" s="2362" t="str">
        <f ca="1">NUMBERSTRING(INT(N57*10000),2)&amp;"元整"</f>
        <v>壹拾玖亿柒仟零陆拾万元整</v>
      </c>
      <c r="O58" s="2363"/>
    </row>
    <row r="59" spans="1:35" ht="24">
      <c r="A59" s="3360" t="s">
        <v>1019</v>
      </c>
      <c r="B59" s="3361"/>
      <c r="C59" s="3361"/>
      <c r="D59" s="2364">
        <f ca="1">IF(H59="非个人房产","——",IF(H59="个人住宅（满五唯一有凭证）",0,IF(H59="个人其他（无凭证）",ROUND(D45/(1+'数据-取费表'!C42)*F59,0),ROUND(C67*F59,0))))</f>
        <v>3253</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1013</v>
      </c>
      <c r="H59" s="2368"/>
      <c r="I59" s="2369" t="s">
        <v>1020</v>
      </c>
      <c r="J59" s="3414">
        <f>J57+1</f>
        <v>6</v>
      </c>
      <c r="K59" s="3353" t="s">
        <v>1021</v>
      </c>
      <c r="L59" s="629" t="s">
        <v>1016</v>
      </c>
      <c r="M59" s="2370"/>
      <c r="N59" s="2371">
        <f ca="1">M49-N57</f>
        <v>144508</v>
      </c>
      <c r="O59" s="2372"/>
    </row>
    <row r="60" spans="1:35" ht="12" customHeight="1">
      <c r="A60" s="2373"/>
      <c r="B60" s="1874"/>
      <c r="C60" s="1874"/>
      <c r="D60" s="1874"/>
      <c r="E60" s="2374"/>
      <c r="F60" s="2354"/>
      <c r="G60" s="2354"/>
      <c r="H60" s="986"/>
      <c r="I60" s="985"/>
      <c r="J60" s="3415"/>
      <c r="K60" s="3353"/>
      <c r="L60" s="2356" t="s">
        <v>1018</v>
      </c>
      <c r="M60" s="2361"/>
      <c r="N60" s="2362" t="str">
        <f ca="1">NUMBERSTRING(INT(N59*10000),2)&amp;"元整"</f>
        <v>壹拾肆亿肆仟伍佰零捌万元整</v>
      </c>
      <c r="O60" s="2363"/>
    </row>
    <row r="61" spans="1:35" ht="13.2">
      <c r="A61" s="3362" t="s">
        <v>1022</v>
      </c>
      <c r="B61" s="3362"/>
      <c r="C61" s="3362"/>
      <c r="D61" s="3362"/>
      <c r="E61" s="3362"/>
      <c r="F61" s="2354"/>
      <c r="G61" s="2354"/>
      <c r="H61" s="986"/>
      <c r="I61" s="985"/>
      <c r="J61" s="629">
        <f>J59+1</f>
        <v>7</v>
      </c>
      <c r="K61" s="3353" t="s">
        <v>1023</v>
      </c>
      <c r="L61" s="3353"/>
      <c r="M61" s="2375"/>
      <c r="N61" s="2376">
        <f ca="1">ROUND(N59*10000/'数据-汇总表'!E3,0)</f>
        <v>9365</v>
      </c>
      <c r="O61" s="2377"/>
    </row>
    <row r="62" spans="1:35" ht="13.2">
      <c r="A62" s="3363" t="s">
        <v>1024</v>
      </c>
      <c r="B62" s="3364"/>
      <c r="C62" s="555"/>
      <c r="D62" s="555" t="s">
        <v>1025</v>
      </c>
      <c r="E62" s="2378" t="s">
        <v>979</v>
      </c>
      <c r="F62" s="2354"/>
      <c r="G62" s="2354"/>
      <c r="H62" s="986"/>
      <c r="I62" s="985"/>
    </row>
    <row r="63" spans="1:35" ht="13.2">
      <c r="A63" s="2379" t="s">
        <v>1026</v>
      </c>
      <c r="B63" s="648" t="s">
        <v>1027</v>
      </c>
      <c r="C63" s="2380">
        <f ca="1">ROUND((C64+C65)/(1+'数据-取费表'!C42),0)</f>
        <v>325303</v>
      </c>
      <c r="D63" s="648"/>
      <c r="E63" s="2381"/>
      <c r="F63" s="2354"/>
      <c r="G63" s="2354"/>
      <c r="H63" s="986"/>
      <c r="I63" s="985"/>
      <c r="J63" s="3416" t="s">
        <v>1028</v>
      </c>
      <c r="K63" s="2382" t="s">
        <v>1029</v>
      </c>
      <c r="L63" s="2382">
        <f ca="1">IF(M49&gt;10000,M49*0.5%,IF(AND(M49&gt;1000,M49&lt;=10000),M49*1%,IF(AND(M49&gt;100,M49&lt;=1000),M49*3%,IF(AND(M49&gt;10,M49&lt;=100),M49*5%,M49*8%))))</f>
        <v>1707.8400000000001</v>
      </c>
      <c r="M63" s="1853">
        <f ca="1">ROUND(L63,1)</f>
        <v>1707.8</v>
      </c>
      <c r="N63" s="2383"/>
      <c r="Z63" s="2222"/>
      <c r="AI63" s="2223"/>
    </row>
    <row r="64" spans="1:35" ht="14.25" customHeight="1">
      <c r="A64" s="2384" t="s">
        <v>1030</v>
      </c>
      <c r="B64" s="524" t="s">
        <v>1031</v>
      </c>
      <c r="C64" s="2385">
        <f ca="1">D45</f>
        <v>341568</v>
      </c>
      <c r="D64" s="524" t="s">
        <v>124</v>
      </c>
      <c r="E64" s="2386"/>
      <c r="F64" s="2354"/>
      <c r="G64" s="2354"/>
      <c r="H64" s="986"/>
      <c r="I64" s="985"/>
      <c r="J64" s="3416"/>
      <c r="K64" s="2382" t="s">
        <v>1032</v>
      </c>
      <c r="L64" s="2382">
        <f ca="1">IF(M49&gt;2000,M49*0.5%,IF(AND(M49&gt;1000,M49&lt;=2000),M49*0.6%,IF(AND(M49&gt;500,M49&lt;=1000),M49*0.7%,IF(AND(M49&gt;200,M49&lt;=500),M49*0.8%,IF(AND(M49&gt;100,M49&lt;=200),M49*0.9%,IF(AND(M49&gt;50,M49&lt;=100),M49*1%,IF(AND(M49&gt;20,M49&lt;=50),M49*1.5%,IF(AND(M49&gt;10,M49&lt;=20),M49*2%,IF(AND(M49&gt;1,M49&lt;=10),M49*2.5%)))))))))</f>
        <v>1707.8400000000001</v>
      </c>
      <c r="M64" s="1853">
        <f t="shared" ref="M64:M65" ca="1" si="1">ROUND(L64,1)</f>
        <v>1707.8</v>
      </c>
      <c r="N64" s="1957" t="s">
        <v>1033</v>
      </c>
      <c r="Z64" s="2222"/>
      <c r="AI64" s="2223"/>
    </row>
    <row r="65" spans="1:35" ht="14.25" customHeight="1">
      <c r="A65" s="2384" t="s">
        <v>1034</v>
      </c>
      <c r="B65" s="524" t="s">
        <v>1035</v>
      </c>
      <c r="C65" s="2387"/>
      <c r="D65" s="524"/>
      <c r="E65" s="2386"/>
      <c r="F65" s="2354"/>
      <c r="G65" s="2354"/>
      <c r="H65" s="986"/>
      <c r="I65" s="985"/>
      <c r="J65" s="3416"/>
      <c r="K65" s="2382" t="s">
        <v>1036</v>
      </c>
      <c r="L65" s="2382">
        <f ca="1">IF(M49&gt;1000,M49*0.1%,IF(AND(M49&gt;500,M49&lt;=1000),M49*0.5%,IF(AND(M49&gt;50,M49&lt;=500),M49*1%,IF(AND(M49&gt;1,M49&lt;=50),M49*1.5%))))</f>
        <v>341.56799999999998</v>
      </c>
      <c r="M65" s="1853">
        <f t="shared" ca="1" si="1"/>
        <v>341.6</v>
      </c>
      <c r="N65" s="1957" t="s">
        <v>1033</v>
      </c>
      <c r="Z65" s="2222"/>
      <c r="AI65" s="2223"/>
    </row>
    <row r="66" spans="1:35" ht="14.25" customHeight="1">
      <c r="A66" s="2379" t="s">
        <v>1037</v>
      </c>
      <c r="B66" s="2388" t="s">
        <v>1038</v>
      </c>
      <c r="C66" s="2389"/>
      <c r="D66" s="2388" t="s">
        <v>124</v>
      </c>
      <c r="E66" s="2390" t="s">
        <v>1039</v>
      </c>
      <c r="F66" s="2354"/>
      <c r="G66" s="2354"/>
      <c r="H66" s="986"/>
      <c r="I66" s="985"/>
      <c r="J66" s="3416"/>
      <c r="K66" s="2382" t="s">
        <v>1040</v>
      </c>
      <c r="L66" s="2382">
        <f ca="1">M49*0.5%</f>
        <v>1707.8400000000001</v>
      </c>
      <c r="M66" s="1853">
        <f ca="1">IF(L66&gt;0.5,0.5,ROUND(L66,0))</f>
        <v>0.5</v>
      </c>
      <c r="N66" s="1957" t="s">
        <v>1041</v>
      </c>
      <c r="Z66" s="2222"/>
      <c r="AI66" s="2223"/>
    </row>
    <row r="67" spans="1:35" ht="14.25" customHeight="1">
      <c r="A67" s="2379" t="s">
        <v>1042</v>
      </c>
      <c r="B67" s="2388" t="s">
        <v>1043</v>
      </c>
      <c r="C67" s="2391">
        <f ca="1">C63-C66</f>
        <v>325303</v>
      </c>
      <c r="D67" s="524" t="s">
        <v>124</v>
      </c>
      <c r="E67" s="2386"/>
      <c r="F67" s="2354"/>
      <c r="G67" s="2354"/>
      <c r="H67" s="986"/>
      <c r="I67" s="985"/>
      <c r="J67" s="3416"/>
      <c r="K67" s="2382" t="s">
        <v>1044</v>
      </c>
      <c r="L67" s="2382">
        <f ca="1">IF(M49&gt;=10000,(8.25+(M49-10000)*0.01%),IF(AND(M49&gt;=8000,M49&lt;10000),(7.85+(M49-8000)*0.02%),IF(AND(M49&gt;=5000,M49&lt;8000),(6.65+(M49-5000)*0.04%),IF(AND(M49&gt;=2000,M49&lt;5000),(4.25+(PM49-2000)*0.08%),IF(AND(M49&gt;=1000,M49&lt;2000),(2.75+(M49-1000)*0.15%),IF(AND(M49&gt;=100,M49&lt;1000),(0.5+(M49-100)*0.25%),IF(AND(M49&gt;0,M49&lt;100),M49*0.5%)))))))</f>
        <v>41.406800000000004</v>
      </c>
      <c r="M67" s="1853">
        <f ca="1">ROUND(L67*0.9,1)</f>
        <v>37.299999999999997</v>
      </c>
      <c r="N67" s="2383"/>
      <c r="Z67" s="2222"/>
      <c r="AI67" s="2223"/>
    </row>
    <row r="68" spans="1:35" ht="14.25" customHeight="1">
      <c r="A68" s="2392" t="s">
        <v>1045</v>
      </c>
      <c r="B68" s="2393" t="s">
        <v>1046</v>
      </c>
      <c r="C68" s="2394">
        <f ca="1">IF(C67&lt;=0,0,ROUND(C67*D68,0))</f>
        <v>17892</v>
      </c>
      <c r="D68" s="749">
        <f>'数据-取费表'!B41</f>
        <v>5.5E-2</v>
      </c>
      <c r="E68" s="2395"/>
      <c r="F68" s="2354"/>
      <c r="G68" s="2354"/>
      <c r="H68" s="986"/>
      <c r="I68" s="985"/>
      <c r="J68" s="3416"/>
      <c r="K68" s="2382" t="s">
        <v>1047</v>
      </c>
      <c r="L68" s="2382">
        <f ca="1">IF(M49&gt;10000,M49*0.5%,IF(AND(M49&gt;5000,M49&lt;=10000),M49*1%,IF(AND(M49&gt;1000,M49&lt;=5000),M49*2%,IF(AND(M49&gt;200,M49&lt;=1000),M49*3%,M49*5%))))</f>
        <v>1707.8400000000001</v>
      </c>
      <c r="M68" s="1853">
        <f ca="1">ROUND(L68,1)</f>
        <v>1707.8</v>
      </c>
      <c r="N68" s="2383"/>
      <c r="Z68" s="2222"/>
      <c r="AI68" s="2223"/>
    </row>
    <row r="69" spans="1:35" ht="16.5" customHeight="1">
      <c r="A69" s="2396"/>
      <c r="B69" s="2397"/>
      <c r="C69" s="2398"/>
      <c r="D69" s="815"/>
      <c r="E69" s="2399"/>
      <c r="F69" s="2374"/>
      <c r="G69" s="2374"/>
      <c r="H69" s="2312"/>
      <c r="I69" s="1874"/>
      <c r="J69" s="3416"/>
      <c r="K69" s="2382" t="s">
        <v>1048</v>
      </c>
      <c r="L69" s="2382"/>
      <c r="M69" s="1853">
        <f ca="1">ROUND(SUM(M63:M68),0)</f>
        <v>5503</v>
      </c>
      <c r="N69" s="2400">
        <f ca="1">M69/M49</f>
        <v>1.6110994004122164E-2</v>
      </c>
      <c r="Z69" s="2222"/>
      <c r="AI69" s="2223"/>
    </row>
    <row r="70" spans="1:35" s="883" customFormat="1" ht="13.8">
      <c r="A70" s="3365" t="s">
        <v>1049</v>
      </c>
      <c r="B70" s="3366"/>
      <c r="C70" s="3366"/>
      <c r="D70" s="3366"/>
      <c r="E70" s="3366"/>
      <c r="F70" s="3366"/>
      <c r="G70" s="3366"/>
      <c r="H70" s="3366"/>
      <c r="I70" s="2401"/>
      <c r="J70" s="1493"/>
      <c r="K70" s="1493"/>
      <c r="L70" s="1493"/>
      <c r="M70" s="1493"/>
      <c r="N70" s="2402"/>
      <c r="O70" s="2402"/>
      <c r="P70" s="2402"/>
      <c r="Q70" s="2402"/>
      <c r="R70" s="2402"/>
      <c r="S70" s="2402"/>
      <c r="T70" s="2402"/>
      <c r="U70" s="2402"/>
      <c r="V70" s="2402"/>
      <c r="W70" s="2402"/>
      <c r="X70" s="2402"/>
      <c r="Y70" s="2402"/>
      <c r="Z70" s="2402"/>
      <c r="AA70" s="2403"/>
      <c r="AB70" s="2403"/>
      <c r="AC70" s="2403"/>
      <c r="AD70" s="2403"/>
      <c r="AE70" s="2403"/>
      <c r="AF70" s="2403"/>
      <c r="AG70" s="2403"/>
      <c r="AH70" s="2403"/>
      <c r="AI70" s="2403"/>
    </row>
    <row r="71" spans="1:35" s="883" customFormat="1" ht="13.8">
      <c r="A71" s="3363" t="s">
        <v>1024</v>
      </c>
      <c r="B71" s="3364"/>
      <c r="C71" s="555"/>
      <c r="D71" s="555" t="s">
        <v>1025</v>
      </c>
      <c r="E71" s="2404" t="s">
        <v>979</v>
      </c>
      <c r="F71" s="2405"/>
      <c r="G71" s="2405"/>
      <c r="H71" s="2406"/>
      <c r="I71" s="2407"/>
      <c r="J71" s="1493"/>
      <c r="K71" s="1493"/>
      <c r="L71" s="1493"/>
      <c r="M71" s="1493"/>
      <c r="N71" s="2402"/>
      <c r="O71" s="2402"/>
      <c r="P71" s="2402"/>
      <c r="Q71" s="2402"/>
      <c r="R71" s="2402"/>
      <c r="S71" s="2402"/>
      <c r="T71" s="2402"/>
      <c r="U71" s="2402"/>
      <c r="V71" s="2402"/>
      <c r="W71" s="2402"/>
      <c r="X71" s="2402"/>
      <c r="Y71" s="2402"/>
      <c r="Z71" s="2402"/>
      <c r="AA71" s="2403"/>
      <c r="AB71" s="2403"/>
      <c r="AC71" s="2403"/>
      <c r="AD71" s="2403"/>
      <c r="AE71" s="2403"/>
      <c r="AF71" s="2403"/>
      <c r="AG71" s="2403"/>
      <c r="AH71" s="2403"/>
      <c r="AI71" s="2403"/>
    </row>
    <row r="72" spans="1:35" s="883" customFormat="1" ht="13.8">
      <c r="A72" s="2379" t="s">
        <v>1026</v>
      </c>
      <c r="B72" s="2388" t="s">
        <v>1050</v>
      </c>
      <c r="C72" s="2391">
        <f ca="1">ROUND(D45/(1+'数据-取费表'!C42),0)</f>
        <v>325303</v>
      </c>
      <c r="D72" s="524" t="s">
        <v>124</v>
      </c>
      <c r="E72" s="1895"/>
      <c r="F72" s="1896"/>
      <c r="G72" s="1896"/>
      <c r="H72" s="2408"/>
      <c r="I72" s="2407"/>
      <c r="J72" s="1493"/>
      <c r="K72" s="1493"/>
      <c r="L72" s="1493"/>
      <c r="M72" s="1493"/>
      <c r="N72" s="2402"/>
      <c r="O72" s="2402"/>
      <c r="P72" s="2402"/>
      <c r="Q72" s="2402"/>
      <c r="R72" s="2402"/>
      <c r="S72" s="2402"/>
      <c r="T72" s="2402"/>
      <c r="U72" s="2402"/>
      <c r="V72" s="2402"/>
      <c r="W72" s="2402"/>
      <c r="X72" s="2402"/>
      <c r="Y72" s="2402"/>
      <c r="Z72" s="2402"/>
      <c r="AA72" s="2403"/>
      <c r="AB72" s="2403"/>
      <c r="AC72" s="2403"/>
      <c r="AD72" s="2403"/>
      <c r="AE72" s="2403"/>
      <c r="AF72" s="2403"/>
      <c r="AG72" s="2403"/>
      <c r="AH72" s="2403"/>
      <c r="AI72" s="2403"/>
    </row>
    <row r="73" spans="1:35" s="883" customFormat="1" ht="13.8">
      <c r="A73" s="2379" t="s">
        <v>1037</v>
      </c>
      <c r="B73" s="2326" t="s">
        <v>1051</v>
      </c>
      <c r="C73" s="2391">
        <f ca="1">C74+C78</f>
        <v>1627</v>
      </c>
      <c r="D73" s="524" t="s">
        <v>124</v>
      </c>
      <c r="E73" s="1895"/>
      <c r="F73" s="1896"/>
      <c r="G73" s="1896"/>
      <c r="H73" s="2408"/>
      <c r="I73" s="2407"/>
      <c r="J73" s="2402"/>
      <c r="K73" s="2402"/>
      <c r="L73" s="2402"/>
      <c r="M73" s="2402"/>
      <c r="N73" s="2402"/>
      <c r="O73" s="2402"/>
      <c r="P73" s="2402"/>
      <c r="Q73" s="2402"/>
      <c r="R73" s="2402"/>
      <c r="S73" s="2402"/>
      <c r="T73" s="2402"/>
      <c r="U73" s="2402"/>
      <c r="V73" s="2402"/>
      <c r="W73" s="2402"/>
      <c r="X73" s="2402"/>
      <c r="Y73" s="2402"/>
      <c r="Z73" s="2402"/>
      <c r="AA73" s="2403"/>
      <c r="AB73" s="2403"/>
      <c r="AC73" s="2403"/>
      <c r="AD73" s="2403"/>
      <c r="AE73" s="2403"/>
      <c r="AF73" s="2403"/>
      <c r="AG73" s="2403"/>
      <c r="AH73" s="2403"/>
      <c r="AI73" s="2403"/>
    </row>
    <row r="74" spans="1:35" s="883" customFormat="1" ht="24">
      <c r="A74" s="2384" t="s">
        <v>1030</v>
      </c>
      <c r="B74" s="524" t="s">
        <v>1052</v>
      </c>
      <c r="C74" s="524">
        <f>ROUND(IF(G77="2016年5月1日后购买",C75/(1+'数据-取费表'!C42)+C76+C77,C75+C76+C77),0)</f>
        <v>0</v>
      </c>
      <c r="D74" s="524" t="s">
        <v>124</v>
      </c>
      <c r="E74" s="1895"/>
      <c r="F74" s="1896"/>
      <c r="G74" s="1896"/>
      <c r="H74" s="2408"/>
      <c r="I74" s="2407"/>
      <c r="J74" s="2402"/>
      <c r="K74" s="2402"/>
      <c r="L74" s="2402"/>
      <c r="M74" s="2402"/>
      <c r="N74" s="2402"/>
      <c r="O74" s="2402"/>
      <c r="P74" s="2402"/>
      <c r="Q74" s="2402"/>
      <c r="R74" s="2402"/>
      <c r="S74" s="2402"/>
      <c r="T74" s="2402"/>
      <c r="U74" s="2402"/>
      <c r="V74" s="2402"/>
      <c r="W74" s="2402"/>
      <c r="X74" s="2402"/>
      <c r="Y74" s="2402"/>
      <c r="Z74" s="2402"/>
      <c r="AA74" s="2403"/>
      <c r="AB74" s="2403"/>
      <c r="AC74" s="2403"/>
      <c r="AD74" s="2403"/>
      <c r="AE74" s="2403"/>
      <c r="AF74" s="2403"/>
      <c r="AG74" s="2403"/>
      <c r="AH74" s="2403"/>
      <c r="AI74" s="2403"/>
    </row>
    <row r="75" spans="1:35" s="883" customFormat="1" ht="28.8">
      <c r="A75" s="2384" t="s">
        <v>1053</v>
      </c>
      <c r="B75" s="524" t="s">
        <v>1054</v>
      </c>
      <c r="C75" s="632"/>
      <c r="D75" s="524" t="s">
        <v>124</v>
      </c>
      <c r="E75" s="2409" t="s">
        <v>1055</v>
      </c>
      <c r="F75" s="2410"/>
      <c r="G75" s="2409" t="s">
        <v>1056</v>
      </c>
      <c r="H75" s="2411"/>
      <c r="I75" s="799"/>
      <c r="J75" s="2402"/>
      <c r="K75" s="2402"/>
      <c r="L75" s="2402"/>
      <c r="M75" s="2402"/>
      <c r="N75" s="2402"/>
      <c r="O75" s="2402"/>
      <c r="P75" s="2402"/>
      <c r="Q75" s="2402"/>
      <c r="R75" s="2402"/>
      <c r="S75" s="2402"/>
      <c r="T75" s="2402"/>
      <c r="U75" s="2402"/>
      <c r="V75" s="2402"/>
      <c r="W75" s="2402"/>
      <c r="X75" s="2402"/>
      <c r="Y75" s="2402"/>
      <c r="Z75" s="2402"/>
      <c r="AA75" s="2403"/>
      <c r="AB75" s="2403"/>
      <c r="AC75" s="2403"/>
      <c r="AD75" s="2403"/>
      <c r="AE75" s="2403"/>
      <c r="AF75" s="2403"/>
      <c r="AG75" s="2403"/>
      <c r="AH75" s="2403"/>
      <c r="AI75" s="2403"/>
    </row>
    <row r="76" spans="1:35" s="883" customFormat="1" ht="24.75" customHeight="1">
      <c r="A76" s="2384" t="s">
        <v>1057</v>
      </c>
      <c r="B76" s="2412" t="s">
        <v>1058</v>
      </c>
      <c r="C76" s="524">
        <f>IF(F75="购房发票",ROUND(C75*H75*D76,0),0)</f>
        <v>0</v>
      </c>
      <c r="D76" s="2413">
        <v>0.05</v>
      </c>
      <c r="E76" s="3354" t="s">
        <v>1059</v>
      </c>
      <c r="F76" s="3352"/>
      <c r="G76" s="3352"/>
      <c r="H76" s="3367"/>
      <c r="I76" s="2407"/>
      <c r="J76" s="2402"/>
      <c r="K76" s="2402"/>
      <c r="L76" s="2402"/>
      <c r="M76" s="2402"/>
      <c r="N76" s="2402"/>
      <c r="O76" s="2402"/>
      <c r="P76" s="2402"/>
      <c r="Q76" s="2402"/>
      <c r="R76" s="2402"/>
      <c r="S76" s="2402"/>
      <c r="T76" s="2402"/>
      <c r="U76" s="2402"/>
      <c r="V76" s="2402"/>
      <c r="W76" s="2402"/>
      <c r="X76" s="2402"/>
      <c r="Y76" s="2402"/>
      <c r="Z76" s="2402"/>
      <c r="AA76" s="2403"/>
      <c r="AB76" s="2403"/>
      <c r="AC76" s="2403"/>
      <c r="AD76" s="2403"/>
      <c r="AE76" s="2403"/>
      <c r="AF76" s="2403"/>
      <c r="AG76" s="2403"/>
      <c r="AH76" s="2403"/>
      <c r="AI76" s="2403"/>
    </row>
    <row r="77" spans="1:35" s="883" customFormat="1" ht="24.75" customHeight="1">
      <c r="A77" s="2384" t="s">
        <v>1060</v>
      </c>
      <c r="B77" s="524" t="s">
        <v>1061</v>
      </c>
      <c r="C77" s="524">
        <f>ROUND(IF(G77="个人住宅",0,IF(G77="2016年5月1日前购买",C75*D77,C75*D77/(1+'数据-取费表'!C42))),0)</f>
        <v>0</v>
      </c>
      <c r="D77" s="2415">
        <f>'数据-取费表'!B48+'数据-取费表'!B49</f>
        <v>3.0499999999999999E-2</v>
      </c>
      <c r="E77" s="1898" t="s">
        <v>1062</v>
      </c>
      <c r="F77" s="2416"/>
      <c r="G77" s="2417"/>
      <c r="H77" s="2414" t="str">
        <f>IF(G77="个人买卖住房","免征印花税"," ")</f>
        <v/>
      </c>
      <c r="I77" s="2407"/>
      <c r="J77" s="2402"/>
      <c r="K77" s="2402"/>
      <c r="L77" s="2402"/>
      <c r="M77" s="2402"/>
      <c r="N77" s="2402"/>
      <c r="O77" s="2402"/>
      <c r="P77" s="2402"/>
      <c r="Q77" s="2402"/>
      <c r="R77" s="2402"/>
      <c r="S77" s="2402"/>
      <c r="T77" s="2402"/>
      <c r="U77" s="2402"/>
      <c r="V77" s="2402"/>
      <c r="W77" s="2402"/>
      <c r="X77" s="2402"/>
      <c r="Y77" s="2402"/>
      <c r="Z77" s="2402"/>
      <c r="AA77" s="2403"/>
      <c r="AB77" s="2403"/>
      <c r="AC77" s="2403"/>
      <c r="AD77" s="2403"/>
      <c r="AE77" s="2403"/>
      <c r="AF77" s="2403"/>
      <c r="AG77" s="2403"/>
      <c r="AH77" s="2403"/>
      <c r="AI77" s="2403"/>
    </row>
    <row r="78" spans="1:35" s="883" customFormat="1" ht="24.75" customHeight="1">
      <c r="A78" s="2384" t="s">
        <v>1034</v>
      </c>
      <c r="B78" s="524" t="s">
        <v>1063</v>
      </c>
      <c r="C78" s="2418">
        <f ca="1">ROUND(D45*D78/(1+'数据-取费表'!C42),0)</f>
        <v>1627</v>
      </c>
      <c r="D78" s="2419">
        <f>'数据-取费表'!B43</f>
        <v>5.0000000000000001E-3</v>
      </c>
      <c r="E78" s="3368" t="s">
        <v>1064</v>
      </c>
      <c r="F78" s="3369"/>
      <c r="G78" s="3369"/>
      <c r="H78" s="3370"/>
      <c r="I78" s="2423"/>
      <c r="J78" s="2402"/>
      <c r="K78" s="2402"/>
      <c r="L78" s="2402"/>
      <c r="M78" s="2402"/>
      <c r="N78" s="2402"/>
      <c r="O78" s="2402"/>
      <c r="P78" s="2402"/>
      <c r="Q78" s="2402"/>
      <c r="R78" s="2402"/>
      <c r="S78" s="2402"/>
      <c r="T78" s="2402"/>
      <c r="U78" s="2402"/>
      <c r="V78" s="2402"/>
      <c r="W78" s="2402"/>
      <c r="X78" s="2402"/>
      <c r="Y78" s="2402"/>
      <c r="Z78" s="2402"/>
      <c r="AA78" s="2403"/>
      <c r="AB78" s="2403"/>
      <c r="AC78" s="2403"/>
      <c r="AD78" s="2403"/>
      <c r="AE78" s="2403"/>
      <c r="AF78" s="2403"/>
      <c r="AG78" s="2403"/>
      <c r="AH78" s="2403"/>
      <c r="AI78" s="2403"/>
    </row>
    <row r="79" spans="1:35" s="883" customFormat="1" ht="13.8">
      <c r="A79" s="2379" t="s">
        <v>1042</v>
      </c>
      <c r="B79" s="2388" t="s">
        <v>1065</v>
      </c>
      <c r="C79" s="2391">
        <f ca="1">C72-C73</f>
        <v>323676</v>
      </c>
      <c r="D79" s="524" t="s">
        <v>124</v>
      </c>
      <c r="E79" s="1895"/>
      <c r="F79" s="1896"/>
      <c r="G79" s="1896"/>
      <c r="H79" s="2408"/>
      <c r="I79" s="2407"/>
      <c r="J79" s="2402"/>
      <c r="K79" s="2402"/>
      <c r="L79" s="2402"/>
      <c r="M79" s="2402"/>
      <c r="N79" s="2402"/>
      <c r="O79" s="2402"/>
      <c r="P79" s="2402"/>
      <c r="Q79" s="2402"/>
      <c r="R79" s="2402"/>
      <c r="S79" s="2402"/>
      <c r="T79" s="2402"/>
      <c r="U79" s="2402"/>
      <c r="V79" s="2402"/>
      <c r="W79" s="2402"/>
      <c r="X79" s="2402"/>
      <c r="Y79" s="2402"/>
      <c r="Z79" s="2402"/>
      <c r="AA79" s="2403"/>
      <c r="AB79" s="2403"/>
      <c r="AC79" s="2403"/>
      <c r="AD79" s="2403"/>
      <c r="AE79" s="2403"/>
      <c r="AF79" s="2403"/>
      <c r="AG79" s="2403"/>
      <c r="AH79" s="2403"/>
      <c r="AI79" s="2403"/>
    </row>
    <row r="80" spans="1:35" s="883" customFormat="1" ht="24">
      <c r="A80" s="2379" t="s">
        <v>1045</v>
      </c>
      <c r="B80" s="2388" t="s">
        <v>1066</v>
      </c>
      <c r="C80" s="2424">
        <f ca="1">IF(C79&lt;=0,0,C79/C73)</f>
        <v>198.94038106945297</v>
      </c>
      <c r="D80" s="524" t="s">
        <v>124</v>
      </c>
      <c r="E80" s="1898" t="str">
        <f ca="1">IF(C80&gt;=200%,"增值额超过扣除项目金额200%",IF(C80&gt;=100%,"增值额超过扣除项目金额100%，未超过200%",IF(C80&gt;=50%,"增值额超过扣除项目金额50%，未超过100%",IF(C80&lt;50%,"增值额未超过扣除项目金额50%"))))</f>
        <v>增值额超过扣除项目金额200%</v>
      </c>
      <c r="F80" s="1896"/>
      <c r="G80" s="1896"/>
      <c r="H80" s="2408"/>
      <c r="I80" s="2407"/>
      <c r="J80" s="2402"/>
      <c r="K80" s="2402"/>
      <c r="L80" s="2402"/>
      <c r="M80" s="2402"/>
      <c r="N80" s="2402"/>
      <c r="O80" s="2402"/>
      <c r="P80" s="2402"/>
      <c r="Q80" s="2402"/>
      <c r="R80" s="2402"/>
      <c r="S80" s="2402"/>
      <c r="T80" s="2402"/>
      <c r="U80" s="2402"/>
      <c r="V80" s="2402"/>
      <c r="W80" s="2402"/>
      <c r="X80" s="2402"/>
      <c r="Y80" s="2402"/>
      <c r="Z80" s="2402"/>
      <c r="AA80" s="2403"/>
      <c r="AB80" s="2403"/>
      <c r="AC80" s="2403"/>
      <c r="AD80" s="2403"/>
      <c r="AE80" s="2403"/>
      <c r="AF80" s="2403"/>
      <c r="AG80" s="2403"/>
      <c r="AH80" s="2403"/>
      <c r="AI80" s="2403"/>
    </row>
    <row r="81" spans="1:35" s="883" customFormat="1" ht="24">
      <c r="A81" s="2392" t="s">
        <v>1067</v>
      </c>
      <c r="B81" s="2393" t="s">
        <v>1068</v>
      </c>
      <c r="C81" s="2425">
        <f ca="1">ROUND(IF(C79&lt;=0,0,IF(C80&gt;=200%,C79*60%-C73*35%,IF(C80&gt;=100%,C79*50%-C73*15%,IF(C80&gt;=50%,C79*40%-C73*5%,IF(C80&lt;50%,C79*30%,0))))),0)</f>
        <v>193636</v>
      </c>
      <c r="D81" s="778"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07"/>
      <c r="J81" s="2402"/>
      <c r="K81" s="2402"/>
      <c r="L81" s="2402"/>
      <c r="M81" s="2402"/>
      <c r="N81" s="2402"/>
      <c r="O81" s="2402"/>
      <c r="P81" s="2402"/>
      <c r="Q81" s="2402"/>
      <c r="R81" s="2402"/>
      <c r="S81" s="2402"/>
      <c r="T81" s="2402"/>
      <c r="U81" s="2402"/>
      <c r="V81" s="2402"/>
      <c r="W81" s="2402"/>
      <c r="X81" s="2402"/>
      <c r="Y81" s="2402"/>
      <c r="Z81" s="2402"/>
      <c r="AA81" s="2403"/>
      <c r="AB81" s="2403"/>
      <c r="AC81" s="2403"/>
      <c r="AD81" s="2403"/>
      <c r="AE81" s="2403"/>
      <c r="AF81" s="2403"/>
      <c r="AG81" s="2403"/>
      <c r="AH81" s="2403"/>
      <c r="AI81" s="2403"/>
    </row>
    <row r="82" spans="1:35" s="883" customFormat="1" ht="7.5" customHeight="1">
      <c r="A82" s="602"/>
      <c r="B82" s="2429"/>
      <c r="C82" s="602"/>
      <c r="D82" s="602"/>
      <c r="E82" s="2429"/>
      <c r="F82" s="2429"/>
      <c r="G82" s="2429"/>
      <c r="H82" s="2430"/>
      <c r="I82" s="2423"/>
      <c r="J82" s="2402"/>
      <c r="K82" s="2402"/>
      <c r="L82" s="2402"/>
      <c r="M82" s="2402"/>
      <c r="N82" s="2402"/>
      <c r="O82" s="2402"/>
      <c r="P82" s="2402"/>
      <c r="Q82" s="2402"/>
      <c r="R82" s="2402"/>
      <c r="S82" s="2402"/>
      <c r="T82" s="2402"/>
      <c r="U82" s="2402"/>
      <c r="V82" s="2402"/>
      <c r="W82" s="2402"/>
      <c r="X82" s="2402"/>
      <c r="Y82" s="2402"/>
      <c r="Z82" s="2402"/>
      <c r="AA82" s="2403"/>
      <c r="AB82" s="2403"/>
      <c r="AC82" s="2403"/>
      <c r="AD82" s="2403"/>
      <c r="AE82" s="2403"/>
      <c r="AF82" s="2403"/>
      <c r="AG82" s="2403"/>
      <c r="AH82" s="2403"/>
      <c r="AI82" s="2403"/>
    </row>
    <row r="83" spans="1:35" s="883" customFormat="1" ht="13.8">
      <c r="A83" s="3365" t="s">
        <v>1069</v>
      </c>
      <c r="B83" s="3366"/>
      <c r="C83" s="3366"/>
      <c r="D83" s="3366"/>
      <c r="E83" s="3366"/>
      <c r="F83" s="3366"/>
      <c r="G83" s="3366"/>
      <c r="H83" s="3366"/>
      <c r="I83" s="799"/>
      <c r="J83" s="2402"/>
      <c r="K83" s="2402"/>
      <c r="L83" s="2402"/>
      <c r="M83" s="2402"/>
      <c r="N83" s="2402"/>
      <c r="O83" s="2402"/>
      <c r="P83" s="2402"/>
      <c r="Q83" s="2402"/>
      <c r="R83" s="2402"/>
      <c r="S83" s="2402"/>
      <c r="T83" s="2402"/>
      <c r="U83" s="2402"/>
      <c r="V83" s="2402"/>
      <c r="W83" s="2402"/>
      <c r="X83" s="2402"/>
      <c r="Y83" s="2402"/>
      <c r="Z83" s="2402"/>
      <c r="AA83" s="2403"/>
      <c r="AB83" s="2403"/>
      <c r="AC83" s="2403"/>
      <c r="AD83" s="2403"/>
      <c r="AE83" s="2403"/>
      <c r="AF83" s="2403"/>
      <c r="AG83" s="2403"/>
      <c r="AH83" s="2403"/>
      <c r="AI83" s="2403"/>
    </row>
    <row r="84" spans="1:35" s="883" customFormat="1" ht="13.8">
      <c r="A84" s="3363" t="s">
        <v>1024</v>
      </c>
      <c r="B84" s="3364"/>
      <c r="C84" s="555"/>
      <c r="D84" s="555" t="s">
        <v>1025</v>
      </c>
      <c r="E84" s="2404" t="s">
        <v>979</v>
      </c>
      <c r="F84" s="2405"/>
      <c r="G84" s="2405"/>
      <c r="H84" s="2431"/>
      <c r="I84" s="799"/>
      <c r="J84" s="2402"/>
      <c r="K84" s="2402"/>
      <c r="L84" s="2402"/>
      <c r="M84" s="2402"/>
      <c r="N84" s="2402"/>
      <c r="O84" s="2402"/>
      <c r="P84" s="2402"/>
      <c r="Q84" s="2402"/>
      <c r="R84" s="2402"/>
      <c r="S84" s="2402"/>
      <c r="T84" s="2402"/>
      <c r="U84" s="2402"/>
      <c r="V84" s="2402"/>
      <c r="W84" s="2402"/>
      <c r="X84" s="2402"/>
      <c r="Y84" s="2402"/>
      <c r="Z84" s="2402"/>
      <c r="AA84" s="2403"/>
      <c r="AB84" s="2403"/>
      <c r="AC84" s="2403"/>
      <c r="AD84" s="2403"/>
      <c r="AE84" s="2403"/>
      <c r="AF84" s="2403"/>
      <c r="AG84" s="2403"/>
      <c r="AH84" s="2403"/>
      <c r="AI84" s="2403"/>
    </row>
    <row r="85" spans="1:35" s="883" customFormat="1" ht="13.8">
      <c r="A85" s="2379" t="s">
        <v>1026</v>
      </c>
      <c r="B85" s="2388" t="s">
        <v>1050</v>
      </c>
      <c r="C85" s="2391">
        <f ca="1">ROUND(D45/(1+'数据-取费表'!C42),0)</f>
        <v>325303</v>
      </c>
      <c r="D85" s="524" t="s">
        <v>124</v>
      </c>
      <c r="E85" s="1895"/>
      <c r="F85" s="1896"/>
      <c r="G85" s="1896"/>
      <c r="H85" s="2432"/>
      <c r="I85" s="799"/>
      <c r="J85" s="2402"/>
      <c r="K85" s="2402"/>
      <c r="L85" s="2402"/>
      <c r="M85" s="2402"/>
      <c r="N85" s="2402"/>
      <c r="O85" s="2402"/>
      <c r="P85" s="2402"/>
      <c r="Q85" s="2402"/>
      <c r="R85" s="2402"/>
      <c r="S85" s="2402"/>
      <c r="T85" s="2402"/>
      <c r="U85" s="2402"/>
      <c r="V85" s="2402"/>
      <c r="W85" s="2402"/>
      <c r="X85" s="2402"/>
      <c r="Y85" s="2402"/>
      <c r="Z85" s="2402"/>
      <c r="AA85" s="2403"/>
      <c r="AB85" s="2403"/>
      <c r="AC85" s="2403"/>
      <c r="AD85" s="2403"/>
      <c r="AE85" s="2403"/>
      <c r="AF85" s="2403"/>
      <c r="AG85" s="2403"/>
      <c r="AH85" s="2403"/>
      <c r="AI85" s="2403"/>
    </row>
    <row r="86" spans="1:35" s="883" customFormat="1" ht="13.8">
      <c r="A86" s="2379" t="s">
        <v>1037</v>
      </c>
      <c r="B86" s="2326" t="s">
        <v>1051</v>
      </c>
      <c r="C86" s="2391">
        <f ca="1">IF(H88="仅含出让金",C87+C90+C91+C92+C93+C94,C87+C91+C92+C93+C94)</f>
        <v>1627</v>
      </c>
      <c r="D86" s="2433"/>
      <c r="E86" s="1895"/>
      <c r="F86" s="1896"/>
      <c r="G86" s="1896"/>
      <c r="H86" s="2432"/>
      <c r="I86" s="799"/>
      <c r="J86" s="2402"/>
      <c r="K86" s="2402"/>
      <c r="L86" s="2402"/>
      <c r="M86" s="2402"/>
      <c r="N86" s="2402"/>
      <c r="O86" s="2402"/>
      <c r="P86" s="2402"/>
      <c r="Q86" s="2402"/>
      <c r="R86" s="2402"/>
      <c r="S86" s="2402"/>
      <c r="T86" s="2402"/>
      <c r="U86" s="2402"/>
      <c r="V86" s="2402"/>
      <c r="W86" s="2402"/>
      <c r="X86" s="2402"/>
      <c r="Y86" s="2402"/>
      <c r="Z86" s="2402"/>
      <c r="AA86" s="2403"/>
      <c r="AB86" s="2403"/>
      <c r="AC86" s="2403"/>
      <c r="AD86" s="2403"/>
      <c r="AE86" s="2403"/>
      <c r="AF86" s="2403"/>
      <c r="AG86" s="2403"/>
      <c r="AH86" s="2403"/>
      <c r="AI86" s="2403"/>
    </row>
    <row r="87" spans="1:35" s="883" customFormat="1" ht="13.8">
      <c r="A87" s="2384" t="s">
        <v>1030</v>
      </c>
      <c r="B87" s="524" t="s">
        <v>1070</v>
      </c>
      <c r="C87" s="2418">
        <f>C88+C89</f>
        <v>0</v>
      </c>
      <c r="D87" s="2419"/>
      <c r="E87" s="2420"/>
      <c r="F87" s="2421"/>
      <c r="G87" s="2421"/>
      <c r="H87" s="2422"/>
      <c r="I87" s="799"/>
      <c r="J87" s="2402"/>
      <c r="K87" s="2402"/>
      <c r="L87" s="2402"/>
      <c r="M87" s="2402"/>
      <c r="N87" s="2402"/>
      <c r="O87" s="2402"/>
      <c r="P87" s="2402"/>
      <c r="Q87" s="2402"/>
      <c r="R87" s="2402"/>
      <c r="S87" s="2402"/>
      <c r="T87" s="2402"/>
      <c r="U87" s="2402"/>
      <c r="V87" s="2402"/>
      <c r="W87" s="2402"/>
      <c r="X87" s="2402"/>
      <c r="Y87" s="2402"/>
      <c r="Z87" s="2402"/>
      <c r="AA87" s="2403"/>
      <c r="AB87" s="2403"/>
      <c r="AC87" s="2403"/>
      <c r="AD87" s="2403"/>
      <c r="AE87" s="2403"/>
      <c r="AF87" s="2403"/>
      <c r="AG87" s="2403"/>
      <c r="AH87" s="2403"/>
      <c r="AI87" s="2403"/>
    </row>
    <row r="88" spans="1:35" s="883" customFormat="1" ht="14.4">
      <c r="A88" s="2384" t="s">
        <v>1053</v>
      </c>
      <c r="B88" s="524" t="s">
        <v>1071</v>
      </c>
      <c r="C88" s="2434"/>
      <c r="D88" s="2419"/>
      <c r="E88" s="2435" t="s">
        <v>1072</v>
      </c>
      <c r="F88" s="2421"/>
      <c r="G88" s="2436" t="s">
        <v>1073</v>
      </c>
      <c r="H88" s="2437"/>
      <c r="I88" s="799"/>
      <c r="J88" s="2438" t="s">
        <v>1074</v>
      </c>
      <c r="K88" s="2402"/>
      <c r="L88" s="2402"/>
      <c r="M88" s="2402"/>
      <c r="N88" s="2402"/>
      <c r="O88" s="2402"/>
      <c r="P88" s="2402"/>
      <c r="Q88" s="2402"/>
      <c r="R88" s="2402"/>
      <c r="S88" s="2402"/>
      <c r="T88" s="2402"/>
      <c r="U88" s="2402"/>
      <c r="V88" s="2402"/>
      <c r="W88" s="2402"/>
      <c r="X88" s="2402"/>
      <c r="Y88" s="2402"/>
      <c r="Z88" s="2402"/>
      <c r="AA88" s="2403"/>
      <c r="AB88" s="2403"/>
      <c r="AC88" s="2403"/>
      <c r="AD88" s="2403"/>
      <c r="AE88" s="2403"/>
      <c r="AF88" s="2403"/>
      <c r="AG88" s="2403"/>
      <c r="AH88" s="2403"/>
      <c r="AI88" s="2403"/>
    </row>
    <row r="89" spans="1:35" s="883" customFormat="1" ht="13.8">
      <c r="A89" s="2384" t="s">
        <v>1057</v>
      </c>
      <c r="B89" s="524" t="s">
        <v>1061</v>
      </c>
      <c r="C89" s="2418">
        <f>ROUND(C88*D89,0)</f>
        <v>0</v>
      </c>
      <c r="D89" s="2419">
        <f>'数据-取费表'!B48+'数据-取费表'!B49</f>
        <v>3.0499999999999999E-2</v>
      </c>
      <c r="E89" s="2435" t="s">
        <v>1075</v>
      </c>
      <c r="F89" s="2421"/>
      <c r="G89" s="2421"/>
      <c r="H89" s="2422"/>
      <c r="I89" s="799"/>
      <c r="J89" s="2402"/>
      <c r="K89" s="2402"/>
      <c r="L89" s="2402"/>
      <c r="M89" s="2402"/>
      <c r="N89" s="2402"/>
      <c r="O89" s="2402"/>
      <c r="P89" s="2402"/>
      <c r="Q89" s="2402"/>
      <c r="R89" s="2402"/>
      <c r="S89" s="2402"/>
      <c r="T89" s="2402"/>
      <c r="U89" s="2402"/>
      <c r="V89" s="2402"/>
      <c r="W89" s="2402"/>
      <c r="X89" s="2402"/>
      <c r="Y89" s="2402"/>
      <c r="Z89" s="2402"/>
      <c r="AA89" s="2403"/>
      <c r="AB89" s="2403"/>
      <c r="AC89" s="2403"/>
      <c r="AD89" s="2403"/>
      <c r="AE89" s="2403"/>
      <c r="AF89" s="2403"/>
      <c r="AG89" s="2403"/>
      <c r="AH89" s="2403"/>
      <c r="AI89" s="2403"/>
    </row>
    <row r="90" spans="1:35" s="883" customFormat="1" ht="14.4">
      <c r="A90" s="2384" t="s">
        <v>1034</v>
      </c>
      <c r="B90" s="524" t="s">
        <v>1076</v>
      </c>
      <c r="C90" s="2434"/>
      <c r="D90" s="2419"/>
      <c r="E90" s="2435" t="str">
        <f>IF(H88="-","土地取得成本中已包含该笔费用"," ")</f>
        <v/>
      </c>
      <c r="F90" s="2421"/>
      <c r="G90" s="3371" t="s">
        <v>1077</v>
      </c>
      <c r="H90" s="3372"/>
      <c r="I90" s="799"/>
      <c r="J90" s="2438" t="s">
        <v>1078</v>
      </c>
      <c r="K90" s="2402"/>
      <c r="L90" s="2402"/>
      <c r="M90" s="2402"/>
      <c r="N90" s="2402"/>
      <c r="O90" s="2402"/>
      <c r="P90" s="2402"/>
      <c r="Q90" s="2402"/>
      <c r="R90" s="2402"/>
      <c r="S90" s="2402"/>
      <c r="T90" s="2402"/>
      <c r="U90" s="2402"/>
      <c r="V90" s="2402"/>
      <c r="W90" s="2402"/>
      <c r="X90" s="2402"/>
      <c r="Y90" s="2402"/>
      <c r="Z90" s="2402"/>
      <c r="AA90" s="2403"/>
      <c r="AB90" s="2403"/>
      <c r="AC90" s="2403"/>
      <c r="AD90" s="2403"/>
      <c r="AE90" s="2403"/>
      <c r="AF90" s="2403"/>
      <c r="AG90" s="2403"/>
      <c r="AH90" s="2403"/>
      <c r="AI90" s="2403"/>
    </row>
    <row r="91" spans="1:35" s="883" customFormat="1" ht="27.75" customHeight="1">
      <c r="A91" s="2384" t="s">
        <v>1079</v>
      </c>
      <c r="B91" s="524" t="s">
        <v>1080</v>
      </c>
      <c r="C91" s="2418">
        <f>IF(H91="——",成本法!C33,I91)</f>
        <v>0</v>
      </c>
      <c r="D91" s="2419"/>
      <c r="E91" s="3368" t="s">
        <v>1081</v>
      </c>
      <c r="F91" s="3369"/>
      <c r="G91" s="3369"/>
      <c r="H91" s="2439"/>
      <c r="I91" s="2440"/>
      <c r="J91" s="2402"/>
      <c r="K91" s="2402"/>
      <c r="L91" s="2402"/>
      <c r="M91" s="2402"/>
      <c r="N91" s="2402"/>
      <c r="O91" s="2402"/>
      <c r="P91" s="2402"/>
      <c r="Q91" s="2402"/>
      <c r="R91" s="2402"/>
      <c r="S91" s="2402"/>
      <c r="T91" s="2402"/>
      <c r="U91" s="2402"/>
      <c r="V91" s="2402"/>
      <c r="W91" s="2402"/>
      <c r="X91" s="2402"/>
      <c r="Y91" s="2402"/>
      <c r="Z91" s="2402"/>
      <c r="AA91" s="2403"/>
      <c r="AB91" s="2403"/>
      <c r="AC91" s="2403"/>
      <c r="AD91" s="2403"/>
      <c r="AE91" s="2403"/>
      <c r="AF91" s="2403"/>
      <c r="AG91" s="2403"/>
      <c r="AH91" s="2403"/>
      <c r="AI91" s="2403"/>
    </row>
    <row r="92" spans="1:35" s="883" customFormat="1" ht="25.5" customHeight="1">
      <c r="A92" s="2384" t="s">
        <v>1082</v>
      </c>
      <c r="B92" s="524" t="s">
        <v>1083</v>
      </c>
      <c r="C92" s="2418">
        <f>ROUND((C87+C90+C91)*D92,0)</f>
        <v>0</v>
      </c>
      <c r="D92" s="2441"/>
      <c r="E92" s="3368" t="s">
        <v>1084</v>
      </c>
      <c r="F92" s="3369"/>
      <c r="G92" s="3369"/>
      <c r="H92" s="3370"/>
      <c r="I92" s="799"/>
      <c r="J92" s="2442" t="s">
        <v>1085</v>
      </c>
      <c r="K92" s="2402"/>
      <c r="L92" s="2402"/>
      <c r="M92" s="2402"/>
      <c r="N92" s="2402"/>
      <c r="O92" s="2402"/>
      <c r="P92" s="2402"/>
      <c r="Q92" s="2402"/>
      <c r="R92" s="2402"/>
      <c r="S92" s="2402"/>
      <c r="T92" s="2402"/>
      <c r="U92" s="2402"/>
      <c r="V92" s="2402"/>
      <c r="W92" s="2402"/>
      <c r="X92" s="2402"/>
      <c r="Y92" s="2402"/>
      <c r="Z92" s="2402"/>
      <c r="AA92" s="2403"/>
      <c r="AB92" s="2403"/>
      <c r="AC92" s="2403"/>
      <c r="AD92" s="2403"/>
      <c r="AE92" s="2403"/>
      <c r="AF92" s="2403"/>
      <c r="AG92" s="2403"/>
      <c r="AH92" s="2403"/>
      <c r="AI92" s="2403"/>
    </row>
    <row r="93" spans="1:35" s="883" customFormat="1" ht="25.5" customHeight="1">
      <c r="A93" s="2384" t="s">
        <v>1086</v>
      </c>
      <c r="B93" s="524" t="s">
        <v>1063</v>
      </c>
      <c r="C93" s="2418">
        <f ca="1">ROUND(D45*D93/(1+'数据-取费表'!C42),0)</f>
        <v>1627</v>
      </c>
      <c r="D93" s="2419">
        <f>'数据-取费表'!B43</f>
        <v>5.0000000000000001E-3</v>
      </c>
      <c r="E93" s="3368" t="s">
        <v>1064</v>
      </c>
      <c r="F93" s="3369"/>
      <c r="G93" s="3369"/>
      <c r="H93" s="3370"/>
      <c r="I93" s="799"/>
      <c r="J93" s="2402"/>
      <c r="K93" s="2402"/>
      <c r="L93" s="2402"/>
      <c r="M93" s="2402"/>
      <c r="N93" s="2402"/>
      <c r="O93" s="2402"/>
      <c r="P93" s="2402"/>
      <c r="Q93" s="2402"/>
      <c r="R93" s="2402"/>
      <c r="S93" s="2402"/>
      <c r="T93" s="2402"/>
      <c r="U93" s="2402"/>
      <c r="V93" s="2402"/>
      <c r="W93" s="2402"/>
      <c r="X93" s="2402"/>
      <c r="Y93" s="2402"/>
      <c r="Z93" s="2402"/>
      <c r="AA93" s="2403"/>
      <c r="AB93" s="2403"/>
      <c r="AC93" s="2403"/>
      <c r="AD93" s="2403"/>
      <c r="AE93" s="2403"/>
      <c r="AF93" s="2403"/>
      <c r="AG93" s="2403"/>
      <c r="AH93" s="2403"/>
      <c r="AI93" s="2403"/>
    </row>
    <row r="94" spans="1:35" s="883" customFormat="1" ht="36.75" customHeight="1">
      <c r="A94" s="2384" t="s">
        <v>1087</v>
      </c>
      <c r="B94" s="524" t="s">
        <v>1088</v>
      </c>
      <c r="C94" s="2434">
        <f>ROUND((C87+C90+C91)*D94,0)</f>
        <v>0</v>
      </c>
      <c r="D94" s="2419">
        <v>0.2</v>
      </c>
      <c r="E94" s="3373" t="s">
        <v>1089</v>
      </c>
      <c r="F94" s="3374"/>
      <c r="G94" s="3374"/>
      <c r="H94" s="3375"/>
      <c r="I94" s="799"/>
      <c r="J94" s="2402"/>
      <c r="K94" s="2402"/>
      <c r="L94" s="2402"/>
      <c r="M94" s="2402"/>
      <c r="N94" s="2402"/>
      <c r="O94" s="2402"/>
      <c r="P94" s="2402"/>
      <c r="Q94" s="2402"/>
      <c r="R94" s="2402"/>
      <c r="S94" s="2402"/>
      <c r="T94" s="2402"/>
      <c r="U94" s="2402"/>
      <c r="V94" s="2402"/>
      <c r="W94" s="2402"/>
      <c r="X94" s="2402"/>
      <c r="Y94" s="2402"/>
      <c r="Z94" s="2402"/>
      <c r="AA94" s="2403"/>
      <c r="AB94" s="2403"/>
      <c r="AC94" s="2403"/>
      <c r="AD94" s="2403"/>
      <c r="AE94" s="2403"/>
      <c r="AF94" s="2403"/>
      <c r="AG94" s="2403"/>
      <c r="AH94" s="2403"/>
      <c r="AI94" s="2403"/>
    </row>
    <row r="95" spans="1:35" s="883" customFormat="1" ht="13.8">
      <c r="A95" s="2379" t="s">
        <v>1042</v>
      </c>
      <c r="B95" s="2388" t="s">
        <v>1065</v>
      </c>
      <c r="C95" s="2391">
        <f ca="1">ROUND(C85-C86,0)</f>
        <v>323676</v>
      </c>
      <c r="D95" s="524" t="s">
        <v>124</v>
      </c>
      <c r="E95" s="1895"/>
      <c r="F95" s="1896"/>
      <c r="G95" s="1896"/>
      <c r="H95" s="2432"/>
      <c r="I95" s="799"/>
      <c r="J95" s="2402"/>
      <c r="K95" s="2402"/>
      <c r="L95" s="2402"/>
      <c r="M95" s="2402"/>
      <c r="N95" s="2402"/>
      <c r="O95" s="2402"/>
      <c r="P95" s="2402"/>
      <c r="Q95" s="2402"/>
      <c r="R95" s="2402"/>
      <c r="S95" s="2402"/>
      <c r="T95" s="2402"/>
      <c r="U95" s="2402"/>
      <c r="V95" s="2402"/>
      <c r="W95" s="2402"/>
      <c r="X95" s="2402"/>
      <c r="Y95" s="2402"/>
      <c r="Z95" s="2402"/>
      <c r="AA95" s="2403"/>
      <c r="AB95" s="2403"/>
      <c r="AC95" s="2403"/>
      <c r="AD95" s="2403"/>
      <c r="AE95" s="2403"/>
      <c r="AF95" s="2403"/>
      <c r="AG95" s="2403"/>
      <c r="AH95" s="2403"/>
      <c r="AI95" s="2403"/>
    </row>
    <row r="96" spans="1:35" s="883" customFormat="1" ht="24">
      <c r="A96" s="2379" t="s">
        <v>1045</v>
      </c>
      <c r="B96" s="2388" t="s">
        <v>1066</v>
      </c>
      <c r="C96" s="2424">
        <f ca="1">IF(C95&lt;=0,0,C95/C86)</f>
        <v>198.94038106945297</v>
      </c>
      <c r="D96" s="524" t="s">
        <v>124</v>
      </c>
      <c r="E96" s="1898" t="str">
        <f ca="1">IF(C96&gt;=200%,"增值额超过扣除项目金额200%",IF(C96&gt;=100%,"增值额超过扣除项目金额100%，未超过200%",IF(C96&gt;=50%,"增值额超过扣除项目金额50%，未超过100%",IF(C96&lt;50%,"增值额未超过扣除项目金额50%"))))</f>
        <v>增值额超过扣除项目金额200%</v>
      </c>
      <c r="F96" s="1896"/>
      <c r="G96" s="1896"/>
      <c r="H96" s="2432"/>
      <c r="I96" s="799"/>
      <c r="J96" s="2402"/>
      <c r="K96" s="2402"/>
      <c r="L96" s="2402"/>
      <c r="M96" s="2402"/>
      <c r="N96" s="2402"/>
      <c r="O96" s="2402"/>
      <c r="P96" s="2402"/>
      <c r="Q96" s="2402"/>
      <c r="R96" s="2402"/>
      <c r="S96" s="2402"/>
      <c r="T96" s="2402"/>
      <c r="U96" s="2402"/>
      <c r="V96" s="2402"/>
      <c r="W96" s="2402"/>
      <c r="X96" s="2402"/>
      <c r="Y96" s="2402"/>
      <c r="Z96" s="2402"/>
      <c r="AA96" s="2403"/>
      <c r="AB96" s="2403"/>
      <c r="AC96" s="2403"/>
      <c r="AD96" s="2403"/>
      <c r="AE96" s="2403"/>
      <c r="AF96" s="2403"/>
      <c r="AG96" s="2403"/>
      <c r="AH96" s="2403"/>
      <c r="AI96" s="2403"/>
    </row>
    <row r="97" spans="1:35" s="883" customFormat="1" ht="24">
      <c r="A97" s="2392" t="s">
        <v>1067</v>
      </c>
      <c r="B97" s="2393" t="s">
        <v>1068</v>
      </c>
      <c r="C97" s="2425">
        <f ca="1">ROUND(IF(C95&lt;=0,0,IF(C96&gt;=200%,C95*60%-C86*35%,IF(C96&gt;=100%,C95*50%-C86*15%,IF(C96&gt;=50%,C95*40%-C86*5%,IF(C96&lt;50%,C95*30%,0))))),0)</f>
        <v>193636</v>
      </c>
      <c r="D97" s="778"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3"/>
      <c r="I97" s="799"/>
      <c r="J97" s="2402"/>
      <c r="K97" s="2402"/>
      <c r="L97" s="2402"/>
      <c r="M97" s="2402"/>
      <c r="N97" s="2402"/>
      <c r="O97" s="2402"/>
      <c r="P97" s="2402"/>
      <c r="Q97" s="2402"/>
      <c r="R97" s="2402"/>
      <c r="S97" s="2402"/>
      <c r="T97" s="2402"/>
      <c r="U97" s="2402"/>
      <c r="V97" s="2402"/>
      <c r="W97" s="2402"/>
      <c r="X97" s="2402"/>
      <c r="Y97" s="2402"/>
      <c r="Z97" s="2402"/>
      <c r="AA97" s="2403"/>
      <c r="AB97" s="2403"/>
      <c r="AC97" s="2403"/>
      <c r="AD97" s="2403"/>
      <c r="AE97" s="2403"/>
      <c r="AF97" s="2403"/>
      <c r="AG97" s="2403"/>
      <c r="AH97" s="2403"/>
      <c r="AI97" s="2403"/>
    </row>
    <row r="98" spans="1:35" ht="21.75" customHeight="1">
      <c r="A98" s="2373"/>
      <c r="B98" s="1874"/>
      <c r="C98" s="1874"/>
      <c r="D98" s="1874"/>
      <c r="E98" s="2374"/>
      <c r="F98" s="2374"/>
      <c r="G98" s="2374"/>
      <c r="H98" s="2312"/>
      <c r="I98" s="985"/>
    </row>
    <row r="99" spans="1:35" ht="21.75" customHeight="1">
      <c r="A99" s="2315" t="s">
        <v>1090</v>
      </c>
      <c r="B99" s="1874"/>
      <c r="C99" s="1874"/>
      <c r="D99" s="1874"/>
      <c r="E99" s="2374"/>
      <c r="F99" s="2374"/>
      <c r="G99" s="2374"/>
      <c r="H99" s="2312"/>
      <c r="I99" s="985"/>
    </row>
    <row r="100" spans="1:35" ht="18.75" customHeight="1">
      <c r="A100" s="3314" t="s">
        <v>1091</v>
      </c>
      <c r="B100" s="3315"/>
      <c r="C100" s="3315"/>
      <c r="D100" s="3376"/>
      <c r="E100" s="3315" t="s">
        <v>1092</v>
      </c>
      <c r="F100" s="3315"/>
      <c r="G100" s="3315"/>
      <c r="H100" s="3376"/>
      <c r="I100" s="985"/>
    </row>
    <row r="101" spans="1:35" ht="18.75" customHeight="1">
      <c r="A101" s="3377" t="s">
        <v>1093</v>
      </c>
      <c r="B101" s="3378"/>
      <c r="C101" s="2445" t="str">
        <f>C4</f>
        <v>成本法</v>
      </c>
      <c r="D101" s="2446" t="str">
        <f>D4</f>
        <v>收益法</v>
      </c>
      <c r="E101" s="3417" t="s">
        <v>1094</v>
      </c>
      <c r="F101" s="3418"/>
      <c r="G101" s="2448" t="s">
        <v>1095</v>
      </c>
      <c r="H101" s="2449">
        <f ca="1">H118</f>
        <v>341568</v>
      </c>
      <c r="I101" s="985"/>
    </row>
    <row r="102" spans="1:35" ht="18.75" customHeight="1">
      <c r="A102" s="3402" t="s">
        <v>1096</v>
      </c>
      <c r="B102" s="2450" t="s">
        <v>1095</v>
      </c>
      <c r="C102" s="2445">
        <f ca="1">IF(D32="楼面单价",ROUND(C19,0),C19)</f>
        <v>337624</v>
      </c>
      <c r="D102" s="2446">
        <f ca="1">IF(D32="楼面单价",ROUND(D19,0),D19)</f>
        <v>345512</v>
      </c>
      <c r="E102" s="3417"/>
      <c r="F102" s="3418"/>
      <c r="G102" s="2448" t="s">
        <v>99</v>
      </c>
      <c r="H102" s="2343">
        <f ca="1">I118</f>
        <v>22136</v>
      </c>
      <c r="I102" s="985"/>
    </row>
    <row r="103" spans="1:35" ht="42.75" customHeight="1">
      <c r="A103" s="3402"/>
      <c r="B103" s="2450" t="s">
        <v>99</v>
      </c>
      <c r="C103" s="2451">
        <f ca="1">C20</f>
        <v>21880</v>
      </c>
      <c r="D103" s="2452">
        <f ca="1">D20</f>
        <v>22466</v>
      </c>
      <c r="E103" s="3379" t="s">
        <v>1097</v>
      </c>
      <c r="F103" s="3380"/>
      <c r="G103" s="2453" t="s">
        <v>102</v>
      </c>
      <c r="H103" s="2449">
        <f>IF(D36="正常操作",H104+H105+H106,H105+H106)</f>
        <v>0</v>
      </c>
      <c r="I103" s="985"/>
    </row>
    <row r="104" spans="1:35" ht="18.75" customHeight="1">
      <c r="A104" s="3402" t="s">
        <v>1098</v>
      </c>
      <c r="B104" s="2454" t="s">
        <v>1095</v>
      </c>
      <c r="C104" s="2455">
        <f ca="1">H118</f>
        <v>341568</v>
      </c>
      <c r="D104" s="2456"/>
      <c r="E104" s="2297" t="s">
        <v>1099</v>
      </c>
      <c r="F104" s="2457"/>
      <c r="G104" s="2453" t="s">
        <v>102</v>
      </c>
      <c r="H104" s="2458">
        <f>IF(D36="同一抵押权人同一抵押物续贷",C36&amp;"（续贷，未扣减，详见特别提示）",C36)</f>
        <v>0</v>
      </c>
      <c r="I104" s="985"/>
    </row>
    <row r="105" spans="1:35" ht="18.75" customHeight="1">
      <c r="A105" s="3403"/>
      <c r="B105" s="2459" t="s">
        <v>99</v>
      </c>
      <c r="C105" s="2460">
        <f ca="1">I118</f>
        <v>22136</v>
      </c>
      <c r="D105" s="2461"/>
      <c r="E105" s="2297" t="s">
        <v>1100</v>
      </c>
      <c r="F105" s="2457"/>
      <c r="G105" s="2453" t="s">
        <v>102</v>
      </c>
      <c r="H105" s="2462">
        <f>C37</f>
        <v>0</v>
      </c>
      <c r="I105" s="985"/>
    </row>
    <row r="106" spans="1:35" ht="18.75" customHeight="1">
      <c r="A106" s="1874" t="s">
        <v>1101</v>
      </c>
      <c r="B106" s="1874"/>
      <c r="C106" s="1874"/>
      <c r="D106" s="1874"/>
      <c r="E106" s="2463" t="s">
        <v>1102</v>
      </c>
      <c r="F106" s="2457"/>
      <c r="G106" s="2453" t="s">
        <v>102</v>
      </c>
      <c r="H106" s="2462">
        <f>C38</f>
        <v>0</v>
      </c>
      <c r="I106" s="985"/>
    </row>
    <row r="107" spans="1:35" ht="18.75" customHeight="1">
      <c r="A107" s="985"/>
      <c r="B107" s="985"/>
      <c r="C107" s="985"/>
      <c r="D107" s="985"/>
      <c r="E107" s="3419" t="str">
        <f>IF(项目基本情况!E8="已注销","——","3.房地产抵押价值")</f>
        <v>3.房地产抵押价值</v>
      </c>
      <c r="F107" s="3418"/>
      <c r="G107" s="2448" t="s">
        <v>1095</v>
      </c>
      <c r="H107" s="2449">
        <f ca="1">IF(E107="——","——",H101-H103)</f>
        <v>341568</v>
      </c>
      <c r="I107" s="985"/>
    </row>
    <row r="108" spans="1:35" ht="18.75" customHeight="1">
      <c r="A108" s="985"/>
      <c r="B108" s="985"/>
      <c r="C108" s="985"/>
      <c r="D108" s="985"/>
      <c r="E108" s="3419"/>
      <c r="F108" s="3418"/>
      <c r="G108" s="2448" t="s">
        <v>99</v>
      </c>
      <c r="H108" s="2343">
        <f ca="1">IF(H107=H101,H102,ROUND(H107*10000/'数据-汇总表'!E3,0))</f>
        <v>22136</v>
      </c>
      <c r="I108" s="985"/>
    </row>
    <row r="109" spans="1:35" ht="18.75" customHeight="1">
      <c r="A109" s="985"/>
      <c r="B109" s="985"/>
      <c r="C109" s="985"/>
      <c r="D109" s="985"/>
      <c r="E109" s="3419" t="str">
        <f>IF(项目基本情况!E8="已注销及未注销","4.抵押担保权已注销时的房地产抵押价值",IF(项目基本情况!E8="已注销","3.抵押担保权已注销时的房地产抵押价值","——"))</f>
        <v>——</v>
      </c>
      <c r="F109" s="3418"/>
      <c r="G109" s="2448" t="s">
        <v>1095</v>
      </c>
      <c r="H109" s="2464" t="str">
        <f>IF(E109="——","——",H101-H105-H106)</f>
        <v>——</v>
      </c>
      <c r="I109" s="985"/>
    </row>
    <row r="110" spans="1:35" ht="18.75" customHeight="1">
      <c r="A110" s="985"/>
      <c r="B110" s="985"/>
      <c r="C110" s="985"/>
      <c r="D110" s="985"/>
      <c r="E110" s="3419"/>
      <c r="F110" s="3418"/>
      <c r="G110" s="2448" t="s">
        <v>99</v>
      </c>
      <c r="H110" s="2343" t="str">
        <f>IF(H109="——","——",ROUND(H109*10000/'数据-汇总表'!E3,0))</f>
        <v>——</v>
      </c>
      <c r="I110" s="985"/>
    </row>
    <row r="111" spans="1:35" ht="18.75" customHeight="1">
      <c r="A111" s="985"/>
      <c r="B111" s="985"/>
      <c r="C111" s="985"/>
      <c r="D111" s="985"/>
      <c r="E111" s="3420" t="str">
        <f>IF(项目基本情况!E9="抵押净值",IF(OR(项目基本情况!E8="已注销",项目基本情况!E8="房地产抵押价值"),"4.抵押净值","5.抵押净值"),"——")</f>
        <v>——</v>
      </c>
      <c r="F111" s="3395"/>
      <c r="G111" s="2448" t="s">
        <v>1095</v>
      </c>
      <c r="H111" s="2449" t="str">
        <f>IF(E111="——","——",N59)</f>
        <v>——</v>
      </c>
      <c r="I111" s="985"/>
    </row>
    <row r="112" spans="1:35" ht="18.75" customHeight="1">
      <c r="A112" s="985"/>
      <c r="B112" s="985"/>
      <c r="C112" s="985"/>
      <c r="D112" s="985"/>
      <c r="E112" s="3421"/>
      <c r="F112" s="3422"/>
      <c r="G112" s="2465" t="s">
        <v>99</v>
      </c>
      <c r="H112" s="2466" t="str">
        <f>IF(E111="——","——",N61)</f>
        <v>——</v>
      </c>
      <c r="I112" s="985"/>
    </row>
    <row r="113" spans="1:27" ht="18.75" customHeight="1">
      <c r="A113" s="985"/>
      <c r="B113" s="985"/>
      <c r="C113" s="985"/>
      <c r="D113" s="985"/>
      <c r="E113" s="3381" t="s">
        <v>1101</v>
      </c>
      <c r="F113" s="3381"/>
      <c r="G113" s="3381"/>
      <c r="H113" s="3381"/>
      <c r="I113" s="985"/>
    </row>
    <row r="114" spans="1:27" ht="3.75" customHeight="1">
      <c r="A114" s="1874"/>
      <c r="B114" s="1874"/>
      <c r="C114" s="1874"/>
      <c r="D114" s="1874"/>
      <c r="E114" s="2373"/>
      <c r="F114" s="2373"/>
      <c r="G114" s="2373"/>
      <c r="H114" s="2373"/>
      <c r="I114" s="1874"/>
    </row>
    <row r="115" spans="1:27" ht="18.75" customHeight="1">
      <c r="A115" s="3382" t="s">
        <v>1103</v>
      </c>
      <c r="B115" s="3383"/>
      <c r="C115" s="3383"/>
      <c r="D115" s="3383"/>
      <c r="E115" s="3383"/>
      <c r="F115" s="3383"/>
      <c r="G115" s="3383"/>
      <c r="H115" s="3383"/>
      <c r="I115" s="3384"/>
    </row>
    <row r="116" spans="1:27" ht="27" customHeight="1">
      <c r="A116" s="3388" t="s">
        <v>1104</v>
      </c>
      <c r="B116" s="3405" t="s">
        <v>579</v>
      </c>
      <c r="C116" s="3405" t="s">
        <v>1105</v>
      </c>
      <c r="D116" s="3385" t="s">
        <v>1106</v>
      </c>
      <c r="E116" s="3386"/>
      <c r="F116" s="3387" t="s">
        <v>1107</v>
      </c>
      <c r="G116" s="3387"/>
      <c r="H116" s="3388" t="s">
        <v>1108</v>
      </c>
      <c r="I116" s="3388"/>
    </row>
    <row r="117" spans="1:27" ht="18.75" customHeight="1">
      <c r="A117" s="3388"/>
      <c r="B117" s="3406"/>
      <c r="C117" s="3406"/>
      <c r="D117" s="846" t="s">
        <v>1109</v>
      </c>
      <c r="E117" s="846" t="s">
        <v>937</v>
      </c>
      <c r="F117" s="846" t="s">
        <v>1109</v>
      </c>
      <c r="G117" s="846" t="s">
        <v>937</v>
      </c>
      <c r="H117" s="846" t="s">
        <v>1109</v>
      </c>
      <c r="I117" s="846" t="s">
        <v>937</v>
      </c>
    </row>
    <row r="118" spans="1:27" ht="24.75" customHeight="1">
      <c r="A118" s="2467" t="str">
        <f>项目基本情况!S2</f>
        <v>北京市北京经济技术开发区兴海路1号院1号楼-3至6层商业、地下车库用房房地产</v>
      </c>
      <c r="B118" s="846">
        <f>M18</f>
        <v>154306.03</v>
      </c>
      <c r="C118" s="846">
        <f>M19</f>
        <v>42276.47</v>
      </c>
      <c r="D118" s="846">
        <f ca="1">ROUND(IF(D32="总价",C34,E118*B118/10000),0)</f>
        <v>182397</v>
      </c>
      <c r="E118" s="846">
        <f ca="1">ROUND(IF(C33="自定义",IF(D32="楼面单价",C34,D118*10000/B118),I118-G118),0)</f>
        <v>11821</v>
      </c>
      <c r="F118" s="846">
        <f ca="1">ROUND(IF(D32="总价",C35,G118*B118/10000),0)</f>
        <v>159171</v>
      </c>
      <c r="G118" s="846">
        <f ca="1">ROUND(IF(D32="楼面单价",C35,F118*10000/B118),0)</f>
        <v>10315</v>
      </c>
      <c r="H118" s="846">
        <f ca="1">ROUND(IF(D32="总价",C32,I118*B118/10000),0)</f>
        <v>341568</v>
      </c>
      <c r="I118" s="846">
        <f ca="1">ROUND(IF(D32="楼面单价",C32,H118*10000/B118),0)</f>
        <v>22136</v>
      </c>
    </row>
    <row r="119" spans="1:27" ht="18.75" customHeight="1">
      <c r="A119" s="3388" t="s">
        <v>1110</v>
      </c>
      <c r="B119" s="3388"/>
      <c r="C119" s="3388"/>
      <c r="D119" s="3389" t="str">
        <f ca="1">NUMBERSTRING(INT(D118*10000),2)&amp;"元整"</f>
        <v>壹拾捌亿贰仟叁佰玖拾柒万元整</v>
      </c>
      <c r="E119" s="3390"/>
      <c r="F119" s="3389" t="str">
        <f ca="1">NUMBERSTRING(INT(F118*10000),2)&amp;"元整"</f>
        <v>壹拾伍亿玖仟壹佰柒拾壹万元整</v>
      </c>
      <c r="G119" s="3390"/>
      <c r="H119" s="3389" t="str">
        <f ca="1">NUMBERSTRING(INT(H118*10000),2)&amp;"元整"</f>
        <v>叁拾肆亿壹仟伍佰陆拾捌万元整</v>
      </c>
      <c r="I119" s="3390"/>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89" t="s">
        <v>1110</v>
      </c>
      <c r="B121" s="3394"/>
      <c r="C121" s="3390"/>
      <c r="D121" s="3389" t="str">
        <f>IF(D120=0,"零元整",NUMBERSTRING(INT(D120*10000),2)&amp;"元整")</f>
        <v>零元整</v>
      </c>
      <c r="E121" s="3394"/>
      <c r="F121" s="3394"/>
      <c r="G121" s="3394"/>
      <c r="H121" s="3394"/>
      <c r="I121" s="3390"/>
      <c r="AA121" s="901"/>
    </row>
    <row r="122" spans="1:27" ht="18.75" customHeight="1">
      <c r="A122" s="3395" t="str">
        <f>IF(项目基本情况!B9="房地产市场价值","",MID(E107,3,LEN(E107)-2))</f>
        <v>房地产抵押价值</v>
      </c>
      <c r="B122" s="3395"/>
      <c r="C122" s="3395"/>
      <c r="D122" s="3391">
        <f ca="1">H107</f>
        <v>341568</v>
      </c>
      <c r="E122" s="3392"/>
      <c r="F122" s="3392"/>
      <c r="G122" s="3392"/>
      <c r="H122" s="3392"/>
      <c r="I122" s="3393"/>
      <c r="AA122" s="901"/>
    </row>
    <row r="123" spans="1:27" ht="18.75" customHeight="1">
      <c r="A123" s="3388" t="s">
        <v>1110</v>
      </c>
      <c r="B123" s="3388"/>
      <c r="C123" s="3388"/>
      <c r="D123" s="3389" t="str">
        <f ca="1">NUMBERSTRING(INT(D122*10000),2)&amp;"元整"</f>
        <v>叁拾肆亿壹仟伍佰陆拾捌万元整</v>
      </c>
      <c r="E123" s="3394"/>
      <c r="F123" s="3394"/>
      <c r="G123" s="3394"/>
      <c r="H123" s="3394"/>
      <c r="I123" s="3390"/>
      <c r="AA123" s="901"/>
    </row>
    <row r="124" spans="1:27" ht="18.75" customHeight="1">
      <c r="A124" s="3395" t="str">
        <f>IF(项目基本情况!B9="房地产市场价值","",MID(E109,3,LEN(E109)-2))</f>
        <v/>
      </c>
      <c r="B124" s="3395"/>
      <c r="C124" s="3395"/>
      <c r="D124" s="3391" t="str">
        <f>H109</f>
        <v>——</v>
      </c>
      <c r="E124" s="3392"/>
      <c r="F124" s="3392"/>
      <c r="G124" s="3392"/>
      <c r="H124" s="3392"/>
      <c r="I124" s="3393"/>
      <c r="AA124" s="901"/>
    </row>
    <row r="125" spans="1:27" ht="18.75" customHeight="1">
      <c r="A125" s="3388" t="s">
        <v>1110</v>
      </c>
      <c r="B125" s="3388"/>
      <c r="C125" s="3388"/>
      <c r="D125" s="3389" t="e">
        <f>NUMBERSTRING(INT(D124*10000),2)&amp;"元整"</f>
        <v>#VALUE!</v>
      </c>
      <c r="E125" s="3394"/>
      <c r="F125" s="3394"/>
      <c r="G125" s="3394"/>
      <c r="H125" s="3394"/>
      <c r="I125" s="3390"/>
      <c r="AA125" s="901"/>
    </row>
    <row r="126" spans="1:27" ht="18.75" customHeight="1">
      <c r="A126" s="3395" t="str">
        <f>IF(项目基本情况!B9="房地产市场价值","",MID(E111,3,LEN(E111)-2))</f>
        <v/>
      </c>
      <c r="B126" s="3395"/>
      <c r="C126" s="3395"/>
      <c r="D126" s="3391" t="str">
        <f>H111</f>
        <v>——</v>
      </c>
      <c r="E126" s="3392"/>
      <c r="F126" s="3392"/>
      <c r="G126" s="3392"/>
      <c r="H126" s="3392"/>
      <c r="I126" s="3393"/>
      <c r="AA126" s="901"/>
    </row>
    <row r="127" spans="1:27" ht="18.75" customHeight="1">
      <c r="A127" s="3388" t="s">
        <v>1110</v>
      </c>
      <c r="B127" s="3388"/>
      <c r="C127" s="3388"/>
      <c r="D127" s="3389" t="e">
        <f>NUMBERSTRING(INT(D126*10000),2)&amp;"元整"</f>
        <v>#VALUE!</v>
      </c>
      <c r="E127" s="3394"/>
      <c r="F127" s="3394"/>
      <c r="G127" s="3394"/>
      <c r="H127" s="3394"/>
      <c r="I127" s="3390"/>
      <c r="AA127" s="901"/>
    </row>
    <row r="128" spans="1:27" ht="21.75" customHeight="1">
      <c r="A128" s="3396" t="s">
        <v>113</v>
      </c>
      <c r="B128" s="3396"/>
      <c r="C128" s="3396"/>
      <c r="D128" s="3396"/>
      <c r="E128" s="3396"/>
      <c r="F128" s="3396"/>
      <c r="G128" s="3396"/>
      <c r="H128" s="3396"/>
      <c r="I128" s="3396"/>
      <c r="AA128" s="901"/>
    </row>
    <row r="129" spans="1:35" ht="21.75" customHeight="1">
      <c r="A129" s="2468" t="s">
        <v>1111</v>
      </c>
      <c r="B129" s="2469"/>
      <c r="C129" s="2470" t="s">
        <v>1112</v>
      </c>
      <c r="D129" s="2471"/>
      <c r="E129" s="2471"/>
      <c r="F129" s="2471"/>
      <c r="G129" s="2471"/>
      <c r="H129" s="2472"/>
      <c r="I129" s="2473"/>
      <c r="AA129" s="901"/>
    </row>
    <row r="130" spans="1:35" ht="21.75" customHeight="1">
      <c r="A130" s="2474">
        <v>1</v>
      </c>
      <c r="B130" s="2475"/>
      <c r="C130" s="2475"/>
      <c r="D130" s="1001"/>
      <c r="E130" s="1001"/>
      <c r="F130" s="1001"/>
      <c r="G130" s="1001"/>
      <c r="H130" s="936"/>
      <c r="I130" s="2476"/>
      <c r="AA130" s="901"/>
    </row>
    <row r="131" spans="1:35" ht="21.75" customHeight="1">
      <c r="A131" s="2474">
        <v>2</v>
      </c>
      <c r="B131" s="2475"/>
      <c r="C131" s="2475"/>
      <c r="D131" s="1001"/>
      <c r="E131" s="1001"/>
      <c r="F131" s="1001"/>
      <c r="G131" s="1001"/>
      <c r="H131" s="936"/>
      <c r="I131" s="2476"/>
      <c r="AA131" s="901"/>
    </row>
    <row r="132" spans="1:35" ht="21.75" customHeight="1">
      <c r="A132" s="2474">
        <v>3</v>
      </c>
      <c r="B132" s="2475"/>
      <c r="C132" s="2475"/>
      <c r="D132" s="1001"/>
      <c r="E132" s="1001"/>
      <c r="F132" s="1001"/>
      <c r="G132" s="1001"/>
      <c r="H132" s="936"/>
      <c r="I132" s="2476"/>
      <c r="AA132" s="901"/>
    </row>
    <row r="133" spans="1:35" ht="21.75" customHeight="1">
      <c r="A133" s="2477"/>
      <c r="B133" s="2478"/>
      <c r="C133" s="2478"/>
      <c r="D133" s="2479"/>
      <c r="E133" s="2479"/>
      <c r="F133" s="2479"/>
      <c r="G133" s="2479"/>
      <c r="H133" s="2480"/>
      <c r="I133" s="2481"/>
    </row>
    <row r="134" spans="1:35" ht="21.75" customHeight="1">
      <c r="A134" s="2475"/>
      <c r="B134" s="2475"/>
      <c r="C134" s="2475"/>
      <c r="D134" s="1001"/>
      <c r="E134" s="1001"/>
      <c r="F134" s="1001"/>
      <c r="G134" s="1001"/>
      <c r="H134" s="936"/>
      <c r="I134" s="901"/>
    </row>
    <row r="135" spans="1:35" ht="21.75" customHeight="1">
      <c r="A135" s="901"/>
      <c r="B135" s="901"/>
      <c r="C135" s="901"/>
      <c r="D135" s="901"/>
      <c r="E135" s="901"/>
      <c r="F135" s="2482" t="s">
        <v>1113</v>
      </c>
      <c r="G135" s="2483"/>
      <c r="H135" s="2483"/>
      <c r="I135" s="2484" t="s">
        <v>1114</v>
      </c>
    </row>
    <row r="136" spans="1:35" ht="21.75" customHeight="1">
      <c r="A136" s="901"/>
      <c r="B136" s="2485" t="s">
        <v>1115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3"/>
      <c r="C138" s="2483"/>
      <c r="D138" s="2483"/>
      <c r="E138" s="2483"/>
      <c r="F138" s="2483"/>
      <c r="G138" s="2483"/>
      <c r="H138" s="2483"/>
      <c r="I138" s="2484" t="s">
        <v>1116</v>
      </c>
    </row>
    <row r="139" spans="1:35" ht="21.75" customHeight="1">
      <c r="A139" s="901"/>
      <c r="B139" s="2485" t="s">
        <v>1117</v>
      </c>
      <c r="C139" s="901"/>
      <c r="D139" s="901"/>
      <c r="E139" s="901"/>
      <c r="F139" s="901"/>
      <c r="G139" s="901"/>
      <c r="H139" s="901"/>
      <c r="I139" s="901"/>
    </row>
    <row r="140" spans="1:35" ht="21.75" customHeight="1">
      <c r="A140" s="901"/>
      <c r="B140" s="2485"/>
      <c r="C140" s="901"/>
      <c r="D140" s="901"/>
      <c r="E140" s="901"/>
      <c r="F140" s="901"/>
      <c r="G140" s="901"/>
      <c r="H140" s="901"/>
      <c r="I140" s="901"/>
    </row>
    <row r="141" spans="1:35" ht="21.75" customHeight="1">
      <c r="A141" s="901"/>
      <c r="B141" s="2483"/>
      <c r="C141" s="2483"/>
      <c r="D141" s="2483"/>
      <c r="E141" s="2483"/>
      <c r="F141" s="2483"/>
      <c r="G141" s="2483"/>
      <c r="H141" s="2483"/>
      <c r="I141" s="2484" t="s">
        <v>1116</v>
      </c>
    </row>
    <row r="142" spans="1:35" ht="21.75" customHeight="1">
      <c r="A142" s="901"/>
      <c r="B142" s="2485"/>
      <c r="C142" s="2486"/>
      <c r="D142" s="2487"/>
      <c r="E142" s="2487"/>
      <c r="F142" s="2488"/>
      <c r="G142" s="901"/>
      <c r="H142" s="901"/>
      <c r="I142" s="901"/>
    </row>
    <row r="143" spans="1:35" s="900" customFormat="1" ht="21.75" customHeight="1">
      <c r="A143" s="901"/>
      <c r="B143" s="2485"/>
      <c r="C143" s="2486"/>
      <c r="D143" s="2487"/>
      <c r="E143" s="2487"/>
      <c r="F143" s="248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2"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2"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2"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2"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2"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2"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2"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2"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2"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2"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2"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2"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2"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2"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2"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2"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2"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2"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2"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2"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2"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2"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2"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2"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2"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2"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2"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2"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2"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2"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2"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2"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2"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2"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2"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2"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2"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2"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2"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2"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2"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2"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2"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2"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2"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2"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2"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2"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2"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2"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2"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2"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2"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2"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2"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2"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2"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2"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2"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2"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2"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2"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2"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2"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2"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2"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2"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2"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2"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2"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2"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2"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2"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2"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2"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2"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2"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2"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2"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2"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2"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2"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2"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2"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2"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2"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2"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2"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2"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2"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2"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2"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2"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2"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2"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2"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2"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2"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2"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2"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2"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2"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2"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2"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17" customWidth="1"/>
    <col min="2" max="9" width="10" style="3217" customWidth="1"/>
    <col min="10" max="16384" width="9" style="3217"/>
  </cols>
  <sheetData>
    <row r="36" spans="1:9">
      <c r="A36" s="3216" t="s">
        <v>75</v>
      </c>
      <c r="B36" s="3216" t="s">
        <v>76</v>
      </c>
    </row>
    <row r="37" spans="1:9" ht="27.75" customHeight="1">
      <c r="A37" s="3216"/>
      <c r="B37" s="3237" t="str">
        <f>项目基本情况!B1</f>
        <v>北京市北京经济技术开发区兴海路1号院1号楼-3至6层商业、地下车库用房房地产抵押价值预评估</v>
      </c>
      <c r="C37" s="3237"/>
      <c r="D37" s="3237"/>
      <c r="E37" s="3237"/>
      <c r="F37" s="3237"/>
      <c r="G37" s="3237"/>
      <c r="H37" s="3237"/>
      <c r="I37" s="3237"/>
    </row>
    <row r="38" spans="1:9">
      <c r="A38" s="3218"/>
      <c r="B38" s="3218"/>
    </row>
    <row r="39" spans="1:9">
      <c r="A39" s="3216" t="s">
        <v>75</v>
      </c>
      <c r="B39" s="3216" t="s">
        <v>77</v>
      </c>
    </row>
    <row r="40" spans="1:9">
      <c r="A40" s="3216"/>
      <c r="B40" s="3219">
        <f>项目基本情况!B5</f>
        <v>0</v>
      </c>
    </row>
    <row r="41" spans="1:9">
      <c r="A41" s="3216"/>
      <c r="B41" s="3216"/>
    </row>
    <row r="42" spans="1:9">
      <c r="A42" s="3216" t="s">
        <v>75</v>
      </c>
      <c r="B42" s="3216" t="s">
        <v>78</v>
      </c>
    </row>
    <row r="43" spans="1:9">
      <c r="A43" s="3216"/>
      <c r="B43" s="3219" t="s">
        <v>79</v>
      </c>
    </row>
    <row r="44" spans="1:9">
      <c r="A44" s="3216"/>
      <c r="B44" s="3216"/>
    </row>
    <row r="45" spans="1:9">
      <c r="A45" s="3216" t="s">
        <v>75</v>
      </c>
      <c r="B45" s="3216" t="s">
        <v>80</v>
      </c>
    </row>
    <row r="46" spans="1:9" s="3216" customFormat="1">
      <c r="B46" s="3219" t="str">
        <f ca="1">项目基本情况!K4</f>
        <v>郑燚（注册号：0)、吴薇（注册号：0)</v>
      </c>
    </row>
    <row r="47" spans="1:9">
      <c r="A47" s="3216"/>
      <c r="B47" s="3216" t="str">
        <f>项目基本情况!K5</f>
        <v>（注册号：0)、（注册号：0)</v>
      </c>
    </row>
    <row r="48" spans="1:9">
      <c r="A48" s="3216" t="s">
        <v>75</v>
      </c>
      <c r="B48" s="3216" t="s">
        <v>81</v>
      </c>
    </row>
    <row r="49" spans="2:2">
      <c r="B49" s="321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1119</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f>F65</f>
        <v>113273</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ROUND(IF(D3="",B2*10000/'数据-汇总表'!E3,B2*10000/D3),0)</f>
        <v>7341</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49" t="s">
        <v>1127</v>
      </c>
      <c r="AC4" s="3448" t="s">
        <v>1128</v>
      </c>
    </row>
    <row r="5" spans="1:29" ht="55.8" customHeight="1">
      <c r="A5" s="1049"/>
      <c r="B5" s="1050"/>
      <c r="C5" s="3427" t="s">
        <v>1131</v>
      </c>
      <c r="D5" s="3428"/>
      <c r="E5" s="3429" t="str">
        <f>Sheet2!A6</f>
        <v>北京城市副中心站综合交通枢纽地区 FZX-0101-03单元FZX-0101-0306、 0307(2)、0309地块 F3其他类多功能用地</v>
      </c>
      <c r="F5" s="3430"/>
      <c r="G5" s="3427" t="str">
        <f>Sheet2!A7</f>
        <v>北京城市副中心站综合交通枢纽地区 FZX-0101-03单元FZX-0101-0307 (1)地块F3其他类多功能用地</v>
      </c>
      <c r="H5" s="3428"/>
      <c r="I5" s="3427" t="str">
        <f>Sheet2!A8</f>
        <v>北京城市副中心站综合交通枢纽地区 FZX-0101-03单元FZX-0101-0307 (3)地块F3其他类多功能用地</v>
      </c>
      <c r="J5" s="3428"/>
      <c r="K5" s="1042"/>
      <c r="L5" s="1043"/>
      <c r="M5" s="1044"/>
      <c r="N5" s="1044"/>
      <c r="O5" s="1044"/>
      <c r="P5" s="3453"/>
      <c r="Q5" s="3454"/>
      <c r="R5" s="3459"/>
      <c r="S5" s="3460"/>
      <c r="T5" s="3459"/>
      <c r="U5" s="3460"/>
      <c r="V5" s="3439"/>
      <c r="W5" s="3439"/>
      <c r="X5" s="1048"/>
      <c r="Y5" s="3459"/>
      <c r="Z5" s="3460"/>
      <c r="AA5" s="3449"/>
      <c r="AB5" s="3449"/>
      <c r="AC5" s="3449"/>
    </row>
    <row r="6" spans="1:29" ht="14.4">
      <c r="A6" s="1052"/>
      <c r="B6" s="1053"/>
      <c r="C6" s="3431" t="s">
        <v>1132</v>
      </c>
      <c r="D6" s="3432"/>
      <c r="E6" s="3433" t="s">
        <v>1132</v>
      </c>
      <c r="F6" s="3434"/>
      <c r="G6" s="3431" t="s">
        <v>1132</v>
      </c>
      <c r="H6" s="3432"/>
      <c r="I6" s="3431" t="s">
        <v>1132</v>
      </c>
      <c r="J6" s="3432"/>
      <c r="K6" s="1042" t="s">
        <v>1133</v>
      </c>
      <c r="L6" s="1043"/>
      <c r="M6" s="1044"/>
      <c r="N6" s="1044"/>
      <c r="O6" s="1044"/>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t="str">
        <f>Sheet2!AG6</f>
        <v>2025-03-03</v>
      </c>
      <c r="F7" s="1061">
        <f>SUMIF(69:69,YEAR(E7)&amp;"-"&amp;INT((MONTH(E7)+2)/3),70:70)</f>
        <v>101</v>
      </c>
      <c r="G7" s="1062" t="str">
        <f>Sheet2!AG7</f>
        <v>2025-03-03</v>
      </c>
      <c r="H7" s="1059">
        <f>SUMIF(69:69,YEAR(G7)&amp;"-"&amp;INT((MONTH(G7)+2)/3),70:70)</f>
        <v>101</v>
      </c>
      <c r="I7" s="1062" t="str">
        <f>Sheet2!AG8</f>
        <v>2025-02-25</v>
      </c>
      <c r="J7" s="1059">
        <f>SUMIF(69:69,YEAR(I7)&amp;"-"&amp;INT((MONTH(I7)+2)/3),70:70)</f>
        <v>101</v>
      </c>
      <c r="K7" s="1063"/>
      <c r="L7" s="1064"/>
      <c r="M7" s="1065"/>
      <c r="N7" s="1065"/>
      <c r="O7" s="1065"/>
      <c r="P7" s="3435" t="s">
        <v>1135</v>
      </c>
      <c r="Q7" s="3436"/>
      <c r="R7" s="1067" t="s">
        <v>1136</v>
      </c>
      <c r="S7" s="1068">
        <f t="shared" ref="S7:S15" si="0">F7</f>
        <v>101</v>
      </c>
      <c r="T7" s="1067" t="s">
        <v>1136</v>
      </c>
      <c r="U7" s="1068">
        <f t="shared" ref="U7:U15" si="1">H7</f>
        <v>101</v>
      </c>
      <c r="V7" s="1067" t="s">
        <v>1136</v>
      </c>
      <c r="W7" s="1068">
        <f t="shared" ref="W7:W15" si="2">J7</f>
        <v>101</v>
      </c>
      <c r="X7" s="1069"/>
      <c r="Y7" s="3435" t="s">
        <v>1135</v>
      </c>
      <c r="Z7" s="3437"/>
      <c r="AA7" s="1071">
        <f>D7/F7</f>
        <v>0.99009900990098998</v>
      </c>
      <c r="AB7" s="1071">
        <f>D7/H7</f>
        <v>0.99009900990098998</v>
      </c>
      <c r="AC7" s="1071">
        <f>D7/J7</f>
        <v>0.99009900990098998</v>
      </c>
    </row>
    <row r="8" spans="1:29" s="1011" customFormat="1" ht="14.4">
      <c r="A8" s="1056" t="s">
        <v>1137</v>
      </c>
      <c r="B8" s="1057"/>
      <c r="C8" s="1072" t="s">
        <v>1138</v>
      </c>
      <c r="D8" s="1059">
        <v>100</v>
      </c>
      <c r="E8" s="1072" t="s">
        <v>1139</v>
      </c>
      <c r="F8" s="1061">
        <f>SUMIF(72:72,E8,73:73)-SUMIF(72:72,C8,73:73)+100</f>
        <v>100</v>
      </c>
      <c r="G8" s="1072" t="s">
        <v>1139</v>
      </c>
      <c r="H8" s="1059">
        <f>SUMIF(72:72,G8,73:73)-SUMIF(72:72,C8,73:73)+100</f>
        <v>100</v>
      </c>
      <c r="I8" s="1072" t="s">
        <v>1139</v>
      </c>
      <c r="J8" s="1059">
        <f>SUMIF(72:72,I8,73:73)-SUMIF(72:72,C8,73:73)+100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5" si="3">D8/F8</f>
        <v>1</v>
      </c>
      <c r="AB8" s="1071">
        <f t="shared" ref="AB8:AB45" si="4">D8/H8</f>
        <v>1</v>
      </c>
      <c r="AC8" s="1071">
        <f t="shared" ref="AC8:AC45" si="5">D8/J8</f>
        <v>1</v>
      </c>
    </row>
    <row r="9" spans="1:29" s="1011" customFormat="1" ht="14.4">
      <c r="A9" s="1073" t="s">
        <v>1141</v>
      </c>
      <c r="B9" s="1074" t="s">
        <v>1142</v>
      </c>
      <c r="C9" s="1075" t="s">
        <v>1143</v>
      </c>
      <c r="D9" s="1076">
        <v>100</v>
      </c>
      <c r="E9" s="1075" t="s">
        <v>1144</v>
      </c>
      <c r="F9" s="1076">
        <f>SUMIF(74:74,E9,75:75)-SUMIF(74:74,C9,75:75)+100</f>
        <v>95</v>
      </c>
      <c r="G9" s="1075" t="s">
        <v>1144</v>
      </c>
      <c r="H9" s="1076">
        <f>SUMIF(74:74,G9,75:75)-SUMIF(74:74,C9,75:75)+100</f>
        <v>95</v>
      </c>
      <c r="I9" s="1075" t="s">
        <v>1144</v>
      </c>
      <c r="J9" s="1076">
        <f>SUMIF(74:74,I9,75:75)-SUMIF(74:74,C9,75:75)+100</f>
        <v>95</v>
      </c>
      <c r="K9" s="1063"/>
      <c r="L9" s="1064"/>
      <c r="M9" s="1065"/>
      <c r="N9" s="1065"/>
      <c r="O9" s="1077"/>
      <c r="P9" s="3438" t="s">
        <v>1145</v>
      </c>
      <c r="Q9" s="811" t="str">
        <f t="shared" ref="Q9:Q15" si="6">B9</f>
        <v>用途</v>
      </c>
      <c r="R9" s="1067" t="s">
        <v>1136</v>
      </c>
      <c r="S9" s="1068">
        <f t="shared" si="0"/>
        <v>95</v>
      </c>
      <c r="T9" s="1067" t="s">
        <v>1136</v>
      </c>
      <c r="U9" s="1068">
        <f t="shared" si="1"/>
        <v>95</v>
      </c>
      <c r="V9" s="1067" t="s">
        <v>1136</v>
      </c>
      <c r="W9" s="1068">
        <f t="shared" si="2"/>
        <v>95</v>
      </c>
      <c r="X9" s="1069"/>
      <c r="Y9" s="3404" t="s">
        <v>1146</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1147</v>
      </c>
      <c r="C10" s="1080"/>
      <c r="D10" s="1081">
        <v>100</v>
      </c>
      <c r="E10" s="1565"/>
      <c r="F10" s="1081">
        <f>ROUND(100/'数据-取费表'!G16,0)</f>
        <v>106</v>
      </c>
      <c r="G10" s="1566"/>
      <c r="H10" s="1081">
        <f>ROUND(100/'数据-取费表'!G16,0)</f>
        <v>106</v>
      </c>
      <c r="I10" s="1566"/>
      <c r="J10" s="1081">
        <f>ROUND(100/'数据-取费表'!G16,0)</f>
        <v>106</v>
      </c>
      <c r="K10" s="1082"/>
      <c r="L10" s="1083"/>
      <c r="M10" s="1084"/>
      <c r="N10" s="1084"/>
      <c r="O10" s="1085"/>
      <c r="P10" s="3438"/>
      <c r="Q10" s="811" t="str">
        <f t="shared" si="6"/>
        <v>土地使用年限（年）</v>
      </c>
      <c r="R10" s="1067" t="s">
        <v>1136</v>
      </c>
      <c r="S10" s="1068">
        <f t="shared" si="0"/>
        <v>106</v>
      </c>
      <c r="T10" s="1067" t="s">
        <v>1136</v>
      </c>
      <c r="U10" s="1068">
        <f t="shared" si="1"/>
        <v>106</v>
      </c>
      <c r="V10" s="1067" t="s">
        <v>1136</v>
      </c>
      <c r="W10" s="1068">
        <f t="shared" si="2"/>
        <v>106</v>
      </c>
      <c r="X10" s="1069"/>
      <c r="Y10" s="3404"/>
      <c r="Z10" s="1071" t="str">
        <f t="shared" si="7"/>
        <v>土地使用年限（年）</v>
      </c>
      <c r="AA10" s="1071">
        <f t="shared" si="3"/>
        <v>0.94339622641509402</v>
      </c>
      <c r="AB10" s="1071">
        <f t="shared" si="4"/>
        <v>0.94339622641509402</v>
      </c>
      <c r="AC10" s="1071">
        <f t="shared" si="5"/>
        <v>0.94339622641509402</v>
      </c>
    </row>
    <row r="11" spans="1:29" ht="15">
      <c r="A11" s="1086"/>
      <c r="B11" s="1079" t="s">
        <v>1148</v>
      </c>
      <c r="C11" s="1087">
        <v>2</v>
      </c>
      <c r="D11" s="1081">
        <v>100</v>
      </c>
      <c r="E11" s="1087">
        <f>Sheet2!T6</f>
        <v>7.5</v>
      </c>
      <c r="F11" s="1081">
        <f>LOOKUP(E11,79:79,80:80)-LOOKUP(C11,79:79,80:80)+100</f>
        <v>90</v>
      </c>
      <c r="G11" s="1088">
        <f>Sheet2!T7</f>
        <v>4</v>
      </c>
      <c r="H11" s="1081">
        <f>LOOKUP(G11,79:79,80:80)-LOOKUP(C11,79:79,80:80)+100</f>
        <v>96</v>
      </c>
      <c r="I11" s="1087">
        <f>Sheet2!T8</f>
        <v>2.4</v>
      </c>
      <c r="J11" s="1081">
        <f>LOOKUP(I11,79:79,80:80)-LOOKUP(C11,79:79,80:80)+100</f>
        <v>100</v>
      </c>
      <c r="K11" s="1089">
        <v>2</v>
      </c>
      <c r="L11" s="1090"/>
      <c r="M11" s="1044"/>
      <c r="N11" s="1044"/>
      <c r="O11" s="1091"/>
      <c r="P11" s="3438"/>
      <c r="Q11" s="811" t="str">
        <f t="shared" si="6"/>
        <v>容积率</v>
      </c>
      <c r="R11" s="1067" t="s">
        <v>1136</v>
      </c>
      <c r="S11" s="1068">
        <f t="shared" si="0"/>
        <v>90</v>
      </c>
      <c r="T11" s="1067" t="s">
        <v>1136</v>
      </c>
      <c r="U11" s="1068">
        <f t="shared" si="1"/>
        <v>96</v>
      </c>
      <c r="V11" s="1067" t="s">
        <v>1136</v>
      </c>
      <c r="W11" s="1068">
        <f t="shared" si="2"/>
        <v>100</v>
      </c>
      <c r="X11" s="1069"/>
      <c r="Y11" s="3404"/>
      <c r="Z11" s="1071" t="str">
        <f t="shared" si="7"/>
        <v>容积率</v>
      </c>
      <c r="AA11" s="1071">
        <f t="shared" si="3"/>
        <v>1.1111111111111101</v>
      </c>
      <c r="AB11" s="1071">
        <f t="shared" si="4"/>
        <v>1.0416666666666701</v>
      </c>
      <c r="AC11" s="1071">
        <f t="shared" si="5"/>
        <v>1</v>
      </c>
    </row>
    <row r="12" spans="1:29" s="1011" customFormat="1" ht="15">
      <c r="A12" s="1092"/>
      <c r="B12" s="1093" t="s">
        <v>1149</v>
      </c>
      <c r="C12" s="2201" t="s">
        <v>1150</v>
      </c>
      <c r="D12" s="1094">
        <v>100</v>
      </c>
      <c r="E12" s="2201" t="s">
        <v>1151</v>
      </c>
      <c r="F12" s="1081">
        <f>SUMIF(81:81,E12,82:82)-SUMIF(81:81,C12,82:82)+100</f>
        <v>120</v>
      </c>
      <c r="G12" s="2201" t="s">
        <v>1151</v>
      </c>
      <c r="H12" s="1081">
        <f>SUMIF(81:81,G12,82:82)-SUMIF(81:81,C12,82:82)+100</f>
        <v>120</v>
      </c>
      <c r="I12" s="2202" t="s">
        <v>1152</v>
      </c>
      <c r="J12" s="1081">
        <f>SUMIF(81:81,I12,82:82)-SUMIF(81:81,C12,82:82)+100</f>
        <v>115</v>
      </c>
      <c r="K12" s="1082"/>
      <c r="L12" s="1064"/>
      <c r="M12" s="1065"/>
      <c r="N12" s="1065"/>
      <c r="O12" s="1077"/>
      <c r="P12" s="3438"/>
      <c r="Q12" s="811" t="str">
        <f t="shared" si="6"/>
        <v>配建</v>
      </c>
      <c r="R12" s="1067" t="s">
        <v>1136</v>
      </c>
      <c r="S12" s="1068">
        <f t="shared" si="0"/>
        <v>120</v>
      </c>
      <c r="T12" s="1067" t="s">
        <v>1136</v>
      </c>
      <c r="U12" s="1068">
        <f t="shared" si="1"/>
        <v>120</v>
      </c>
      <c r="V12" s="1067" t="s">
        <v>1136</v>
      </c>
      <c r="W12" s="1068">
        <f t="shared" si="2"/>
        <v>115</v>
      </c>
      <c r="X12" s="1069"/>
      <c r="Y12" s="3404"/>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38"/>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071">
        <f t="shared" si="5"/>
        <v>1</v>
      </c>
    </row>
    <row r="15" spans="1:29" ht="15">
      <c r="A15" s="1103" t="s">
        <v>1153</v>
      </c>
      <c r="B15" s="1367" t="s">
        <v>1154</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44" t="s">
        <v>1155</v>
      </c>
      <c r="Q15" s="707" t="str">
        <f t="shared" si="6"/>
        <v>居住社区成熟度</v>
      </c>
      <c r="R15" s="1109" t="s">
        <v>1136</v>
      </c>
      <c r="S15" s="1110">
        <f t="shared" si="0"/>
        <v>100</v>
      </c>
      <c r="T15" s="1109" t="s">
        <v>1136</v>
      </c>
      <c r="U15" s="1110">
        <f t="shared" si="1"/>
        <v>100</v>
      </c>
      <c r="V15" s="1109" t="s">
        <v>1136</v>
      </c>
      <c r="W15" s="1110">
        <f t="shared" si="2"/>
        <v>100</v>
      </c>
      <c r="X15" s="1048"/>
      <c r="Y15" s="3444" t="s">
        <v>1155</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45"/>
      <c r="Q16" s="707"/>
      <c r="R16" s="1109"/>
      <c r="S16" s="1110"/>
      <c r="T16" s="1109"/>
      <c r="U16" s="1110"/>
      <c r="V16" s="1109"/>
      <c r="W16" s="1110"/>
      <c r="X16" s="1048"/>
      <c r="Y16" s="3445"/>
      <c r="Z16" s="1047"/>
      <c r="AA16" s="1047">
        <v>1</v>
      </c>
      <c r="AB16" s="1047">
        <v>1</v>
      </c>
      <c r="AC16" s="1047">
        <v>1</v>
      </c>
    </row>
    <row r="17" spans="1:29" ht="45.6" customHeight="1">
      <c r="A17" s="1086"/>
      <c r="B17" s="1371" t="s">
        <v>1156</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445"/>
      <c r="Q17" s="707" t="str">
        <f>B17</f>
        <v>商业繁华度</v>
      </c>
      <c r="R17" s="1109" t="s">
        <v>1136</v>
      </c>
      <c r="S17" s="1110">
        <f>F17</f>
        <v>100</v>
      </c>
      <c r="T17" s="1109" t="s">
        <v>1136</v>
      </c>
      <c r="U17" s="1110">
        <f>H17</f>
        <v>100</v>
      </c>
      <c r="V17" s="1109" t="s">
        <v>1136</v>
      </c>
      <c r="W17" s="1110">
        <f>J17</f>
        <v>100</v>
      </c>
      <c r="X17" s="1048"/>
      <c r="Y17" s="3445"/>
      <c r="Z17" s="1047" t="str">
        <f>Q17</f>
        <v>商业繁华度</v>
      </c>
      <c r="AA17" s="1047">
        <f t="shared" si="3"/>
        <v>1</v>
      </c>
      <c r="AB17" s="1047">
        <f t="shared" si="4"/>
        <v>1</v>
      </c>
      <c r="AC17" s="1047">
        <f t="shared" si="5"/>
        <v>1</v>
      </c>
    </row>
    <row r="18" spans="1:29" ht="15">
      <c r="A18" s="1086"/>
      <c r="B18" s="1151"/>
      <c r="C18" s="1374" t="s">
        <v>1157</v>
      </c>
      <c r="D18" s="1115"/>
      <c r="E18" s="1481" t="s">
        <v>1157</v>
      </c>
      <c r="F18" s="1115"/>
      <c r="G18" s="1481" t="s">
        <v>1157</v>
      </c>
      <c r="H18" s="1113"/>
      <c r="I18" s="1481" t="s">
        <v>1157</v>
      </c>
      <c r="J18" s="1113"/>
      <c r="K18" s="1082"/>
      <c r="L18" s="1098"/>
      <c r="M18" s="1044"/>
      <c r="N18" s="1044"/>
      <c r="O18" s="1091"/>
      <c r="P18" s="3445"/>
      <c r="Q18" s="707"/>
      <c r="R18" s="1109"/>
      <c r="S18" s="1110"/>
      <c r="T18" s="1109"/>
      <c r="U18" s="1110"/>
      <c r="V18" s="1109"/>
      <c r="W18" s="1110"/>
      <c r="X18" s="1048"/>
      <c r="Y18" s="3445"/>
      <c r="Z18" s="1047"/>
      <c r="AA18" s="1047">
        <v>1</v>
      </c>
      <c r="AB18" s="1047">
        <v>1</v>
      </c>
      <c r="AC18" s="1047">
        <v>1</v>
      </c>
    </row>
    <row r="19" spans="1:29" ht="15">
      <c r="A19" s="1086"/>
      <c r="B19" s="1371" t="s">
        <v>1158</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445"/>
      <c r="Q19" s="707" t="str">
        <f>B19</f>
        <v>办公集聚程度</v>
      </c>
      <c r="R19" s="1109" t="s">
        <v>1136</v>
      </c>
      <c r="S19" s="1110">
        <f>F19</f>
        <v>100</v>
      </c>
      <c r="T19" s="1109" t="s">
        <v>1136</v>
      </c>
      <c r="U19" s="1110">
        <f>H19</f>
        <v>100</v>
      </c>
      <c r="V19" s="1109" t="s">
        <v>1136</v>
      </c>
      <c r="W19" s="1110">
        <f>J19</f>
        <v>100</v>
      </c>
      <c r="X19" s="1048"/>
      <c r="Y19" s="3445"/>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45"/>
      <c r="Q20" s="707"/>
      <c r="R20" s="1109"/>
      <c r="S20" s="1110"/>
      <c r="T20" s="1109"/>
      <c r="U20" s="1110"/>
      <c r="V20" s="1109"/>
      <c r="W20" s="1110"/>
      <c r="X20" s="1048"/>
      <c r="Y20" s="3445"/>
      <c r="Z20" s="1047"/>
      <c r="AA20" s="1047">
        <v>1</v>
      </c>
      <c r="AB20" s="1047">
        <v>1</v>
      </c>
      <c r="AC20" s="1047">
        <v>1</v>
      </c>
    </row>
    <row r="21" spans="1:29" ht="55.2">
      <c r="A21" s="1086"/>
      <c r="B21" s="1371" t="s">
        <v>1159</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445"/>
      <c r="Q21" s="707" t="str">
        <f>B21</f>
        <v>交通便捷度</v>
      </c>
      <c r="R21" s="1109" t="s">
        <v>1136</v>
      </c>
      <c r="S21" s="1110">
        <f>F21</f>
        <v>100</v>
      </c>
      <c r="T21" s="1109" t="s">
        <v>1136</v>
      </c>
      <c r="U21" s="1110">
        <f>H21</f>
        <v>100</v>
      </c>
      <c r="V21" s="1109" t="s">
        <v>1136</v>
      </c>
      <c r="W21" s="1110">
        <f>J21</f>
        <v>100</v>
      </c>
      <c r="X21" s="1048"/>
      <c r="Y21" s="3445"/>
      <c r="Z21" s="1047" t="str">
        <f>Q21</f>
        <v>交通便捷度</v>
      </c>
      <c r="AA21" s="1047">
        <f t="shared" si="3"/>
        <v>1</v>
      </c>
      <c r="AB21" s="1047">
        <f t="shared" si="4"/>
        <v>1</v>
      </c>
      <c r="AC21" s="1047">
        <f t="shared" si="5"/>
        <v>1</v>
      </c>
    </row>
    <row r="22" spans="1:29" ht="15">
      <c r="A22" s="1086"/>
      <c r="B22" s="1375"/>
      <c r="C22" s="1112" t="s">
        <v>1160</v>
      </c>
      <c r="D22" s="1115"/>
      <c r="E22" s="1112" t="s">
        <v>1160</v>
      </c>
      <c r="F22" s="1113"/>
      <c r="G22" s="1112" t="s">
        <v>1160</v>
      </c>
      <c r="H22" s="1113"/>
      <c r="I22" s="1112" t="s">
        <v>1160</v>
      </c>
      <c r="J22" s="1113"/>
      <c r="K22" s="1082"/>
      <c r="L22" s="1098"/>
      <c r="M22" s="1044"/>
      <c r="N22" s="1044"/>
      <c r="O22" s="1091"/>
      <c r="P22" s="3445"/>
      <c r="Q22" s="707"/>
      <c r="R22" s="1109"/>
      <c r="S22" s="1110"/>
      <c r="T22" s="1109"/>
      <c r="U22" s="1110"/>
      <c r="V22" s="1109"/>
      <c r="W22" s="1110"/>
      <c r="X22" s="1048"/>
      <c r="Y22" s="3445"/>
      <c r="Z22" s="1047"/>
      <c r="AA22" s="1047">
        <v>1</v>
      </c>
      <c r="AB22" s="1047">
        <v>1</v>
      </c>
      <c r="AC22" s="1047">
        <v>1</v>
      </c>
    </row>
    <row r="23" spans="1:29" ht="28.8">
      <c r="A23" s="1049"/>
      <c r="B23" s="1371" t="s">
        <v>1161</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445"/>
      <c r="Q23" s="707" t="str">
        <f t="shared" ref="Q23:Q38" si="8">B23</f>
        <v>区域土地利用方向</v>
      </c>
      <c r="R23" s="1109" t="s">
        <v>1136</v>
      </c>
      <c r="S23" s="1110">
        <f>F23</f>
        <v>100</v>
      </c>
      <c r="T23" s="1109" t="s">
        <v>1136</v>
      </c>
      <c r="U23" s="1110">
        <f>H23</f>
        <v>100</v>
      </c>
      <c r="V23" s="1109" t="s">
        <v>1136</v>
      </c>
      <c r="W23" s="1110">
        <f>J23</f>
        <v>100</v>
      </c>
      <c r="X23" s="1048"/>
      <c r="Y23" s="3445"/>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45"/>
      <c r="Q24" s="707"/>
      <c r="R24" s="1109"/>
      <c r="S24" s="1110"/>
      <c r="T24" s="1109"/>
      <c r="U24" s="1110"/>
      <c r="V24" s="1109"/>
      <c r="W24" s="1110"/>
      <c r="X24" s="1048"/>
      <c r="Y24" s="3445"/>
      <c r="Z24" s="1047"/>
      <c r="AA24" s="1047"/>
      <c r="AB24" s="1047"/>
      <c r="AC24" s="1047"/>
    </row>
    <row r="25" spans="1:29" ht="41.4">
      <c r="A25" s="1049"/>
      <c r="B25" s="1375" t="s">
        <v>1162</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445"/>
      <c r="Q25" s="707" t="str">
        <f t="shared" si="8"/>
        <v>自然及人文环境状况</v>
      </c>
      <c r="R25" s="1109" t="s">
        <v>1136</v>
      </c>
      <c r="S25" s="1110">
        <f>F25</f>
        <v>100</v>
      </c>
      <c r="T25" s="1109" t="s">
        <v>1136</v>
      </c>
      <c r="U25" s="1110">
        <f>H25</f>
        <v>100</v>
      </c>
      <c r="V25" s="1109" t="s">
        <v>1136</v>
      </c>
      <c r="W25" s="1110">
        <f>J25</f>
        <v>100</v>
      </c>
      <c r="X25" s="1048"/>
      <c r="Y25" s="3445"/>
      <c r="Z25" s="1047" t="str">
        <f>Q25</f>
        <v>自然及人文环境状况</v>
      </c>
      <c r="AA25" s="1047">
        <f t="shared" si="3"/>
        <v>1</v>
      </c>
      <c r="AB25" s="1047">
        <f t="shared" si="4"/>
        <v>1</v>
      </c>
      <c r="AC25" s="1047">
        <f t="shared" si="5"/>
        <v>1</v>
      </c>
    </row>
    <row r="26" spans="1:29" ht="15">
      <c r="A26" s="1049"/>
      <c r="B26" s="1151"/>
      <c r="C26" s="1112" t="s">
        <v>1157</v>
      </c>
      <c r="D26" s="1113"/>
      <c r="E26" s="1112" t="s">
        <v>1157</v>
      </c>
      <c r="F26" s="1113"/>
      <c r="G26" s="1112" t="s">
        <v>1157</v>
      </c>
      <c r="H26" s="1113"/>
      <c r="I26" s="1112" t="s">
        <v>1157</v>
      </c>
      <c r="J26" s="1113"/>
      <c r="K26" s="1082"/>
      <c r="L26" s="1098"/>
      <c r="M26" s="1044"/>
      <c r="N26" s="1044"/>
      <c r="O26" s="1091"/>
      <c r="P26" s="3445"/>
      <c r="Q26" s="707"/>
      <c r="R26" s="1109"/>
      <c r="S26" s="1110"/>
      <c r="T26" s="1109"/>
      <c r="U26" s="1110"/>
      <c r="V26" s="1109"/>
      <c r="W26" s="1110"/>
      <c r="X26" s="1048"/>
      <c r="Y26" s="3445"/>
      <c r="Z26" s="1047"/>
      <c r="AA26" s="1047">
        <v>1</v>
      </c>
      <c r="AB26" s="1047">
        <v>1</v>
      </c>
      <c r="AC26" s="1047">
        <v>1</v>
      </c>
    </row>
    <row r="27" spans="1:29" s="1011" customFormat="1" ht="27.6">
      <c r="A27" s="1126"/>
      <c r="B27" s="1375" t="s">
        <v>1163</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445"/>
      <c r="Q27" s="811" t="str">
        <f t="shared" si="8"/>
        <v>公共配套设施</v>
      </c>
      <c r="R27" s="1067" t="s">
        <v>1136</v>
      </c>
      <c r="S27" s="1068">
        <f>F27</f>
        <v>100</v>
      </c>
      <c r="T27" s="1067" t="s">
        <v>1136</v>
      </c>
      <c r="U27" s="1068">
        <f>H27</f>
        <v>100</v>
      </c>
      <c r="V27" s="1067" t="s">
        <v>1136</v>
      </c>
      <c r="W27" s="1068">
        <f>J27</f>
        <v>100</v>
      </c>
      <c r="X27" s="1069"/>
      <c r="Y27" s="3445"/>
      <c r="Z27" s="1071" t="str">
        <f>Q27</f>
        <v>公共配套设施</v>
      </c>
      <c r="AA27" s="1047">
        <f>D27/F27</f>
        <v>1</v>
      </c>
      <c r="AB27" s="1047">
        <f>D27/H27</f>
        <v>1</v>
      </c>
      <c r="AC27" s="1047">
        <f>D27/J27</f>
        <v>1</v>
      </c>
    </row>
    <row r="28" spans="1:29" s="1011" customFormat="1" ht="15">
      <c r="A28" s="1126"/>
      <c r="B28" s="1151"/>
      <c r="C28" s="1128" t="s">
        <v>1157</v>
      </c>
      <c r="D28" s="1113"/>
      <c r="E28" s="1128" t="s">
        <v>1157</v>
      </c>
      <c r="F28" s="1113"/>
      <c r="G28" s="1128" t="s">
        <v>1157</v>
      </c>
      <c r="H28" s="1113"/>
      <c r="I28" s="1128" t="s">
        <v>1157</v>
      </c>
      <c r="J28" s="1113"/>
      <c r="K28" s="1082"/>
      <c r="L28" s="1064"/>
      <c r="M28" s="1065"/>
      <c r="N28" s="1065"/>
      <c r="O28" s="1077"/>
      <c r="P28" s="3445"/>
      <c r="Q28" s="811"/>
      <c r="R28" s="1067"/>
      <c r="S28" s="1068"/>
      <c r="T28" s="1067"/>
      <c r="U28" s="1068"/>
      <c r="V28" s="1067"/>
      <c r="W28" s="1068"/>
      <c r="X28" s="1069"/>
      <c r="Y28" s="3445"/>
      <c r="Z28" s="1071"/>
      <c r="AA28" s="1047">
        <v>1</v>
      </c>
      <c r="AB28" s="1047">
        <v>1</v>
      </c>
      <c r="AC28" s="1047">
        <v>1</v>
      </c>
    </row>
    <row r="29" spans="1:29" s="1011" customFormat="1" ht="27.6">
      <c r="A29" s="1126"/>
      <c r="B29" s="1375" t="s">
        <v>1164</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45"/>
      <c r="Q29" s="811" t="str">
        <f t="shared" ref="Q29" si="9">B29</f>
        <v>基础设施水平</v>
      </c>
      <c r="R29" s="1067" t="s">
        <v>1136</v>
      </c>
      <c r="S29" s="1068">
        <f>F29</f>
        <v>100</v>
      </c>
      <c r="T29" s="1067" t="s">
        <v>1136</v>
      </c>
      <c r="U29" s="1068">
        <f>H29</f>
        <v>100</v>
      </c>
      <c r="V29" s="1067" t="s">
        <v>1136</v>
      </c>
      <c r="W29" s="1068">
        <f>J29</f>
        <v>100</v>
      </c>
      <c r="X29" s="1069"/>
      <c r="Y29" s="3445"/>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445"/>
      <c r="Q30" s="811"/>
      <c r="R30" s="1067"/>
      <c r="S30" s="1068"/>
      <c r="T30" s="1067"/>
      <c r="U30" s="1068"/>
      <c r="V30" s="1067"/>
      <c r="W30" s="1068"/>
      <c r="X30" s="1069"/>
      <c r="Y30" s="3445"/>
      <c r="Z30" s="1071"/>
      <c r="AA30" s="1047">
        <v>1</v>
      </c>
      <c r="AB30" s="1047">
        <v>1</v>
      </c>
      <c r="AC30" s="1047">
        <v>1</v>
      </c>
    </row>
    <row r="31" spans="1:29" ht="15">
      <c r="A31" s="1086"/>
      <c r="B31" s="1151" t="s">
        <v>1165</v>
      </c>
      <c r="C31" s="1130" t="s">
        <v>1166</v>
      </c>
      <c r="D31" s="708">
        <v>100</v>
      </c>
      <c r="E31" s="1131" t="s">
        <v>1167</v>
      </c>
      <c r="F31" s="708">
        <f>SUMIF(103:103,E31,104:104)-SUMIF(103:103,C31,104:104)+100</f>
        <v>97</v>
      </c>
      <c r="G31" s="1131" t="s">
        <v>1167</v>
      </c>
      <c r="H31" s="708">
        <f>SUMIF(103:103,G31,104:104)-SUMIF(103:103,C31,104:104)+100</f>
        <v>97</v>
      </c>
      <c r="I31" s="1131" t="s">
        <v>1167</v>
      </c>
      <c r="J31" s="708">
        <f>SUMIF(103:103,I31,104:104)-SUMIF(103:103,C31,104:104)+100</f>
        <v>97</v>
      </c>
      <c r="K31" s="1089">
        <v>3</v>
      </c>
      <c r="L31" s="1098"/>
      <c r="M31" s="1044"/>
      <c r="N31" s="1044"/>
      <c r="O31" s="1091"/>
      <c r="P31" s="3445"/>
      <c r="Q31" s="707" t="str">
        <f t="shared" si="8"/>
        <v>临街状况</v>
      </c>
      <c r="R31" s="1109" t="s">
        <v>1136</v>
      </c>
      <c r="S31" s="1110">
        <f t="shared" ref="S31:S45" si="10">F31</f>
        <v>97</v>
      </c>
      <c r="T31" s="1109" t="s">
        <v>1136</v>
      </c>
      <c r="U31" s="1110">
        <f t="shared" ref="U31:U45" si="11">H31</f>
        <v>97</v>
      </c>
      <c r="V31" s="1109" t="s">
        <v>1136</v>
      </c>
      <c r="W31" s="1110">
        <f t="shared" ref="W31:W45" si="12">J31</f>
        <v>97</v>
      </c>
      <c r="X31" s="1048"/>
      <c r="Y31" s="3445"/>
      <c r="Z31" s="1047" t="str">
        <f t="shared" ref="Z31:Z45" si="13">Q31</f>
        <v>临街状况</v>
      </c>
      <c r="AA31" s="1047">
        <f t="shared" si="3"/>
        <v>1.0309278350515501</v>
      </c>
      <c r="AB31" s="1047">
        <f t="shared" si="4"/>
        <v>1.0309278350515501</v>
      </c>
      <c r="AC31" s="1047">
        <f t="shared" si="5"/>
        <v>1.0309278350515501</v>
      </c>
    </row>
    <row r="32" spans="1:29" ht="28.8">
      <c r="A32" s="1086"/>
      <c r="B32" s="1375" t="s">
        <v>1168</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45"/>
      <c r="Q32" s="707" t="str">
        <f t="shared" si="8"/>
        <v>毗邻道路的类型与等级</v>
      </c>
      <c r="R32" s="1109" t="s">
        <v>1136</v>
      </c>
      <c r="S32" s="1110">
        <f t="shared" si="10"/>
        <v>100</v>
      </c>
      <c r="T32" s="1109" t="s">
        <v>1136</v>
      </c>
      <c r="U32" s="1110">
        <f t="shared" si="11"/>
        <v>100</v>
      </c>
      <c r="V32" s="1109" t="s">
        <v>1136</v>
      </c>
      <c r="W32" s="1110">
        <f t="shared" si="12"/>
        <v>100</v>
      </c>
      <c r="X32" s="1048"/>
      <c r="Y32" s="3445"/>
      <c r="Z32" s="1047" t="str">
        <f t="shared" si="13"/>
        <v>毗邻道路的类型与等级</v>
      </c>
      <c r="AA32" s="1047">
        <f t="shared" si="3"/>
        <v>1</v>
      </c>
      <c r="AB32" s="1047">
        <f t="shared" si="4"/>
        <v>1</v>
      </c>
      <c r="AC32" s="1047">
        <f t="shared" si="5"/>
        <v>1</v>
      </c>
    </row>
    <row r="33" spans="1:29" ht="15">
      <c r="A33" s="1086"/>
      <c r="B33" s="1151"/>
      <c r="C33" s="1112" t="s">
        <v>1169</v>
      </c>
      <c r="D33" s="1113"/>
      <c r="E33" s="1112" t="s">
        <v>1169</v>
      </c>
      <c r="F33" s="1113"/>
      <c r="G33" s="1112" t="s">
        <v>1169</v>
      </c>
      <c r="H33" s="1113"/>
      <c r="I33" s="1112" t="s">
        <v>1169</v>
      </c>
      <c r="J33" s="1113"/>
      <c r="K33" s="1133"/>
      <c r="L33" s="1098"/>
      <c r="M33" s="1044"/>
      <c r="N33" s="1044"/>
      <c r="O33" s="1091"/>
      <c r="P33" s="3445"/>
      <c r="Q33" s="707"/>
      <c r="R33" s="1109"/>
      <c r="S33" s="1110"/>
      <c r="T33" s="1109"/>
      <c r="U33" s="1110"/>
      <c r="V33" s="1109"/>
      <c r="W33" s="1110"/>
      <c r="X33" s="1048"/>
      <c r="Y33" s="3445"/>
      <c r="Z33" s="1047"/>
      <c r="AA33" s="1047">
        <v>1</v>
      </c>
      <c r="AB33" s="1047">
        <v>1</v>
      </c>
      <c r="AC33" s="1047">
        <v>1</v>
      </c>
    </row>
    <row r="34" spans="1:29" ht="15">
      <c r="A34" s="1086"/>
      <c r="B34" s="1079" t="s">
        <v>1170</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45"/>
      <c r="Q34" s="707" t="str">
        <f t="shared" si="8"/>
        <v>土地级别</v>
      </c>
      <c r="R34" s="1109" t="s">
        <v>1136</v>
      </c>
      <c r="S34" s="1110">
        <f t="shared" si="10"/>
        <v>100</v>
      </c>
      <c r="T34" s="1109" t="s">
        <v>1136</v>
      </c>
      <c r="U34" s="1110">
        <f t="shared" si="11"/>
        <v>100</v>
      </c>
      <c r="V34" s="1109" t="s">
        <v>1136</v>
      </c>
      <c r="W34" s="1110">
        <f t="shared" si="12"/>
        <v>100</v>
      </c>
      <c r="X34" s="1048"/>
      <c r="Y34" s="3445"/>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45"/>
      <c r="Q35" s="707">
        <f t="shared" si="8"/>
        <v>111</v>
      </c>
      <c r="R35" s="1109" t="s">
        <v>1136</v>
      </c>
      <c r="S35" s="1110">
        <f t="shared" si="10"/>
        <v>100</v>
      </c>
      <c r="T35" s="1109" t="s">
        <v>1136</v>
      </c>
      <c r="U35" s="1110">
        <f t="shared" si="11"/>
        <v>100</v>
      </c>
      <c r="V35" s="1109" t="s">
        <v>1136</v>
      </c>
      <c r="W35" s="1110">
        <f t="shared" si="12"/>
        <v>100</v>
      </c>
      <c r="X35" s="1048"/>
      <c r="Y35" s="3445"/>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6" t="s">
        <v>1171</v>
      </c>
      <c r="Q36" s="707">
        <f t="shared" si="8"/>
        <v>111</v>
      </c>
      <c r="R36" s="1109" t="s">
        <v>1136</v>
      </c>
      <c r="S36" s="1110">
        <f t="shared" si="10"/>
        <v>100</v>
      </c>
      <c r="T36" s="1109" t="s">
        <v>1136</v>
      </c>
      <c r="U36" s="1110">
        <f t="shared" si="11"/>
        <v>100</v>
      </c>
      <c r="V36" s="1109" t="s">
        <v>1136</v>
      </c>
      <c r="W36" s="1110">
        <f t="shared" si="12"/>
        <v>100</v>
      </c>
      <c r="X36" s="1048"/>
      <c r="Y36" s="3447" t="s">
        <v>1171</v>
      </c>
      <c r="Z36" s="1047">
        <f t="shared" si="13"/>
        <v>111</v>
      </c>
      <c r="AA36" s="1047">
        <f t="shared" si="3"/>
        <v>1</v>
      </c>
      <c r="AB36" s="1047">
        <f t="shared" si="4"/>
        <v>1</v>
      </c>
      <c r="AC36" s="1047">
        <f t="shared" si="5"/>
        <v>1</v>
      </c>
    </row>
    <row r="37" spans="1:29" s="1013" customFormat="1" ht="15">
      <c r="A37" s="1140"/>
      <c r="B37" s="220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47"/>
      <c r="Q37" s="707">
        <f t="shared" si="8"/>
        <v>111</v>
      </c>
      <c r="R37" s="1147" t="s">
        <v>1136</v>
      </c>
      <c r="S37" s="1148">
        <f t="shared" si="10"/>
        <v>100</v>
      </c>
      <c r="T37" s="1147" t="s">
        <v>1136</v>
      </c>
      <c r="U37" s="1148">
        <f t="shared" si="11"/>
        <v>100</v>
      </c>
      <c r="V37" s="1147" t="s">
        <v>1136</v>
      </c>
      <c r="W37" s="1148">
        <f t="shared" si="12"/>
        <v>100</v>
      </c>
      <c r="X37" s="1149"/>
      <c r="Y37" s="3447"/>
      <c r="Z37" s="1150">
        <f t="shared" si="13"/>
        <v>111</v>
      </c>
      <c r="AA37" s="1047">
        <f t="shared" si="3"/>
        <v>1</v>
      </c>
      <c r="AB37" s="1047">
        <f t="shared" si="4"/>
        <v>1</v>
      </c>
      <c r="AC37" s="1047">
        <f t="shared" si="5"/>
        <v>1</v>
      </c>
    </row>
    <row r="38" spans="1:29" ht="15.6">
      <c r="A38" s="1154" t="s">
        <v>1172</v>
      </c>
      <c r="B38" s="1151" t="s">
        <v>1173</v>
      </c>
      <c r="C38" s="1152">
        <f>[3]面积!B5</f>
        <v>42276.47</v>
      </c>
      <c r="D38" s="1040">
        <v>100</v>
      </c>
      <c r="E38" s="1152">
        <f>Sheet2!I6</f>
        <v>31330.48</v>
      </c>
      <c r="F38" s="1040">
        <f>LOOKUP(E38,116:116,117:117)-LOOKUP(C38,116:116,117:117)+100</f>
        <v>98</v>
      </c>
      <c r="G38" s="1152">
        <f>Sheet2!I7</f>
        <v>4239.42</v>
      </c>
      <c r="H38" s="1040">
        <f>LOOKUP(G38,116:116,117:117)-LOOKUP(C38,116:116,117:117)+100</f>
        <v>94</v>
      </c>
      <c r="I38" s="1153">
        <f>Sheet2!I8</f>
        <v>5369.21</v>
      </c>
      <c r="J38" s="1040">
        <f>LOOKUP(I38,116:116,117:117)-LOOKUP(C38,116:116,117:117)+100</f>
        <v>94</v>
      </c>
      <c r="K38" s="1133"/>
      <c r="L38" s="1098"/>
      <c r="M38" s="1044"/>
      <c r="N38" s="1044"/>
      <c r="O38" s="1091"/>
      <c r="P38" s="3447"/>
      <c r="Q38" s="707" t="str">
        <f t="shared" si="8"/>
        <v>宗地面积</v>
      </c>
      <c r="R38" s="1109" t="s">
        <v>1136</v>
      </c>
      <c r="S38" s="1110">
        <f t="shared" si="10"/>
        <v>98</v>
      </c>
      <c r="T38" s="1109" t="s">
        <v>1136</v>
      </c>
      <c r="U38" s="1110">
        <f t="shared" si="11"/>
        <v>94</v>
      </c>
      <c r="V38" s="1109" t="s">
        <v>1136</v>
      </c>
      <c r="W38" s="1110">
        <f t="shared" si="12"/>
        <v>94</v>
      </c>
      <c r="X38" s="1048"/>
      <c r="Y38" s="3447"/>
      <c r="Z38" s="1047" t="str">
        <f t="shared" si="13"/>
        <v>宗地面积</v>
      </c>
      <c r="AA38" s="1047">
        <f t="shared" si="3"/>
        <v>1.0204081632653099</v>
      </c>
      <c r="AB38" s="1047">
        <f t="shared" si="4"/>
        <v>1.0638297872340401</v>
      </c>
      <c r="AC38" s="1047">
        <f t="shared" si="5"/>
        <v>1.0638297872340401</v>
      </c>
    </row>
    <row r="39" spans="1:29" ht="15">
      <c r="A39" s="1154"/>
      <c r="B39" s="1079" t="s">
        <v>1174</v>
      </c>
      <c r="C39" s="1155" t="s">
        <v>1175</v>
      </c>
      <c r="D39" s="708">
        <v>100</v>
      </c>
      <c r="E39" s="1155" t="s">
        <v>1176</v>
      </c>
      <c r="F39" s="708">
        <f>SUMIF(118:118,E39,119:119)-SUMIF(118:118,C39,119:119)+100</f>
        <v>98</v>
      </c>
      <c r="G39" s="1155" t="s">
        <v>1176</v>
      </c>
      <c r="H39" s="708">
        <f>SUMIF(118:118,G39,119:119)-SUMIF(118:118,C39,119:119)+100</f>
        <v>98</v>
      </c>
      <c r="I39" s="1155" t="s">
        <v>1177</v>
      </c>
      <c r="J39" s="708">
        <f>SUMIF(118:118,I39,119:119)-SUMIF(118:118,C39,119:119)+100</f>
        <v>102</v>
      </c>
      <c r="K39" s="1135">
        <v>2</v>
      </c>
      <c r="L39" s="1098"/>
      <c r="M39" s="1044"/>
      <c r="N39" s="1044"/>
      <c r="O39" s="1091"/>
      <c r="P39" s="3447"/>
      <c r="Q39" s="707" t="str">
        <f t="shared" ref="Q39:Q45" si="14">B39</f>
        <v>宗地形状</v>
      </c>
      <c r="R39" s="1109" t="s">
        <v>1136</v>
      </c>
      <c r="S39" s="1110">
        <f t="shared" si="10"/>
        <v>98</v>
      </c>
      <c r="T39" s="1109" t="s">
        <v>1136</v>
      </c>
      <c r="U39" s="1110">
        <f t="shared" si="11"/>
        <v>98</v>
      </c>
      <c r="V39" s="1109" t="s">
        <v>1136</v>
      </c>
      <c r="W39" s="1110">
        <f t="shared" si="12"/>
        <v>102</v>
      </c>
      <c r="X39" s="1048"/>
      <c r="Y39" s="3447"/>
      <c r="Z39" s="1047" t="str">
        <f t="shared" si="13"/>
        <v>宗地形状</v>
      </c>
      <c r="AA39" s="1047">
        <f t="shared" si="3"/>
        <v>1.0204081632653099</v>
      </c>
      <c r="AB39" s="1047">
        <f t="shared" si="4"/>
        <v>1.0204081632653099</v>
      </c>
      <c r="AC39" s="1047">
        <f t="shared" si="5"/>
        <v>0.98039215686274495</v>
      </c>
    </row>
    <row r="40" spans="1:29" ht="15">
      <c r="A40" s="1154"/>
      <c r="B40" s="1079" t="s">
        <v>1178</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47"/>
      <c r="Q40" s="707" t="str">
        <f t="shared" si="14"/>
        <v>临街宽度及深度</v>
      </c>
      <c r="R40" s="1109" t="s">
        <v>1136</v>
      </c>
      <c r="S40" s="1110">
        <f t="shared" si="10"/>
        <v>100</v>
      </c>
      <c r="T40" s="1109" t="s">
        <v>1136</v>
      </c>
      <c r="U40" s="1110">
        <f t="shared" si="11"/>
        <v>100</v>
      </c>
      <c r="V40" s="1109" t="s">
        <v>1136</v>
      </c>
      <c r="W40" s="1110">
        <f t="shared" si="12"/>
        <v>100</v>
      </c>
      <c r="X40" s="1048"/>
      <c r="Y40" s="3447"/>
      <c r="Z40" s="1047" t="str">
        <f t="shared" si="13"/>
        <v>临街宽度及深度</v>
      </c>
      <c r="AA40" s="1047">
        <f t="shared" si="3"/>
        <v>1</v>
      </c>
      <c r="AB40" s="1047">
        <f t="shared" si="4"/>
        <v>1</v>
      </c>
      <c r="AC40" s="1047">
        <f t="shared" si="5"/>
        <v>1</v>
      </c>
    </row>
    <row r="41" spans="1:29" s="1011" customFormat="1" ht="15">
      <c r="A41" s="1156"/>
      <c r="B41" s="1079" t="s">
        <v>1179</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447"/>
      <c r="Q41" s="707" t="str">
        <f t="shared" si="14"/>
        <v>宗地开发程度</v>
      </c>
      <c r="R41" s="1067" t="s">
        <v>1136</v>
      </c>
      <c r="S41" s="1068">
        <f t="shared" si="10"/>
        <v>100</v>
      </c>
      <c r="T41" s="1067" t="s">
        <v>1136</v>
      </c>
      <c r="U41" s="1068">
        <f t="shared" si="11"/>
        <v>100</v>
      </c>
      <c r="V41" s="1067" t="s">
        <v>1136</v>
      </c>
      <c r="W41" s="1068">
        <f t="shared" si="12"/>
        <v>100</v>
      </c>
      <c r="X41" s="1069"/>
      <c r="Y41" s="3447"/>
      <c r="Z41" s="1071" t="str">
        <f t="shared" si="13"/>
        <v>宗地开发程度</v>
      </c>
      <c r="AA41" s="1071">
        <f t="shared" si="3"/>
        <v>1</v>
      </c>
      <c r="AB41" s="1071">
        <f t="shared" si="4"/>
        <v>1</v>
      </c>
      <c r="AC41" s="1071">
        <f t="shared" si="5"/>
        <v>1</v>
      </c>
    </row>
    <row r="42" spans="1:29" ht="15">
      <c r="A42" s="1154"/>
      <c r="B42" s="1079" t="s">
        <v>1180</v>
      </c>
      <c r="C42" s="1155" t="s">
        <v>1160</v>
      </c>
      <c r="D42" s="708">
        <v>100</v>
      </c>
      <c r="E42" s="1155" t="s">
        <v>1160</v>
      </c>
      <c r="F42" s="708">
        <f>SUMIF(124:124,E42,125:125)-SUMIF(124:124,C42,125:125)+100</f>
        <v>100</v>
      </c>
      <c r="G42" s="1155" t="s">
        <v>1160</v>
      </c>
      <c r="H42" s="708">
        <f>SUMIF(124:124,G42,125:125)-SUMIF(124:124,C42,125:125)+100</f>
        <v>100</v>
      </c>
      <c r="I42" s="1155" t="s">
        <v>1160</v>
      </c>
      <c r="J42" s="708">
        <f>SUMIF(124:124,I42,125:125)-SUMIF(124:124,C42,125:125)+100</f>
        <v>100</v>
      </c>
      <c r="K42" s="1135">
        <v>2</v>
      </c>
      <c r="L42" s="1098"/>
      <c r="M42" s="1044"/>
      <c r="N42" s="1044"/>
      <c r="O42" s="1091"/>
      <c r="P42" s="3447" t="s">
        <v>1171</v>
      </c>
      <c r="Q42" s="707" t="str">
        <f t="shared" si="14"/>
        <v>工程地质条件</v>
      </c>
      <c r="R42" s="1109" t="s">
        <v>1136</v>
      </c>
      <c r="S42" s="1110">
        <f t="shared" si="10"/>
        <v>100</v>
      </c>
      <c r="T42" s="1109" t="s">
        <v>1136</v>
      </c>
      <c r="U42" s="1110">
        <f t="shared" si="11"/>
        <v>100</v>
      </c>
      <c r="V42" s="1109" t="s">
        <v>1136</v>
      </c>
      <c r="W42" s="1110">
        <f t="shared" si="12"/>
        <v>100</v>
      </c>
      <c r="X42" s="1048"/>
      <c r="Y42" s="3447" t="s">
        <v>1171</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47"/>
      <c r="Q43" s="707">
        <f t="shared" si="14"/>
        <v>111</v>
      </c>
      <c r="R43" s="1109" t="s">
        <v>1136</v>
      </c>
      <c r="S43" s="1110">
        <f t="shared" si="10"/>
        <v>100</v>
      </c>
      <c r="T43" s="1109" t="s">
        <v>1136</v>
      </c>
      <c r="U43" s="1110">
        <f t="shared" si="11"/>
        <v>100</v>
      </c>
      <c r="V43" s="1109" t="s">
        <v>1136</v>
      </c>
      <c r="W43" s="1110">
        <f t="shared" si="12"/>
        <v>100</v>
      </c>
      <c r="X43" s="1048"/>
      <c r="Y43" s="3447"/>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47"/>
      <c r="Q44" s="707">
        <f t="shared" si="14"/>
        <v>111</v>
      </c>
      <c r="R44" s="1109" t="s">
        <v>1136</v>
      </c>
      <c r="S44" s="1110">
        <f t="shared" si="10"/>
        <v>100</v>
      </c>
      <c r="T44" s="1109" t="s">
        <v>1136</v>
      </c>
      <c r="U44" s="1110">
        <f t="shared" si="11"/>
        <v>100</v>
      </c>
      <c r="V44" s="1109" t="s">
        <v>1136</v>
      </c>
      <c r="W44" s="1110">
        <f t="shared" si="12"/>
        <v>100</v>
      </c>
      <c r="X44" s="1048"/>
      <c r="Y44" s="3447"/>
      <c r="Z44" s="1047">
        <f t="shared" si="13"/>
        <v>111</v>
      </c>
      <c r="AA44" s="1047">
        <f t="shared" si="3"/>
        <v>1</v>
      </c>
      <c r="AB44" s="1047">
        <f t="shared" si="4"/>
        <v>1</v>
      </c>
      <c r="AC44" s="1047">
        <f t="shared" si="5"/>
        <v>1</v>
      </c>
    </row>
    <row r="45" spans="1:29" s="1013" customFormat="1" ht="15">
      <c r="A45" s="1159"/>
      <c r="B45" s="1158">
        <v>111</v>
      </c>
      <c r="C45" s="1160"/>
      <c r="D45" s="220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47"/>
      <c r="Q45" s="707">
        <f t="shared" si="14"/>
        <v>111</v>
      </c>
      <c r="R45" s="1147" t="s">
        <v>1136</v>
      </c>
      <c r="S45" s="1148">
        <f t="shared" si="10"/>
        <v>100</v>
      </c>
      <c r="T45" s="1147" t="s">
        <v>1136</v>
      </c>
      <c r="U45" s="1148">
        <f t="shared" si="11"/>
        <v>100</v>
      </c>
      <c r="V45" s="1147" t="s">
        <v>1136</v>
      </c>
      <c r="W45" s="1148">
        <f t="shared" si="12"/>
        <v>100</v>
      </c>
      <c r="X45" s="1149"/>
      <c r="Y45" s="3447"/>
      <c r="Z45" s="1150">
        <f t="shared" si="13"/>
        <v>111</v>
      </c>
      <c r="AA45" s="1047">
        <f t="shared" si="3"/>
        <v>1</v>
      </c>
      <c r="AB45" s="1047">
        <f t="shared" si="4"/>
        <v>1</v>
      </c>
      <c r="AC45" s="1047">
        <f t="shared" si="5"/>
        <v>1</v>
      </c>
    </row>
    <row r="46" spans="1:29" ht="14.4">
      <c r="A46" s="1162" t="s">
        <v>1181</v>
      </c>
      <c r="B46" s="1163" t="s">
        <v>1182</v>
      </c>
      <c r="C46" s="1164" t="s">
        <v>124</v>
      </c>
      <c r="D46" s="1165"/>
      <c r="E46" s="1166">
        <f>Sheet2!AW6</f>
        <v>13369</v>
      </c>
      <c r="F46" s="1167"/>
      <c r="G46" s="1168">
        <f>Sheet2!AW7</f>
        <v>13374</v>
      </c>
      <c r="H46" s="1169"/>
      <c r="I46" s="1166">
        <f>Sheet2!AW8</f>
        <v>13363</v>
      </c>
      <c r="J46" s="1169"/>
      <c r="K46" s="1170"/>
      <c r="L46" s="1171"/>
      <c r="M46" s="1044"/>
      <c r="N46" s="1044"/>
      <c r="O46" s="1044"/>
      <c r="P46" s="3438" t="str">
        <f>A46</f>
        <v>成交单价</v>
      </c>
      <c r="Q46" s="3438"/>
      <c r="R46" s="3439">
        <f>E46</f>
        <v>13369</v>
      </c>
      <c r="S46" s="3439"/>
      <c r="T46" s="3439">
        <f>G46</f>
        <v>13374</v>
      </c>
      <c r="U46" s="3439"/>
      <c r="V46" s="3439">
        <f>I46</f>
        <v>13363</v>
      </c>
      <c r="W46" s="3439"/>
      <c r="X46" s="1172"/>
      <c r="Y46" s="1173"/>
      <c r="Z46" s="1172"/>
      <c r="AA46" s="1172"/>
      <c r="AB46" s="1172"/>
      <c r="AC46" s="1172"/>
    </row>
    <row r="47" spans="1:29" ht="14.4">
      <c r="A47" s="1174" t="s">
        <v>1183</v>
      </c>
      <c r="B47" s="1175"/>
      <c r="C47" s="1176">
        <f>R48</f>
        <v>12708</v>
      </c>
      <c r="D47" s="1177" t="s">
        <v>1184</v>
      </c>
      <c r="E47" s="1176">
        <f>R47</f>
        <v>13065</v>
      </c>
      <c r="F47" s="1178"/>
      <c r="G47" s="1179">
        <f>T47</f>
        <v>12774</v>
      </c>
      <c r="H47" s="1178"/>
      <c r="I47" s="1176">
        <f>V47</f>
        <v>12284</v>
      </c>
      <c r="J47" s="1178"/>
      <c r="K47" s="1180">
        <f>F47+H47+J47</f>
        <v>0</v>
      </c>
      <c r="L47" s="1171"/>
      <c r="M47" s="1044"/>
      <c r="N47" s="1044"/>
      <c r="O47" s="1044"/>
      <c r="P47" s="3438" t="str">
        <f>A47</f>
        <v>比较价值（元/平方米）</v>
      </c>
      <c r="Q47" s="3438"/>
      <c r="R47" s="3440">
        <f>ROUND(PRODUCT(R46,AA7:AA45),0)</f>
        <v>13065</v>
      </c>
      <c r="S47" s="3440"/>
      <c r="T47" s="3440">
        <f>ROUND(PRODUCT(T46,AB7:AB45),0)</f>
        <v>12774</v>
      </c>
      <c r="U47" s="3440"/>
      <c r="V47" s="3440">
        <f>ROUND(PRODUCT(V46,AC7:AC45),0)</f>
        <v>12284</v>
      </c>
      <c r="W47" s="3440"/>
      <c r="X47" s="1172"/>
      <c r="Y47" s="1172"/>
      <c r="Z47" s="1172"/>
      <c r="AA47" s="1172"/>
      <c r="AB47" s="1172"/>
      <c r="AC47" s="1172"/>
    </row>
    <row r="48" spans="1:29" ht="14.4">
      <c r="A48" s="1181" t="s">
        <v>1185</v>
      </c>
      <c r="B48" s="1182"/>
      <c r="C48" s="1183">
        <f>R48</f>
        <v>12708</v>
      </c>
      <c r="D48" s="1183"/>
      <c r="E48" s="1183"/>
      <c r="F48" s="1183"/>
      <c r="G48" s="1183"/>
      <c r="H48" s="1183"/>
      <c r="I48" s="1183"/>
      <c r="J48" s="1183"/>
      <c r="K48" s="1184"/>
      <c r="L48" s="1171"/>
      <c r="M48" s="1044"/>
      <c r="N48" s="1044"/>
      <c r="O48" s="1044"/>
      <c r="P48" s="3441" t="str">
        <f>A48</f>
        <v>估价对象XX用房的比较价值（楼面单价，元/平方米）</v>
      </c>
      <c r="Q48" s="3442"/>
      <c r="R48" s="3443">
        <f>ROUND(IF(D47="简单平均",AVERAGE(R47:W47),R47*F47+T47*H47+V47*J47),0)</f>
        <v>12708</v>
      </c>
      <c r="S48" s="3443"/>
      <c r="T48" s="3443"/>
      <c r="U48" s="3443"/>
      <c r="V48" s="3443"/>
      <c r="W48" s="3443"/>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1186</v>
      </c>
      <c r="D51" s="774"/>
      <c r="E51" s="1190">
        <f>IF(E46&lt;E47,E47/E46-1,E46/E47-1)</f>
        <v>2.3268274014542699E-2</v>
      </c>
      <c r="F51" s="1191" t="str">
        <f>IF(OR(E51&gt;=0.3,E51&lt;=-0.3),"超过30%","")</f>
        <v/>
      </c>
      <c r="G51" s="1190">
        <f>IF(G46&lt;G47,G47/G46-1,G46/G47-1)</f>
        <v>4.6970408642555098E-2</v>
      </c>
      <c r="H51" s="1191" t="str">
        <f>IF(OR(G51&gt;=0.3,G51&lt;=-0.3),"超过30%","")</f>
        <v/>
      </c>
      <c r="I51" s="1190">
        <f>IF(I46&lt;I47,I47/I46-1,I46/I47-1)</f>
        <v>8.7837837837837898E-2</v>
      </c>
      <c r="J51" s="1191" t="str">
        <f>IF(OR(I51&gt;=0.3,I51&lt;=-0.3),"超过30%","")</f>
        <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1187</v>
      </c>
      <c r="D52" s="773"/>
      <c r="E52" s="1190">
        <f>IF(E47&lt;G47,G47/E47-1,E47/G47-1)</f>
        <v>2.2780648191639299E-2</v>
      </c>
      <c r="F52" s="1191" t="str">
        <f>IF(OR(E52&gt;=0.2,E52&lt;=-0.2),"超过20%","")</f>
        <v/>
      </c>
      <c r="G52" s="1190">
        <f>IF(G47&lt;I47,I47/G47-1,G47/I47-1)</f>
        <v>3.9889286877238701E-2</v>
      </c>
      <c r="H52" s="1191" t="str">
        <f>IF(OR(G52&gt;=0.2,G52&lt;=-0.2),"超过20%","")</f>
        <v/>
      </c>
      <c r="I52" s="1190">
        <f>IF(I47&lt;E47,E47/I47-1,I47/E47-1)</f>
        <v>6.3578638879843594E-2</v>
      </c>
      <c r="J52" s="1191" t="str">
        <f>IF(OR(I52&gt;=0.2,I52&lt;=-0.2),"超过20%","")</f>
        <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1188</v>
      </c>
      <c r="D53" s="773"/>
      <c r="E53" s="1190">
        <f>IF(E46&lt;G46,G46/E46-1,E46/G46-1)</f>
        <v>3.73999551200432E-4</v>
      </c>
      <c r="F53" s="1191" t="str">
        <f>IF(OR(E53&gt;=0.3,E53&lt;=-0.3),"超过30%","")</f>
        <v/>
      </c>
      <c r="G53" s="1190">
        <f>IF(G46&lt;I46,I46/G46-1,G46/I46-1)</f>
        <v>8.2316845019825302E-4</v>
      </c>
      <c r="H53" s="1191" t="str">
        <f>IF(OR(G53&gt;=0.3,G53&lt;=-0.3),"超过30%","")</f>
        <v/>
      </c>
      <c r="I53" s="1190">
        <f>IF(I46&lt;E46,E46/I46-1,I46/E46-1)</f>
        <v>4.4900097283551198E-4</v>
      </c>
      <c r="J53" s="1191" t="str">
        <f>IF(OR(I53&gt;=0.3,I53&lt;=-0.3),"超过30%","")</f>
        <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1189</v>
      </c>
      <c r="B55" s="1199" t="s">
        <v>1190</v>
      </c>
      <c r="C55" s="1200" t="s">
        <v>1191</v>
      </c>
      <c r="D55" s="1201" t="s">
        <v>1192</v>
      </c>
      <c r="E55" s="1202" t="s">
        <v>1193</v>
      </c>
      <c r="F55" s="2205" t="s">
        <v>1194</v>
      </c>
      <c r="G55" s="3423" t="s">
        <v>1195</v>
      </c>
      <c r="H55" s="3463"/>
      <c r="I55" s="2206" t="s">
        <v>1196</v>
      </c>
      <c r="J55" s="2207">
        <f>项目基本情况!F35</f>
        <v>0</v>
      </c>
      <c r="K55" s="1204" t="s">
        <v>1197</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1198</v>
      </c>
      <c r="B56" s="1206">
        <f>C48</f>
        <v>12708</v>
      </c>
      <c r="C56" s="1207">
        <v>1</v>
      </c>
      <c r="D56" s="1208">
        <v>1</v>
      </c>
      <c r="E56" s="1207">
        <f>'数据-汇总表'!E8+'数据-汇总表'!E9</f>
        <v>83916.17</v>
      </c>
      <c r="F56" s="2208">
        <f t="shared" ref="F56:F64" si="15">ROUND(B56*E56/10000,0)</f>
        <v>106641</v>
      </c>
      <c r="G56" s="3464"/>
      <c r="H56" s="3438"/>
      <c r="I56" s="2209">
        <v>1</v>
      </c>
      <c r="J56" s="221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1199</v>
      </c>
      <c r="B57" s="362">
        <f>ROUND($C$48*C57*D57,0)</f>
        <v>1906</v>
      </c>
      <c r="C57" s="526">
        <f t="shared" ref="C57:C64" si="16">IF($C$55="北京市系数",I57,J57)</f>
        <v>0.6</v>
      </c>
      <c r="D57" s="1212">
        <v>0.25</v>
      </c>
      <c r="E57" s="1213">
        <f>'数据-基础表'!K13</f>
        <v>23083.83</v>
      </c>
      <c r="F57" s="2208">
        <f t="shared" si="15"/>
        <v>4400</v>
      </c>
      <c r="G57" s="1214" t="s">
        <v>1200</v>
      </c>
      <c r="H57" s="1215" t="str">
        <f>项目基本情况!B37</f>
        <v>七级</v>
      </c>
      <c r="I57" s="2209">
        <f>SUMIF(修正!A59:A70,H57,修正!B59:B70)</f>
        <v>0.6</v>
      </c>
      <c r="J57" s="221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1201</v>
      </c>
      <c r="B58" s="362">
        <f t="shared" ref="B58:B64" si="17">ROUND($C$48*C58*D58,0)</f>
        <v>953</v>
      </c>
      <c r="C58" s="526">
        <f t="shared" si="16"/>
        <v>0.3</v>
      </c>
      <c r="D58" s="1212">
        <v>0.25</v>
      </c>
      <c r="E58" s="1213"/>
      <c r="F58" s="2208">
        <f t="shared" si="15"/>
        <v>0</v>
      </c>
      <c r="G58" s="1217"/>
      <c r="H58" s="1215" t="str">
        <f>项目基本情况!B37</f>
        <v>七级</v>
      </c>
      <c r="I58" s="2209">
        <f>SUMIF(修正!A59:A70,H58,修正!C59:C70)</f>
        <v>0.3</v>
      </c>
      <c r="J58" s="221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1202</v>
      </c>
      <c r="B59" s="362">
        <f t="shared" si="17"/>
        <v>794</v>
      </c>
      <c r="C59" s="526">
        <f t="shared" si="16"/>
        <v>0.25</v>
      </c>
      <c r="D59" s="1212">
        <v>0.25</v>
      </c>
      <c r="E59" s="1213"/>
      <c r="F59" s="2208">
        <f t="shared" si="15"/>
        <v>0</v>
      </c>
      <c r="G59" s="1217"/>
      <c r="H59" s="1215" t="str">
        <f>项目基本情况!B37</f>
        <v>七级</v>
      </c>
      <c r="I59" s="2209">
        <f>SUMIF(修正!A59:A70,H59,修正!D59:D70)</f>
        <v>0.25</v>
      </c>
      <c r="J59" s="221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1203</v>
      </c>
      <c r="B60" s="362">
        <f t="shared" si="17"/>
        <v>794</v>
      </c>
      <c r="C60" s="526">
        <f t="shared" si="16"/>
        <v>0.25</v>
      </c>
      <c r="D60" s="1212">
        <v>0.25</v>
      </c>
      <c r="E60" s="361">
        <f>'数据-汇总表'!E11</f>
        <v>0</v>
      </c>
      <c r="F60" s="2208">
        <f t="shared" si="15"/>
        <v>0</v>
      </c>
      <c r="G60" s="1219" t="s">
        <v>1204</v>
      </c>
      <c r="H60" s="1215" t="str">
        <f>项目基本情况!C37</f>
        <v>七级</v>
      </c>
      <c r="I60" s="2209">
        <f>SUMIF(修正!A59:A70,H60,修正!E59:E70)</f>
        <v>0.25</v>
      </c>
      <c r="J60" s="221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1205</v>
      </c>
      <c r="B61" s="362">
        <f t="shared" si="17"/>
        <v>794</v>
      </c>
      <c r="C61" s="526">
        <f t="shared" si="16"/>
        <v>0.25</v>
      </c>
      <c r="D61" s="1212">
        <v>0.25</v>
      </c>
      <c r="E61" s="361">
        <f>'数据-汇总表'!E12</f>
        <v>0</v>
      </c>
      <c r="F61" s="2208">
        <f t="shared" si="15"/>
        <v>0</v>
      </c>
      <c r="G61" s="1220" t="s">
        <v>1206</v>
      </c>
      <c r="H61" s="1215" t="str">
        <f>IF(G61="商业",项目基本情况!B37,IF(G61="办公",项目基本情况!C37,IF(G61="住宅",项目基本情况!D37,项目基本情况!E37)))</f>
        <v>七级</v>
      </c>
      <c r="I61" s="2209">
        <f>SUMIF(修正!A59:A70,H61,修正!F59:F70)</f>
        <v>0.25</v>
      </c>
      <c r="J61" s="221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1207</v>
      </c>
      <c r="B62" s="362">
        <f t="shared" si="17"/>
        <v>477</v>
      </c>
      <c r="C62" s="526">
        <f t="shared" si="16"/>
        <v>0.15</v>
      </c>
      <c r="D62" s="1212">
        <v>0.25</v>
      </c>
      <c r="E62" s="361">
        <f>'数据-汇总表'!E13</f>
        <v>46794.32</v>
      </c>
      <c r="F62" s="2208">
        <f t="shared" si="15"/>
        <v>2232</v>
      </c>
      <c r="G62" s="1220" t="s">
        <v>1208</v>
      </c>
      <c r="H62" s="1215" t="str">
        <f>IF(G62="商业",项目基本情况!B37,IF(G62="办公",项目基本情况!C37,IF(G62="住宅",项目基本情况!D37,项目基本情况!E37)))</f>
        <v>七级</v>
      </c>
      <c r="I62" s="2209">
        <f>SUMIF(修正!A59:A70,H62,修正!G59:G70)</f>
        <v>0.15</v>
      </c>
      <c r="J62" s="221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1209</v>
      </c>
      <c r="B63" s="362">
        <f t="shared" si="17"/>
        <v>477</v>
      </c>
      <c r="C63" s="526">
        <f t="shared" si="16"/>
        <v>0.15</v>
      </c>
      <c r="D63" s="1212">
        <v>0.25</v>
      </c>
      <c r="E63" s="361">
        <f>'数据-汇总表'!E14</f>
        <v>0</v>
      </c>
      <c r="F63" s="2208">
        <f t="shared" si="15"/>
        <v>0</v>
      </c>
      <c r="G63" s="1219" t="s">
        <v>1200</v>
      </c>
      <c r="H63" s="1215" t="str">
        <f>项目基本情况!B37</f>
        <v>七级</v>
      </c>
      <c r="I63" s="2209">
        <f>SUMIF(修正!A59:A70,H63,修正!G59:G70)</f>
        <v>0.15</v>
      </c>
      <c r="J63" s="221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1210</v>
      </c>
      <c r="B64" s="362">
        <f t="shared" si="17"/>
        <v>477</v>
      </c>
      <c r="C64" s="526">
        <f t="shared" si="16"/>
        <v>0.15</v>
      </c>
      <c r="D64" s="1212">
        <v>0.25</v>
      </c>
      <c r="E64" s="361">
        <f>'数据-汇总表'!E15</f>
        <v>0</v>
      </c>
      <c r="F64" s="2208">
        <f t="shared" si="15"/>
        <v>0</v>
      </c>
      <c r="G64" s="1221" t="s">
        <v>1204</v>
      </c>
      <c r="H64" s="1222" t="str">
        <f>项目基本情况!C37</f>
        <v>七级</v>
      </c>
      <c r="I64" s="2212">
        <f>SUMIF(修正!A59:A70,H64,修正!G59:G70)</f>
        <v>0.15</v>
      </c>
      <c r="J64" s="221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1211</v>
      </c>
      <c r="B65" s="1224" t="s">
        <v>1212</v>
      </c>
      <c r="C65" s="1224" t="s">
        <v>1212</v>
      </c>
      <c r="D65" s="1224" t="s">
        <v>1212</v>
      </c>
      <c r="E65" s="1224">
        <f>IF(B46="楼面地价",SUM(E56:E64),'数据-汇总表'!D3)</f>
        <v>153794.32</v>
      </c>
      <c r="F65" s="1225">
        <f>IF(B46="楼面地价",SUM(F56:F64),ROUND(C48*E65/10000,0))</f>
        <v>113273</v>
      </c>
      <c r="G65" s="2214"/>
      <c r="H65" s="2214"/>
      <c r="I65" s="2214"/>
      <c r="J65" s="2214"/>
      <c r="K65" s="221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2026-1-1</v>
      </c>
      <c r="D67" s="1232">
        <f>EDATE(C67,-3)</f>
        <v>45931</v>
      </c>
      <c r="E67" s="1232">
        <f>EDATE(D67,-3)</f>
        <v>45839</v>
      </c>
      <c r="F67" s="1232">
        <f t="shared" ref="F67:O67" si="18">EDATE(E67,-3)</f>
        <v>45748</v>
      </c>
      <c r="G67" s="1232">
        <f t="shared" si="18"/>
        <v>45658</v>
      </c>
      <c r="H67" s="1232">
        <f t="shared" si="18"/>
        <v>45566</v>
      </c>
      <c r="I67" s="1232">
        <f t="shared" si="18"/>
        <v>45474</v>
      </c>
      <c r="J67" s="1232">
        <f t="shared" si="18"/>
        <v>45383</v>
      </c>
      <c r="K67" s="1232">
        <f t="shared" si="18"/>
        <v>45292</v>
      </c>
      <c r="L67" s="1232">
        <f t="shared" si="18"/>
        <v>45200</v>
      </c>
      <c r="M67" s="1232">
        <f t="shared" si="18"/>
        <v>45108</v>
      </c>
      <c r="N67" s="1232">
        <f t="shared" si="18"/>
        <v>45017</v>
      </c>
      <c r="O67" s="1232">
        <f t="shared" si="18"/>
        <v>44927</v>
      </c>
      <c r="P67" s="1044"/>
      <c r="Q67" s="1044"/>
      <c r="R67" s="1044"/>
      <c r="S67" s="1044"/>
      <c r="T67" s="1044"/>
      <c r="U67" s="1044"/>
      <c r="V67" s="1044"/>
      <c r="W67" s="1044"/>
      <c r="X67" s="1044"/>
      <c r="Y67" s="1044"/>
      <c r="Z67" s="1044"/>
      <c r="AA67" s="1044"/>
      <c r="AB67" s="1044"/>
      <c r="AC67" s="1044"/>
    </row>
    <row r="68" spans="1:29" ht="21.6">
      <c r="A68" s="1233" t="s">
        <v>1213</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1214</v>
      </c>
      <c r="B69" s="1242"/>
      <c r="C69" s="1243" t="str">
        <f>YEAR(C67)&amp;"-"&amp;ROUNDUP(MONTH(C67)/3,0)</f>
        <v>2026-1</v>
      </c>
      <c r="D69" s="1243" t="str">
        <f>YEAR(D67)&amp;"-"&amp;ROUNDUP(MONTH(D67)/3,0)</f>
        <v>2025-4</v>
      </c>
      <c r="E69" s="1243" t="str">
        <f t="shared" ref="E69:O69" si="19">YEAR(E67)&amp;"-"&amp;ROUNDUP(MONTH(E67)/3,0)</f>
        <v>2025-3</v>
      </c>
      <c r="F69" s="1243" t="str">
        <f t="shared" si="19"/>
        <v>2025-2</v>
      </c>
      <c r="G69" s="1243" t="str">
        <f t="shared" si="19"/>
        <v>2025-1</v>
      </c>
      <c r="H69" s="1243" t="str">
        <f t="shared" si="19"/>
        <v>2024-4</v>
      </c>
      <c r="I69" s="1243" t="str">
        <f t="shared" si="19"/>
        <v>2024-3</v>
      </c>
      <c r="J69" s="1243" t="str">
        <f t="shared" si="19"/>
        <v>2024-2</v>
      </c>
      <c r="K69" s="1243" t="str">
        <f t="shared" si="19"/>
        <v>2024-1</v>
      </c>
      <c r="L69" s="1243" t="str">
        <f t="shared" si="19"/>
        <v>2023-4</v>
      </c>
      <c r="M69" s="1243" t="str">
        <f t="shared" si="19"/>
        <v>2023-3</v>
      </c>
      <c r="N69" s="1243" t="str">
        <f t="shared" si="19"/>
        <v>2023-2</v>
      </c>
      <c r="O69" s="1243" t="str">
        <f t="shared" si="19"/>
        <v>2023-1</v>
      </c>
      <c r="P69" s="1244"/>
      <c r="Q69" s="1244"/>
      <c r="R69" s="1244"/>
      <c r="S69" s="1244"/>
      <c r="T69" s="1244"/>
      <c r="U69" s="1244"/>
      <c r="V69" s="1244"/>
      <c r="W69" s="1244"/>
      <c r="X69" s="1244"/>
      <c r="Y69" s="1244"/>
      <c r="Z69" s="1244"/>
      <c r="AA69" s="1244"/>
      <c r="AB69" s="1244"/>
      <c r="AC69" s="1244"/>
    </row>
    <row r="70" spans="1:29" s="1011" customFormat="1" ht="30" customHeight="1">
      <c r="A70" s="2216" t="s">
        <v>1215</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7"/>
      <c r="P70" s="1240"/>
      <c r="Q70" s="1065"/>
      <c r="R70" s="1065"/>
      <c r="S70" s="1065"/>
      <c r="T70" s="1065"/>
      <c r="U70" s="1065"/>
      <c r="V70" s="1065"/>
      <c r="W70" s="1065"/>
      <c r="X70" s="1065"/>
      <c r="Y70" s="1065"/>
      <c r="Z70" s="1065"/>
      <c r="AA70" s="1065"/>
      <c r="AB70" s="1065"/>
      <c r="AC70" s="1065"/>
    </row>
    <row r="71" spans="1:29" s="1011" customFormat="1" ht="14.4">
      <c r="A71" s="1249" t="s">
        <v>1216</v>
      </c>
      <c r="B71" s="1250"/>
      <c r="C71" s="1251"/>
      <c r="D71" s="1252"/>
      <c r="E71" s="1252"/>
      <c r="F71" s="1252"/>
      <c r="G71" s="1252"/>
      <c r="H71" s="1252"/>
      <c r="I71" s="1252"/>
      <c r="J71" s="1252"/>
      <c r="K71" s="1252"/>
      <c r="L71" s="1252"/>
      <c r="M71" s="1253"/>
      <c r="N71" s="1252"/>
      <c r="O71" s="2218"/>
      <c r="P71" s="1240"/>
      <c r="Q71" s="1240"/>
      <c r="R71" s="1065"/>
      <c r="S71" s="1065"/>
      <c r="T71" s="1065"/>
      <c r="U71" s="1065"/>
      <c r="V71" s="1065"/>
      <c r="W71" s="1065"/>
      <c r="X71" s="1065"/>
      <c r="Y71" s="1065"/>
      <c r="Z71" s="1065"/>
      <c r="AA71" s="1065"/>
      <c r="AB71" s="1065"/>
      <c r="AC71" s="1065"/>
    </row>
    <row r="72" spans="1:29" s="1011" customFormat="1" ht="14.4">
      <c r="A72" s="1255" t="s">
        <v>1137</v>
      </c>
      <c r="B72" s="1256"/>
      <c r="C72" s="1257" t="s">
        <v>1138</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1217</v>
      </c>
      <c r="B74" s="1265" t="s">
        <v>1142</v>
      </c>
      <c r="C74" s="1153" t="s">
        <v>1143</v>
      </c>
      <c r="D74" s="1153" t="s">
        <v>1144</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1147</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1148</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201" t="s">
        <v>1151</v>
      </c>
      <c r="D81" s="2219" t="s">
        <v>1218</v>
      </c>
      <c r="E81" s="2201" t="s">
        <v>1150</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1153</v>
      </c>
      <c r="B87" s="1265" t="s">
        <v>1154</v>
      </c>
      <c r="C87" s="1308" t="s">
        <v>1219</v>
      </c>
      <c r="D87" s="1308" t="s">
        <v>1220</v>
      </c>
      <c r="E87" s="1308" t="s">
        <v>1221</v>
      </c>
      <c r="F87" s="1308" t="s">
        <v>1222</v>
      </c>
      <c r="G87" s="1308" t="s">
        <v>1223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1156</v>
      </c>
      <c r="C89" s="1313" t="s">
        <v>1219</v>
      </c>
      <c r="D89" s="1313" t="s">
        <v>1220</v>
      </c>
      <c r="E89" s="1313" t="s">
        <v>1221</v>
      </c>
      <c r="F89" s="1313" t="s">
        <v>1222</v>
      </c>
      <c r="G89" s="1313" t="s">
        <v>1223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1158</v>
      </c>
      <c r="C91" s="1313" t="s">
        <v>1219</v>
      </c>
      <c r="D91" s="1313" t="s">
        <v>1220</v>
      </c>
      <c r="E91" s="1313" t="s">
        <v>1221</v>
      </c>
      <c r="F91" s="1313" t="s">
        <v>1222</v>
      </c>
      <c r="G91" s="1313" t="s">
        <v>1223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1159</v>
      </c>
      <c r="C93" s="1313" t="s">
        <v>1219</v>
      </c>
      <c r="D93" s="1313" t="s">
        <v>1220</v>
      </c>
      <c r="E93" s="1313" t="s">
        <v>1221</v>
      </c>
      <c r="F93" s="1313" t="s">
        <v>1222</v>
      </c>
      <c r="G93" s="1313" t="s">
        <v>1223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1161</v>
      </c>
      <c r="C95" s="1313" t="s">
        <v>1219</v>
      </c>
      <c r="D95" s="1313" t="s">
        <v>1220</v>
      </c>
      <c r="E95" s="1313" t="s">
        <v>1221</v>
      </c>
      <c r="F95" s="1313" t="s">
        <v>1222</v>
      </c>
      <c r="G95" s="1313" t="s">
        <v>1223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1162</v>
      </c>
      <c r="C97" s="1308" t="s">
        <v>1219</v>
      </c>
      <c r="D97" s="1308" t="s">
        <v>1220</v>
      </c>
      <c r="E97" s="1308" t="s">
        <v>1221</v>
      </c>
      <c r="F97" s="1308" t="s">
        <v>1222</v>
      </c>
      <c r="G97" s="1308" t="s">
        <v>1223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1163</v>
      </c>
      <c r="C99" s="1308" t="s">
        <v>1219</v>
      </c>
      <c r="D99" s="1308" t="s">
        <v>1220</v>
      </c>
      <c r="E99" s="1308" t="s">
        <v>1221</v>
      </c>
      <c r="F99" s="1308" t="s">
        <v>1222</v>
      </c>
      <c r="G99" s="1308" t="s">
        <v>1223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1164</v>
      </c>
      <c r="C101" s="1116" t="s">
        <v>1224</v>
      </c>
      <c r="D101" s="1116" t="s">
        <v>1225</v>
      </c>
      <c r="E101" s="1116" t="s">
        <v>1226</v>
      </c>
      <c r="F101" s="1116" t="s">
        <v>1227</v>
      </c>
      <c r="G101" s="1116" t="s">
        <v>1228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1229</v>
      </c>
      <c r="D103" s="1275" t="s">
        <v>1230</v>
      </c>
      <c r="E103" s="1275" t="s">
        <v>1231</v>
      </c>
      <c r="F103" s="1275" t="s">
        <v>1232</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1168</v>
      </c>
      <c r="C105" s="2201" t="s">
        <v>1233</v>
      </c>
      <c r="D105" s="2201" t="s">
        <v>1234</v>
      </c>
      <c r="E105" s="2201" t="s">
        <v>1169</v>
      </c>
      <c r="F105" s="2201" t="s">
        <v>1235</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1170</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1172</v>
      </c>
      <c r="B115" s="1265" t="s">
        <v>1173</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1174</v>
      </c>
      <c r="C118" s="2220" t="s">
        <v>1177</v>
      </c>
      <c r="D118" s="2220" t="s">
        <v>1175</v>
      </c>
      <c r="E118" s="2220" t="s">
        <v>1176</v>
      </c>
      <c r="F118" s="2220" t="s">
        <v>1236</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1178</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1179</v>
      </c>
      <c r="C122" s="2201" t="s">
        <v>241</v>
      </c>
      <c r="D122" s="2201" t="s">
        <v>256</v>
      </c>
      <c r="E122" s="2201" t="s">
        <v>268</v>
      </c>
      <c r="F122" s="2201" t="s">
        <v>279</v>
      </c>
      <c r="G122" s="2201"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1180</v>
      </c>
      <c r="C124" s="1289" t="s">
        <v>1237</v>
      </c>
      <c r="D124" s="1289" t="s">
        <v>1160</v>
      </c>
      <c r="E124" s="1323" t="s">
        <v>1157</v>
      </c>
      <c r="F124" s="1323" t="s">
        <v>1238</v>
      </c>
      <c r="G124" s="1323" t="s">
        <v>1239</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BO31"/>
  <sheetViews>
    <sheetView workbookViewId="0">
      <pane xSplit="6" ySplit="1" topLeftCell="G2" activePane="bottomRight" state="frozen"/>
      <selection pane="topRight"/>
      <selection pane="bottomLeft"/>
      <selection pane="bottomRight" activeCell="P35" sqref="P35"/>
    </sheetView>
  </sheetViews>
  <sheetFormatPr defaultColWidth="8.88671875" defaultRowHeight="14.4"/>
  <cols>
    <col min="1" max="1" width="22.21875" style="5" customWidth="1"/>
    <col min="2" max="3" width="22.21875" style="5" hidden="1" customWidth="1"/>
    <col min="4" max="4" width="12.33203125" style="5" customWidth="1"/>
    <col min="5" max="6" width="22.21875" style="5" hidden="1" customWidth="1"/>
    <col min="7" max="7" width="22.21875" style="5" customWidth="1"/>
    <col min="8" max="8" width="22.21875" style="5" hidden="1" customWidth="1"/>
    <col min="9" max="10" width="22.21875" style="5" customWidth="1"/>
    <col min="11" max="11" width="11.88671875" style="5" customWidth="1"/>
    <col min="12" max="12" width="13.44140625" style="5" customWidth="1"/>
    <col min="13" max="13" width="11.33203125" style="5" customWidth="1"/>
    <col min="14" max="14" width="9.6640625" style="5" customWidth="1"/>
    <col min="15" max="24" width="22.21875" style="5" customWidth="1"/>
    <col min="25" max="32" width="22.21875" style="5" hidden="1" customWidth="1"/>
    <col min="33" max="34" width="22.21875" style="5" customWidth="1"/>
    <col min="35" max="35" width="22.21875" style="5" hidden="1" customWidth="1"/>
    <col min="36" max="39" width="22.21875" style="5" customWidth="1"/>
    <col min="40" max="42" width="22.21875" style="5" hidden="1" customWidth="1"/>
    <col min="43" max="43" width="22.21875" style="5" customWidth="1"/>
    <col min="44" max="44" width="22.21875" style="5" hidden="1" customWidth="1"/>
    <col min="45" max="45" width="22.21875" style="5" customWidth="1"/>
    <col min="46" max="46" width="22.21875" style="5" hidden="1" customWidth="1"/>
    <col min="47" max="47" width="22.21875" style="5" customWidth="1"/>
    <col min="48" max="48" width="22.21875" style="5" hidden="1" customWidth="1"/>
    <col min="49" max="68" width="22.21875" style="5" customWidth="1"/>
    <col min="69" max="16384" width="8.88671875" style="5"/>
  </cols>
  <sheetData>
    <row r="1" spans="1:67">
      <c r="A1" s="5" t="s">
        <v>1240</v>
      </c>
      <c r="B1" s="5" t="s">
        <v>1241</v>
      </c>
      <c r="C1" s="5" t="s">
        <v>1242</v>
      </c>
      <c r="D1" s="5" t="s">
        <v>1243</v>
      </c>
      <c r="E1" s="5" t="s">
        <v>1244</v>
      </c>
      <c r="F1" s="5" t="s">
        <v>1245</v>
      </c>
      <c r="G1" s="5" t="s">
        <v>1246</v>
      </c>
      <c r="H1" s="5" t="s">
        <v>1247</v>
      </c>
      <c r="I1" s="5" t="s">
        <v>1248</v>
      </c>
      <c r="J1" s="5" t="s">
        <v>1249</v>
      </c>
      <c r="K1" s="5" t="s">
        <v>1250</v>
      </c>
      <c r="L1" s="5" t="s">
        <v>1251</v>
      </c>
      <c r="M1" s="5" t="s">
        <v>1252</v>
      </c>
      <c r="N1" s="5" t="s">
        <v>1253</v>
      </c>
      <c r="O1" s="5" t="s">
        <v>1254</v>
      </c>
      <c r="P1" s="5" t="s">
        <v>1255</v>
      </c>
      <c r="Q1" s="5" t="s">
        <v>1256</v>
      </c>
      <c r="R1" s="5" t="s">
        <v>1257</v>
      </c>
      <c r="S1" s="5" t="s">
        <v>1258</v>
      </c>
      <c r="T1" s="5" t="s">
        <v>1259</v>
      </c>
      <c r="U1" s="5" t="s">
        <v>1260</v>
      </c>
      <c r="V1" s="5" t="s">
        <v>1261</v>
      </c>
      <c r="W1" s="5" t="s">
        <v>1262</v>
      </c>
      <c r="X1" s="5" t="s">
        <v>1263</v>
      </c>
      <c r="Y1" s="5" t="s">
        <v>1264</v>
      </c>
      <c r="Z1" s="5" t="s">
        <v>1265</v>
      </c>
      <c r="AA1" s="5" t="s">
        <v>1266</v>
      </c>
      <c r="AB1" s="5" t="s">
        <v>1267</v>
      </c>
      <c r="AC1" s="5" t="s">
        <v>1268</v>
      </c>
      <c r="AD1" s="5" t="s">
        <v>1269</v>
      </c>
      <c r="AE1" s="5" t="s">
        <v>1270</v>
      </c>
      <c r="AF1" s="5" t="s">
        <v>1271</v>
      </c>
      <c r="AG1" s="5" t="s">
        <v>1272</v>
      </c>
      <c r="AH1" s="5" t="s">
        <v>1273</v>
      </c>
      <c r="AI1" s="5" t="s">
        <v>1274</v>
      </c>
      <c r="AJ1" s="5" t="s">
        <v>1275</v>
      </c>
      <c r="AK1" s="5" t="s">
        <v>1276</v>
      </c>
      <c r="AL1" s="5" t="s">
        <v>1277</v>
      </c>
      <c r="AM1" s="5" t="s">
        <v>1278</v>
      </c>
      <c r="AN1" s="5" t="s">
        <v>1279</v>
      </c>
      <c r="AO1" s="5" t="s">
        <v>1280</v>
      </c>
      <c r="AP1" s="5" t="s">
        <v>1281</v>
      </c>
      <c r="AQ1" s="5" t="s">
        <v>1282</v>
      </c>
      <c r="AR1" s="5" t="s">
        <v>1283</v>
      </c>
      <c r="AS1" s="5" t="s">
        <v>1284</v>
      </c>
      <c r="AT1" s="5" t="s">
        <v>1285</v>
      </c>
      <c r="AU1" s="5" t="s">
        <v>1286</v>
      </c>
      <c r="AV1" s="5" t="s">
        <v>1287</v>
      </c>
      <c r="AW1" s="5" t="s">
        <v>1288</v>
      </c>
      <c r="AX1" s="5" t="s">
        <v>1289</v>
      </c>
      <c r="AY1" s="5" t="s">
        <v>1290</v>
      </c>
      <c r="AZ1" s="5" t="s">
        <v>1291</v>
      </c>
      <c r="BA1" s="5" t="s">
        <v>1292</v>
      </c>
      <c r="BB1" s="5" t="s">
        <v>1293</v>
      </c>
      <c r="BC1" s="5" t="s">
        <v>1294</v>
      </c>
      <c r="BD1" s="5" t="s">
        <v>1295</v>
      </c>
      <c r="BE1" s="5" t="s">
        <v>1296</v>
      </c>
      <c r="BF1" s="5" t="s">
        <v>1297</v>
      </c>
      <c r="BG1" s="5" t="s">
        <v>1298</v>
      </c>
      <c r="BH1" s="5" t="s">
        <v>1299</v>
      </c>
      <c r="BI1" s="5" t="s">
        <v>887</v>
      </c>
      <c r="BJ1" s="5" t="s">
        <v>1300</v>
      </c>
      <c r="BK1" s="5" t="s">
        <v>1301</v>
      </c>
      <c r="BL1" s="5" t="s">
        <v>1302</v>
      </c>
      <c r="BM1" s="5" t="s">
        <v>1303</v>
      </c>
      <c r="BN1" s="5" t="s">
        <v>1304</v>
      </c>
      <c r="BO1" s="5" t="s">
        <v>1305</v>
      </c>
    </row>
    <row r="2" spans="1:67">
      <c r="A2" s="5" t="s">
        <v>1306</v>
      </c>
      <c r="B2" s="5" t="s">
        <v>1307</v>
      </c>
      <c r="C2" s="5" t="s">
        <v>486</v>
      </c>
      <c r="D2" s="5" t="s">
        <v>1308</v>
      </c>
      <c r="E2" s="5" t="s">
        <v>1309</v>
      </c>
      <c r="F2" s="5" t="s">
        <v>1310</v>
      </c>
      <c r="G2" s="5" t="s">
        <v>1310</v>
      </c>
      <c r="H2" s="5" t="s">
        <v>1311</v>
      </c>
      <c r="I2" s="5">
        <v>9550.32</v>
      </c>
      <c r="J2" s="5">
        <v>19100.64</v>
      </c>
      <c r="K2" s="5" t="s">
        <v>1312</v>
      </c>
      <c r="L2" s="5" t="s">
        <v>1312</v>
      </c>
      <c r="M2" s="5">
        <v>0</v>
      </c>
      <c r="N2" s="5">
        <v>0</v>
      </c>
      <c r="O2" s="5" t="s">
        <v>1313</v>
      </c>
      <c r="P2" s="5" t="s">
        <v>1314</v>
      </c>
      <c r="Q2" s="5" t="s">
        <v>1315</v>
      </c>
      <c r="R2" s="5" t="s">
        <v>1316</v>
      </c>
      <c r="S2" s="5" t="s">
        <v>1317</v>
      </c>
      <c r="T2" s="5">
        <v>2</v>
      </c>
      <c r="U2" s="5" t="s">
        <v>1312</v>
      </c>
      <c r="V2" s="5" t="s">
        <v>1312</v>
      </c>
      <c r="W2" s="5">
        <v>45</v>
      </c>
      <c r="X2" s="5" t="s">
        <v>1318</v>
      </c>
      <c r="Y2" s="5" t="s">
        <v>1312</v>
      </c>
      <c r="Z2" s="5" t="s">
        <v>1312</v>
      </c>
      <c r="AA2" s="5" t="s">
        <v>1312</v>
      </c>
      <c r="AB2" s="5" t="s">
        <v>1312</v>
      </c>
      <c r="AC2" s="5" t="s">
        <v>1312</v>
      </c>
      <c r="AD2" s="5" t="s">
        <v>1319</v>
      </c>
      <c r="AE2" s="5" t="s">
        <v>1320</v>
      </c>
      <c r="AF2" s="5" t="s">
        <v>1321</v>
      </c>
      <c r="AG2" s="5" t="s">
        <v>1321</v>
      </c>
      <c r="AH2" s="5" t="s">
        <v>1322</v>
      </c>
      <c r="AI2" s="5" t="s">
        <v>1323</v>
      </c>
      <c r="AJ2" s="5" t="s">
        <v>1324</v>
      </c>
      <c r="AK2" s="5" t="s">
        <v>1325</v>
      </c>
      <c r="AL2" s="5" t="s">
        <v>1326</v>
      </c>
      <c r="AM2" s="5" t="s">
        <v>1312</v>
      </c>
      <c r="AN2" s="5">
        <v>15600</v>
      </c>
      <c r="AO2" s="5">
        <v>3120</v>
      </c>
      <c r="AP2" s="5" t="s">
        <v>1327</v>
      </c>
      <c r="AQ2" s="5">
        <v>15600</v>
      </c>
      <c r="AR2" s="5">
        <v>16334.53</v>
      </c>
      <c r="AS2" s="5">
        <v>16334.53</v>
      </c>
      <c r="AT2" s="5">
        <v>1088.97</v>
      </c>
      <c r="AU2" s="5">
        <v>1088.97</v>
      </c>
      <c r="AV2" s="5">
        <v>8167</v>
      </c>
      <c r="AW2" s="5">
        <v>8167</v>
      </c>
      <c r="AX2" s="5" t="s">
        <v>1312</v>
      </c>
      <c r="AY2" s="5" t="s">
        <v>1312</v>
      </c>
      <c r="AZ2" s="5">
        <v>0</v>
      </c>
      <c r="BA2" s="5" t="s">
        <v>1312</v>
      </c>
      <c r="BB2" s="5" t="s">
        <v>1312</v>
      </c>
      <c r="BC2" s="5" t="s">
        <v>1312</v>
      </c>
      <c r="BD2" s="5" t="s">
        <v>1312</v>
      </c>
      <c r="BE2" s="5" t="s">
        <v>1312</v>
      </c>
      <c r="BF2" s="5" t="s">
        <v>1312</v>
      </c>
      <c r="BG2" s="5" t="s">
        <v>1312</v>
      </c>
      <c r="BH2" s="5" t="s">
        <v>1328</v>
      </c>
      <c r="BI2" s="5" t="s">
        <v>1312</v>
      </c>
      <c r="BJ2" s="5" t="s">
        <v>688</v>
      </c>
      <c r="BK2" s="5" t="s">
        <v>1311</v>
      </c>
      <c r="BL2" s="5" t="s">
        <v>1329</v>
      </c>
      <c r="BM2" s="5">
        <v>7800</v>
      </c>
      <c r="BN2" s="5" t="s">
        <v>1330</v>
      </c>
      <c r="BO2" s="5">
        <v>3</v>
      </c>
    </row>
    <row r="3" spans="1:67" s="2199" customFormat="1">
      <c r="A3" s="2199" t="s">
        <v>1331</v>
      </c>
      <c r="B3" s="2199" t="s">
        <v>1307</v>
      </c>
      <c r="C3" s="2199" t="s">
        <v>486</v>
      </c>
      <c r="D3" s="2199" t="s">
        <v>1332</v>
      </c>
      <c r="E3" s="2199" t="s">
        <v>1333</v>
      </c>
      <c r="F3" s="2199" t="s">
        <v>1334</v>
      </c>
      <c r="G3" s="2199" t="s">
        <v>1334</v>
      </c>
      <c r="H3" s="2199" t="s">
        <v>1335</v>
      </c>
      <c r="I3" s="2199">
        <v>11304.48</v>
      </c>
      <c r="J3" s="2199">
        <v>71783.47</v>
      </c>
      <c r="K3" s="2199" t="s">
        <v>1312</v>
      </c>
      <c r="L3" s="2199" t="s">
        <v>1312</v>
      </c>
      <c r="M3" s="2199">
        <v>0</v>
      </c>
      <c r="N3" s="2199">
        <v>0</v>
      </c>
      <c r="O3" s="2199" t="s">
        <v>1313</v>
      </c>
      <c r="P3" s="2199" t="s">
        <v>1336</v>
      </c>
      <c r="Q3" s="2199" t="s">
        <v>1337</v>
      </c>
      <c r="R3" s="2199" t="s">
        <v>1338</v>
      </c>
      <c r="S3" s="2199" t="s">
        <v>1339</v>
      </c>
      <c r="T3" s="2199">
        <v>6.35</v>
      </c>
      <c r="U3" s="2199" t="s">
        <v>1312</v>
      </c>
      <c r="V3" s="2199" t="s">
        <v>1312</v>
      </c>
      <c r="W3" s="2199" t="s">
        <v>1340</v>
      </c>
      <c r="X3" s="2199" t="s">
        <v>1318</v>
      </c>
      <c r="Y3" s="2199" t="s">
        <v>1312</v>
      </c>
      <c r="Z3" s="2199" t="s">
        <v>1312</v>
      </c>
      <c r="AA3" s="2199" t="s">
        <v>1312</v>
      </c>
      <c r="AB3" s="2199" t="s">
        <v>1312</v>
      </c>
      <c r="AC3" s="2199" t="s">
        <v>1312</v>
      </c>
      <c r="AD3" s="2199" t="s">
        <v>1341</v>
      </c>
      <c r="AE3" s="2199" t="s">
        <v>1342</v>
      </c>
      <c r="AF3" s="2199" t="s">
        <v>1343</v>
      </c>
      <c r="AG3" s="2199" t="s">
        <v>1343</v>
      </c>
      <c r="AH3" s="2199" t="s">
        <v>1322</v>
      </c>
      <c r="AI3" s="2199" t="s">
        <v>1344</v>
      </c>
      <c r="AJ3" s="2199" t="s">
        <v>1345</v>
      </c>
      <c r="AK3" s="2199" t="s">
        <v>1346</v>
      </c>
      <c r="AL3" s="2199" t="s">
        <v>1347</v>
      </c>
      <c r="AM3" s="2199" t="s">
        <v>1348</v>
      </c>
      <c r="AN3" s="2199">
        <v>93950</v>
      </c>
      <c r="AO3" s="2199">
        <v>18790</v>
      </c>
      <c r="AP3" s="2199" t="s">
        <v>1349</v>
      </c>
      <c r="AQ3" s="2199">
        <v>93950</v>
      </c>
      <c r="AR3" s="2199">
        <v>83108.639999999999</v>
      </c>
      <c r="AS3" s="2199">
        <v>83108.639999999999</v>
      </c>
      <c r="AT3" s="2199">
        <v>5540.58</v>
      </c>
      <c r="AU3" s="2199">
        <v>5540.58</v>
      </c>
      <c r="AV3" s="2199">
        <v>13088</v>
      </c>
      <c r="AW3" s="2199">
        <v>13088</v>
      </c>
      <c r="AX3" s="2199" t="s">
        <v>1312</v>
      </c>
      <c r="AY3" s="2199" t="s">
        <v>1312</v>
      </c>
      <c r="AZ3" s="2199">
        <v>0</v>
      </c>
      <c r="BA3" s="2199" t="s">
        <v>1312</v>
      </c>
      <c r="BB3" s="2199" t="s">
        <v>1312</v>
      </c>
      <c r="BC3" s="2199" t="s">
        <v>1312</v>
      </c>
      <c r="BD3" s="2199" t="s">
        <v>1312</v>
      </c>
      <c r="BE3" s="2199" t="s">
        <v>1312</v>
      </c>
      <c r="BF3" s="2199" t="s">
        <v>1312</v>
      </c>
      <c r="BG3" s="2199" t="s">
        <v>1312</v>
      </c>
      <c r="BH3" s="2199" t="s">
        <v>1328</v>
      </c>
      <c r="BI3" s="2199" t="s">
        <v>1312</v>
      </c>
      <c r="BJ3" s="2199" t="s">
        <v>688</v>
      </c>
      <c r="BK3" s="2199" t="s">
        <v>1350</v>
      </c>
      <c r="BL3" s="2199" t="s">
        <v>1351</v>
      </c>
      <c r="BM3" s="2199">
        <v>46975</v>
      </c>
      <c r="BN3" s="2199" t="s">
        <v>1330</v>
      </c>
      <c r="BO3" s="2199">
        <v>5</v>
      </c>
    </row>
    <row r="4" spans="1:67">
      <c r="A4" s="5" t="s">
        <v>1352</v>
      </c>
      <c r="B4" s="5" t="s">
        <v>1307</v>
      </c>
      <c r="C4" s="5" t="s">
        <v>486</v>
      </c>
      <c r="D4" s="5" t="s">
        <v>1332</v>
      </c>
      <c r="E4" s="5" t="s">
        <v>1353</v>
      </c>
      <c r="F4" s="5" t="s">
        <v>1354</v>
      </c>
      <c r="G4" s="5" t="s">
        <v>1354</v>
      </c>
      <c r="H4" s="5" t="s">
        <v>1355</v>
      </c>
      <c r="I4" s="5">
        <v>10200.06</v>
      </c>
      <c r="J4" s="5">
        <v>20400.12</v>
      </c>
      <c r="K4" s="5" t="s">
        <v>1312</v>
      </c>
      <c r="L4" s="5" t="s">
        <v>1312</v>
      </c>
      <c r="M4" s="5">
        <v>0</v>
      </c>
      <c r="N4" s="5">
        <v>0</v>
      </c>
      <c r="O4" s="5" t="s">
        <v>1313</v>
      </c>
      <c r="P4" s="5" t="s">
        <v>1356</v>
      </c>
      <c r="Q4" s="5" t="s">
        <v>1357</v>
      </c>
      <c r="R4" s="5" t="s">
        <v>1358</v>
      </c>
      <c r="S4" s="5" t="s">
        <v>1317</v>
      </c>
      <c r="T4" s="5">
        <v>2</v>
      </c>
      <c r="U4" s="5" t="s">
        <v>1312</v>
      </c>
      <c r="V4" s="5" t="s">
        <v>1312</v>
      </c>
      <c r="W4" s="5" t="s">
        <v>1359</v>
      </c>
      <c r="X4" s="5" t="s">
        <v>1318</v>
      </c>
      <c r="Y4" s="5" t="s">
        <v>1312</v>
      </c>
      <c r="Z4" s="5" t="s">
        <v>1312</v>
      </c>
      <c r="AA4" s="5" t="s">
        <v>1312</v>
      </c>
      <c r="AB4" s="5" t="s">
        <v>1312</v>
      </c>
      <c r="AC4" s="5" t="s">
        <v>1312</v>
      </c>
      <c r="AD4" s="5" t="s">
        <v>1360</v>
      </c>
      <c r="AE4" s="5" t="s">
        <v>1361</v>
      </c>
      <c r="AF4" s="5" t="s">
        <v>1362</v>
      </c>
      <c r="AG4" s="5" t="s">
        <v>1362</v>
      </c>
      <c r="AH4" s="5" t="s">
        <v>1322</v>
      </c>
      <c r="AI4" s="5" t="s">
        <v>1344</v>
      </c>
      <c r="AJ4" s="5" t="s">
        <v>1363</v>
      </c>
      <c r="AK4" s="5" t="s">
        <v>1364</v>
      </c>
      <c r="AL4" s="5" t="s">
        <v>1365</v>
      </c>
      <c r="AM4" s="5" t="s">
        <v>1312</v>
      </c>
      <c r="AN4" s="5">
        <v>14800</v>
      </c>
      <c r="AO4" s="5">
        <v>2960</v>
      </c>
      <c r="AP4" s="5" t="s">
        <v>1366</v>
      </c>
      <c r="AQ4" s="5">
        <v>14800</v>
      </c>
      <c r="AR4" s="5">
        <v>14509.71</v>
      </c>
      <c r="AS4" s="5">
        <v>14509.71</v>
      </c>
      <c r="AT4" s="5">
        <v>967.31</v>
      </c>
      <c r="AU4" s="5">
        <v>967.31</v>
      </c>
      <c r="AV4" s="5">
        <v>7255</v>
      </c>
      <c r="AW4" s="5">
        <v>7255</v>
      </c>
      <c r="AX4" s="5" t="s">
        <v>1312</v>
      </c>
      <c r="AY4" s="5" t="s">
        <v>1312</v>
      </c>
      <c r="AZ4" s="5">
        <v>0</v>
      </c>
      <c r="BA4" s="5" t="s">
        <v>1312</v>
      </c>
      <c r="BB4" s="5" t="s">
        <v>1312</v>
      </c>
      <c r="BC4" s="5" t="s">
        <v>1312</v>
      </c>
      <c r="BD4" s="5" t="s">
        <v>1312</v>
      </c>
      <c r="BE4" s="5" t="s">
        <v>1312</v>
      </c>
      <c r="BF4" s="5" t="s">
        <v>1312</v>
      </c>
      <c r="BG4" s="5" t="s">
        <v>1312</v>
      </c>
      <c r="BH4" s="5" t="s">
        <v>1367</v>
      </c>
      <c r="BI4" s="5" t="s">
        <v>1312</v>
      </c>
      <c r="BJ4" s="5" t="s">
        <v>688</v>
      </c>
      <c r="BK4" s="5" t="s">
        <v>1355</v>
      </c>
      <c r="BL4" s="5" t="s">
        <v>1368</v>
      </c>
      <c r="BM4" s="5">
        <v>7400</v>
      </c>
      <c r="BN4" s="5" t="s">
        <v>1330</v>
      </c>
      <c r="BO4" s="5">
        <v>3</v>
      </c>
    </row>
    <row r="5" spans="1:67">
      <c r="A5" s="5" t="s">
        <v>1369</v>
      </c>
      <c r="B5" s="5" t="s">
        <v>1307</v>
      </c>
      <c r="C5" s="5" t="s">
        <v>486</v>
      </c>
      <c r="D5" s="5" t="s">
        <v>1332</v>
      </c>
      <c r="E5" s="5" t="s">
        <v>1370</v>
      </c>
      <c r="F5" s="5" t="s">
        <v>1371</v>
      </c>
      <c r="G5" s="5" t="s">
        <v>1371</v>
      </c>
      <c r="H5" s="5" t="s">
        <v>1372</v>
      </c>
      <c r="I5" s="5">
        <v>21545.599999999999</v>
      </c>
      <c r="J5" s="5">
        <v>40505.730000000003</v>
      </c>
      <c r="K5" s="5" t="s">
        <v>1312</v>
      </c>
      <c r="L5" s="5" t="s">
        <v>1312</v>
      </c>
      <c r="M5" s="5">
        <v>0</v>
      </c>
      <c r="N5" s="5">
        <v>0</v>
      </c>
      <c r="O5" s="5" t="s">
        <v>1313</v>
      </c>
      <c r="P5" s="5" t="s">
        <v>1336</v>
      </c>
      <c r="Q5" s="5" t="s">
        <v>1337</v>
      </c>
      <c r="R5" s="5" t="s">
        <v>1358</v>
      </c>
      <c r="S5" s="5" t="s">
        <v>1373</v>
      </c>
      <c r="T5" s="5">
        <v>1.88</v>
      </c>
      <c r="U5" s="5" t="s">
        <v>1312</v>
      </c>
      <c r="V5" s="5" t="s">
        <v>1312</v>
      </c>
      <c r="W5" s="5" t="s">
        <v>1312</v>
      </c>
      <c r="X5" s="5" t="s">
        <v>1318</v>
      </c>
      <c r="Y5" s="5" t="s">
        <v>1312</v>
      </c>
      <c r="Z5" s="5" t="s">
        <v>1312</v>
      </c>
      <c r="AA5" s="5" t="s">
        <v>1312</v>
      </c>
      <c r="AB5" s="5" t="s">
        <v>1312</v>
      </c>
      <c r="AC5" s="5" t="s">
        <v>1312</v>
      </c>
      <c r="AD5" s="5" t="s">
        <v>1374</v>
      </c>
      <c r="AE5" s="5" t="s">
        <v>1375</v>
      </c>
      <c r="AF5" s="5" t="s">
        <v>1376</v>
      </c>
      <c r="AG5" s="5" t="s">
        <v>1376</v>
      </c>
      <c r="AH5" s="5" t="s">
        <v>1322</v>
      </c>
      <c r="AI5" s="5" t="s">
        <v>1344</v>
      </c>
      <c r="AJ5" s="5" t="s">
        <v>1377</v>
      </c>
      <c r="AK5" s="5" t="s">
        <v>1378</v>
      </c>
      <c r="AL5" s="5" t="s">
        <v>1347</v>
      </c>
      <c r="AM5" s="5" t="s">
        <v>1312</v>
      </c>
      <c r="AN5" s="5">
        <v>37500</v>
      </c>
      <c r="AO5" s="5">
        <v>7500</v>
      </c>
      <c r="AP5" s="5" t="s">
        <v>1379</v>
      </c>
      <c r="AQ5" s="5">
        <v>37500</v>
      </c>
      <c r="AR5" s="5">
        <v>17404.939999999999</v>
      </c>
      <c r="AS5" s="5">
        <v>17404.939999999999</v>
      </c>
      <c r="AT5" s="5">
        <v>1160.33</v>
      </c>
      <c r="AU5" s="5">
        <v>1160.33</v>
      </c>
      <c r="AV5" s="5">
        <v>9258</v>
      </c>
      <c r="AW5" s="5">
        <v>9258</v>
      </c>
      <c r="AX5" s="5" t="s">
        <v>1312</v>
      </c>
      <c r="AY5" s="5" t="s">
        <v>1312</v>
      </c>
      <c r="AZ5" s="5">
        <v>0</v>
      </c>
      <c r="BA5" s="5" t="s">
        <v>1312</v>
      </c>
      <c r="BB5" s="5" t="s">
        <v>1312</v>
      </c>
      <c r="BC5" s="5" t="s">
        <v>1312</v>
      </c>
      <c r="BD5" s="5" t="s">
        <v>1312</v>
      </c>
      <c r="BE5" s="5" t="s">
        <v>1312</v>
      </c>
      <c r="BF5" s="5" t="s">
        <v>1312</v>
      </c>
      <c r="BG5" s="5" t="s">
        <v>1312</v>
      </c>
      <c r="BH5" s="5" t="s">
        <v>1328</v>
      </c>
      <c r="BI5" s="5" t="s">
        <v>1312</v>
      </c>
      <c r="BJ5" s="5" t="s">
        <v>688</v>
      </c>
      <c r="BK5" s="5" t="s">
        <v>1380</v>
      </c>
      <c r="BL5" s="5" t="s">
        <v>1381</v>
      </c>
      <c r="BM5" s="5">
        <v>18750</v>
      </c>
      <c r="BN5" s="5" t="s">
        <v>1330</v>
      </c>
      <c r="BO5" s="5">
        <v>3</v>
      </c>
    </row>
    <row r="6" spans="1:67" s="2199" customFormat="1">
      <c r="A6" s="2200" t="s">
        <v>1382</v>
      </c>
      <c r="B6" s="2199" t="s">
        <v>1307</v>
      </c>
      <c r="C6" s="2199" t="s">
        <v>486</v>
      </c>
      <c r="D6" s="2199" t="s">
        <v>1332</v>
      </c>
      <c r="E6" s="2199" t="s">
        <v>1333</v>
      </c>
      <c r="F6" s="2199" t="s">
        <v>1383</v>
      </c>
      <c r="G6" s="2199" t="s">
        <v>1383</v>
      </c>
      <c r="H6" s="2199" t="s">
        <v>1384</v>
      </c>
      <c r="I6" s="2199">
        <v>31330.48</v>
      </c>
      <c r="J6" s="2199">
        <v>122233</v>
      </c>
      <c r="K6" s="2199" t="s">
        <v>1312</v>
      </c>
      <c r="L6" s="2199" t="s">
        <v>1312</v>
      </c>
      <c r="M6" s="2199">
        <v>0</v>
      </c>
      <c r="N6" s="2199">
        <v>0</v>
      </c>
      <c r="O6" s="2199" t="s">
        <v>1313</v>
      </c>
      <c r="P6" s="2199" t="s">
        <v>1336</v>
      </c>
      <c r="Q6" s="2199" t="s">
        <v>1337</v>
      </c>
      <c r="R6" s="2199" t="s">
        <v>1385</v>
      </c>
      <c r="S6" s="2199" t="s">
        <v>1386</v>
      </c>
      <c r="T6" s="2199">
        <v>7.5</v>
      </c>
      <c r="U6" s="2199" t="s">
        <v>1312</v>
      </c>
      <c r="V6" s="2199" t="s">
        <v>1312</v>
      </c>
      <c r="W6" s="2199" t="s">
        <v>1387</v>
      </c>
      <c r="X6" s="2199" t="s">
        <v>1318</v>
      </c>
      <c r="Y6" s="2199" t="s">
        <v>1312</v>
      </c>
      <c r="Z6" s="2199" t="s">
        <v>1312</v>
      </c>
      <c r="AA6" s="2199" t="s">
        <v>1312</v>
      </c>
      <c r="AB6" s="2199" t="s">
        <v>1312</v>
      </c>
      <c r="AC6" s="2199" t="s">
        <v>1312</v>
      </c>
      <c r="AD6" s="2199" t="s">
        <v>1388</v>
      </c>
      <c r="AE6" s="2199" t="s">
        <v>1389</v>
      </c>
      <c r="AF6" s="2199" t="s">
        <v>1390</v>
      </c>
      <c r="AG6" s="2199" t="s">
        <v>1390</v>
      </c>
      <c r="AH6" s="2199" t="s">
        <v>1322</v>
      </c>
      <c r="AI6" s="2199" t="s">
        <v>1344</v>
      </c>
      <c r="AJ6" s="2199" t="s">
        <v>1391</v>
      </c>
      <c r="AK6" s="2199" t="s">
        <v>1392</v>
      </c>
      <c r="AL6" s="2199" t="s">
        <v>1347</v>
      </c>
      <c r="AM6" s="2199" t="s">
        <v>1348</v>
      </c>
      <c r="AN6" s="2199">
        <v>163410</v>
      </c>
      <c r="AO6" s="2199">
        <v>32690</v>
      </c>
      <c r="AP6" s="2199" t="s">
        <v>1312</v>
      </c>
      <c r="AQ6" s="2199">
        <v>163410</v>
      </c>
      <c r="AR6" s="2199">
        <v>52156.88</v>
      </c>
      <c r="AS6" s="2199">
        <v>52156.88</v>
      </c>
      <c r="AT6" s="2199">
        <v>3477.13</v>
      </c>
      <c r="AU6" s="2199">
        <v>3477.13</v>
      </c>
      <c r="AV6" s="2199">
        <v>13369</v>
      </c>
      <c r="AW6" s="2199">
        <v>13369</v>
      </c>
      <c r="AX6" s="2199" t="s">
        <v>1312</v>
      </c>
      <c r="AY6" s="2199" t="s">
        <v>1312</v>
      </c>
      <c r="AZ6" s="2199">
        <v>0</v>
      </c>
      <c r="BA6" s="2199" t="s">
        <v>1312</v>
      </c>
      <c r="BB6" s="2199" t="s">
        <v>1312</v>
      </c>
      <c r="BC6" s="2199" t="s">
        <v>1312</v>
      </c>
      <c r="BD6" s="2199" t="s">
        <v>1312</v>
      </c>
      <c r="BE6" s="2199" t="s">
        <v>1312</v>
      </c>
      <c r="BF6" s="2199" t="s">
        <v>1312</v>
      </c>
      <c r="BG6" s="2199" t="s">
        <v>1312</v>
      </c>
      <c r="BH6" s="2199" t="s">
        <v>1328</v>
      </c>
      <c r="BI6" s="2199" t="s">
        <v>1312</v>
      </c>
      <c r="BJ6" s="2199" t="s">
        <v>688</v>
      </c>
      <c r="BK6" s="2199" t="s">
        <v>1393</v>
      </c>
      <c r="BL6" s="2199" t="s">
        <v>1312</v>
      </c>
      <c r="BM6" s="2199" t="s">
        <v>1312</v>
      </c>
      <c r="BN6" s="2199" t="s">
        <v>1330</v>
      </c>
      <c r="BO6" s="2199">
        <v>5</v>
      </c>
    </row>
    <row r="7" spans="1:67" s="2199" customFormat="1">
      <c r="A7" s="2199" t="s">
        <v>1394</v>
      </c>
      <c r="B7" s="2199" t="s">
        <v>1307</v>
      </c>
      <c r="C7" s="2199" t="s">
        <v>486</v>
      </c>
      <c r="D7" s="2199" t="s">
        <v>1332</v>
      </c>
      <c r="E7" s="2199" t="s">
        <v>1333</v>
      </c>
      <c r="F7" s="2199" t="s">
        <v>1395</v>
      </c>
      <c r="G7" s="2199" t="s">
        <v>1395</v>
      </c>
      <c r="H7" s="2199" t="s">
        <v>1384</v>
      </c>
      <c r="I7" s="2199">
        <v>4239.42</v>
      </c>
      <c r="J7" s="2199">
        <v>16957.66</v>
      </c>
      <c r="K7" s="2199" t="s">
        <v>1312</v>
      </c>
      <c r="L7" s="2199" t="s">
        <v>1312</v>
      </c>
      <c r="M7" s="2199">
        <v>0</v>
      </c>
      <c r="N7" s="2199">
        <v>0</v>
      </c>
      <c r="O7" s="2199" t="s">
        <v>1313</v>
      </c>
      <c r="P7" s="2199" t="s">
        <v>1336</v>
      </c>
      <c r="Q7" s="2199" t="s">
        <v>1337</v>
      </c>
      <c r="R7" s="2199" t="s">
        <v>1385</v>
      </c>
      <c r="S7" s="2199" t="s">
        <v>1396</v>
      </c>
      <c r="T7" s="2199">
        <v>4</v>
      </c>
      <c r="U7" s="2199" t="s">
        <v>1312</v>
      </c>
      <c r="V7" s="2199" t="s">
        <v>1312</v>
      </c>
      <c r="W7" s="2199" t="s">
        <v>1397</v>
      </c>
      <c r="X7" s="2199" t="s">
        <v>1318</v>
      </c>
      <c r="Y7" s="2199" t="s">
        <v>1312</v>
      </c>
      <c r="Z7" s="2199" t="s">
        <v>1312</v>
      </c>
      <c r="AA7" s="2199" t="s">
        <v>1312</v>
      </c>
      <c r="AB7" s="2199" t="s">
        <v>1312</v>
      </c>
      <c r="AC7" s="2199" t="s">
        <v>1312</v>
      </c>
      <c r="AD7" s="2199" t="s">
        <v>1388</v>
      </c>
      <c r="AE7" s="2199" t="s">
        <v>1389</v>
      </c>
      <c r="AF7" s="2199" t="s">
        <v>1390</v>
      </c>
      <c r="AG7" s="2199" t="s">
        <v>1390</v>
      </c>
      <c r="AH7" s="2199" t="s">
        <v>1322</v>
      </c>
      <c r="AI7" s="2199" t="s">
        <v>1344</v>
      </c>
      <c r="AJ7" s="2199" t="s">
        <v>1398</v>
      </c>
      <c r="AK7" s="2199" t="s">
        <v>1398</v>
      </c>
      <c r="AL7" s="2199" t="s">
        <v>1399</v>
      </c>
      <c r="AM7" s="2199" t="s">
        <v>1312</v>
      </c>
      <c r="AN7" s="2199">
        <v>22680</v>
      </c>
      <c r="AO7" s="2199">
        <v>4540</v>
      </c>
      <c r="AP7" s="2199" t="s">
        <v>1312</v>
      </c>
      <c r="AQ7" s="2199">
        <v>22680</v>
      </c>
      <c r="AR7" s="2199">
        <v>53497.88</v>
      </c>
      <c r="AS7" s="2199">
        <v>53497.88</v>
      </c>
      <c r="AT7" s="2199">
        <v>3566.53</v>
      </c>
      <c r="AU7" s="2199">
        <v>3566.53</v>
      </c>
      <c r="AV7" s="2199">
        <v>13374</v>
      </c>
      <c r="AW7" s="2199">
        <v>13374</v>
      </c>
      <c r="AX7" s="2199" t="s">
        <v>1312</v>
      </c>
      <c r="AY7" s="2199" t="s">
        <v>1312</v>
      </c>
      <c r="AZ7" s="2199">
        <v>0</v>
      </c>
      <c r="BA7" s="2199" t="s">
        <v>1312</v>
      </c>
      <c r="BB7" s="2199" t="s">
        <v>1312</v>
      </c>
      <c r="BC7" s="2199" t="s">
        <v>1312</v>
      </c>
      <c r="BD7" s="2199" t="s">
        <v>1312</v>
      </c>
      <c r="BE7" s="2199" t="s">
        <v>1312</v>
      </c>
      <c r="BF7" s="2199" t="s">
        <v>1312</v>
      </c>
      <c r="BG7" s="2199" t="s">
        <v>1312</v>
      </c>
      <c r="BH7" s="2199" t="s">
        <v>1328</v>
      </c>
      <c r="BI7" s="2199" t="s">
        <v>1312</v>
      </c>
      <c r="BJ7" s="2199" t="s">
        <v>688</v>
      </c>
      <c r="BK7" s="2199" t="s">
        <v>1400</v>
      </c>
      <c r="BL7" s="2199" t="s">
        <v>1401</v>
      </c>
      <c r="BM7" s="2199">
        <v>22680</v>
      </c>
      <c r="BN7" s="2199" t="s">
        <v>1330</v>
      </c>
      <c r="BO7" s="2199">
        <v>5</v>
      </c>
    </row>
    <row r="8" spans="1:67" s="2199" customFormat="1">
      <c r="A8" s="2199" t="s">
        <v>1402</v>
      </c>
      <c r="B8" s="2199" t="s">
        <v>1307</v>
      </c>
      <c r="C8" s="2199" t="s">
        <v>486</v>
      </c>
      <c r="D8" s="2199" t="s">
        <v>1332</v>
      </c>
      <c r="E8" s="2199" t="s">
        <v>1333</v>
      </c>
      <c r="F8" s="2199" t="s">
        <v>1403</v>
      </c>
      <c r="G8" s="2199" t="s">
        <v>1403</v>
      </c>
      <c r="H8" s="2199" t="s">
        <v>1384</v>
      </c>
      <c r="I8" s="2199">
        <v>5369.21</v>
      </c>
      <c r="J8" s="2199">
        <v>12886.11</v>
      </c>
      <c r="K8" s="2199" t="s">
        <v>1312</v>
      </c>
      <c r="L8" s="2199" t="s">
        <v>1312</v>
      </c>
      <c r="M8" s="2199">
        <v>0</v>
      </c>
      <c r="N8" s="2199">
        <v>0</v>
      </c>
      <c r="O8" s="2199" t="s">
        <v>1313</v>
      </c>
      <c r="P8" s="2199" t="s">
        <v>1336</v>
      </c>
      <c r="Q8" s="2199" t="s">
        <v>1337</v>
      </c>
      <c r="R8" s="2199" t="s">
        <v>1385</v>
      </c>
      <c r="S8" s="2199" t="s">
        <v>1404</v>
      </c>
      <c r="T8" s="2199">
        <v>2.4</v>
      </c>
      <c r="U8" s="2199" t="s">
        <v>1312</v>
      </c>
      <c r="V8" s="2199" t="s">
        <v>1312</v>
      </c>
      <c r="W8" s="2199" t="s">
        <v>1405</v>
      </c>
      <c r="X8" s="2199" t="s">
        <v>1318</v>
      </c>
      <c r="Y8" s="2199" t="s">
        <v>1312</v>
      </c>
      <c r="Z8" s="2199" t="s">
        <v>1312</v>
      </c>
      <c r="AA8" s="2199" t="s">
        <v>1312</v>
      </c>
      <c r="AB8" s="2199" t="s">
        <v>1312</v>
      </c>
      <c r="AC8" s="2199" t="s">
        <v>1312</v>
      </c>
      <c r="AD8" s="2199" t="s">
        <v>1406</v>
      </c>
      <c r="AE8" s="2199" t="s">
        <v>1407</v>
      </c>
      <c r="AF8" s="2199" t="s">
        <v>1408</v>
      </c>
      <c r="AG8" s="2199" t="s">
        <v>1408</v>
      </c>
      <c r="AH8" s="2199" t="s">
        <v>1322</v>
      </c>
      <c r="AI8" s="2199" t="s">
        <v>1344</v>
      </c>
      <c r="AJ8" s="2199" t="s">
        <v>1409</v>
      </c>
      <c r="AK8" s="2199" t="s">
        <v>1410</v>
      </c>
      <c r="AL8" s="2199" t="s">
        <v>1347</v>
      </c>
      <c r="AM8" s="2199" t="s">
        <v>1348</v>
      </c>
      <c r="AN8" s="2199">
        <v>17220</v>
      </c>
      <c r="AO8" s="2199">
        <v>3450</v>
      </c>
      <c r="AP8" s="2199" t="s">
        <v>1312</v>
      </c>
      <c r="AQ8" s="2199">
        <v>17220</v>
      </c>
      <c r="AR8" s="2199">
        <v>32071.75</v>
      </c>
      <c r="AS8" s="2199">
        <v>32071.75</v>
      </c>
      <c r="AT8" s="2199">
        <v>2138.12</v>
      </c>
      <c r="AU8" s="2199">
        <v>2138.12</v>
      </c>
      <c r="AV8" s="2199">
        <v>13363</v>
      </c>
      <c r="AW8" s="2199">
        <v>13363</v>
      </c>
      <c r="AX8" s="2199" t="s">
        <v>1312</v>
      </c>
      <c r="AY8" s="2199" t="s">
        <v>1312</v>
      </c>
      <c r="AZ8" s="2199">
        <v>0</v>
      </c>
      <c r="BA8" s="2199" t="s">
        <v>1312</v>
      </c>
      <c r="BB8" s="2199" t="s">
        <v>1312</v>
      </c>
      <c r="BC8" s="2199" t="s">
        <v>1312</v>
      </c>
      <c r="BD8" s="2199" t="s">
        <v>1312</v>
      </c>
      <c r="BE8" s="2199" t="s">
        <v>1312</v>
      </c>
      <c r="BF8" s="2199" t="s">
        <v>1312</v>
      </c>
      <c r="BG8" s="2199" t="s">
        <v>1312</v>
      </c>
      <c r="BH8" s="2199" t="s">
        <v>1328</v>
      </c>
      <c r="BI8" s="2199" t="s">
        <v>1312</v>
      </c>
      <c r="BJ8" s="2199" t="s">
        <v>688</v>
      </c>
      <c r="BK8" s="2199" t="s">
        <v>1411</v>
      </c>
      <c r="BL8" s="2199" t="s">
        <v>1412</v>
      </c>
      <c r="BM8" s="2199">
        <v>17220</v>
      </c>
      <c r="BN8" s="2199" t="s">
        <v>1330</v>
      </c>
      <c r="BO8" s="2199">
        <v>5</v>
      </c>
    </row>
    <row r="9" spans="1:67">
      <c r="A9" s="5" t="s">
        <v>1413</v>
      </c>
      <c r="B9" s="5" t="s">
        <v>1307</v>
      </c>
      <c r="C9" s="5" t="s">
        <v>486</v>
      </c>
      <c r="D9" s="5" t="s">
        <v>1308</v>
      </c>
      <c r="E9" s="5" t="s">
        <v>1414</v>
      </c>
      <c r="F9" s="5" t="s">
        <v>1415</v>
      </c>
      <c r="G9" s="5" t="s">
        <v>1415</v>
      </c>
      <c r="H9" s="5" t="s">
        <v>1416</v>
      </c>
      <c r="I9" s="5">
        <v>29689.18</v>
      </c>
      <c r="J9" s="5">
        <v>29689.18</v>
      </c>
      <c r="K9" s="5" t="s">
        <v>1312</v>
      </c>
      <c r="L9" s="5" t="s">
        <v>1312</v>
      </c>
      <c r="M9" s="5">
        <v>0</v>
      </c>
      <c r="N9" s="5">
        <v>0</v>
      </c>
      <c r="O9" s="5" t="s">
        <v>1313</v>
      </c>
      <c r="P9" s="5" t="s">
        <v>1417</v>
      </c>
      <c r="Q9" s="5" t="s">
        <v>1337</v>
      </c>
      <c r="R9" s="5" t="s">
        <v>1418</v>
      </c>
      <c r="S9" s="5" t="s">
        <v>1419</v>
      </c>
      <c r="T9" s="5">
        <v>1</v>
      </c>
      <c r="U9" s="5" t="s">
        <v>1312</v>
      </c>
      <c r="V9" s="5" t="s">
        <v>1312</v>
      </c>
      <c r="W9" s="5" t="s">
        <v>1312</v>
      </c>
      <c r="X9" s="5" t="s">
        <v>1318</v>
      </c>
      <c r="Y9" s="5" t="s">
        <v>1312</v>
      </c>
      <c r="Z9" s="5" t="s">
        <v>1312</v>
      </c>
      <c r="AA9" s="5" t="s">
        <v>1312</v>
      </c>
      <c r="AB9" s="5" t="s">
        <v>1312</v>
      </c>
      <c r="AC9" s="5" t="s">
        <v>1312</v>
      </c>
      <c r="AD9" s="5" t="s">
        <v>1420</v>
      </c>
      <c r="AE9" s="5" t="s">
        <v>1421</v>
      </c>
      <c r="AF9" s="5" t="s">
        <v>1406</v>
      </c>
      <c r="AG9" s="5" t="s">
        <v>1406</v>
      </c>
      <c r="AH9" s="5" t="s">
        <v>1322</v>
      </c>
      <c r="AI9" s="5" t="s">
        <v>1344</v>
      </c>
      <c r="AJ9" s="5" t="s">
        <v>1422</v>
      </c>
      <c r="AK9" s="5" t="s">
        <v>1423</v>
      </c>
      <c r="AL9" s="5" t="s">
        <v>1347</v>
      </c>
      <c r="AM9" s="5" t="s">
        <v>1312</v>
      </c>
      <c r="AN9" s="5">
        <v>14250.88</v>
      </c>
      <c r="AO9" s="5">
        <v>3562.5</v>
      </c>
      <c r="AP9" s="5" t="s">
        <v>1312</v>
      </c>
      <c r="AQ9" s="5">
        <v>14250.88</v>
      </c>
      <c r="AR9" s="5">
        <v>4800.0200000000004</v>
      </c>
      <c r="AS9" s="5">
        <v>4800.0200000000004</v>
      </c>
      <c r="AT9" s="5">
        <v>320</v>
      </c>
      <c r="AU9" s="5">
        <v>320</v>
      </c>
      <c r="AV9" s="5">
        <v>4800</v>
      </c>
      <c r="AW9" s="5">
        <v>4800</v>
      </c>
      <c r="AX9" s="5" t="s">
        <v>1312</v>
      </c>
      <c r="AY9" s="5" t="s">
        <v>1312</v>
      </c>
      <c r="AZ9" s="5">
        <v>0</v>
      </c>
      <c r="BA9" s="5" t="s">
        <v>1312</v>
      </c>
      <c r="BB9" s="5" t="s">
        <v>1312</v>
      </c>
      <c r="BC9" s="5" t="s">
        <v>1312</v>
      </c>
      <c r="BD9" s="5" t="s">
        <v>1312</v>
      </c>
      <c r="BE9" s="5" t="s">
        <v>1312</v>
      </c>
      <c r="BF9" s="5" t="s">
        <v>1312</v>
      </c>
      <c r="BG9" s="5" t="s">
        <v>1312</v>
      </c>
      <c r="BH9" s="5" t="s">
        <v>1424</v>
      </c>
      <c r="BI9" s="5" t="s">
        <v>1312</v>
      </c>
      <c r="BJ9" s="5" t="s">
        <v>1425</v>
      </c>
      <c r="BK9" s="5" t="s">
        <v>1312</v>
      </c>
      <c r="BL9" s="5" t="s">
        <v>1312</v>
      </c>
      <c r="BM9" s="5" t="s">
        <v>1312</v>
      </c>
      <c r="BN9" s="5" t="s">
        <v>1330</v>
      </c>
      <c r="BO9" s="5">
        <v>2</v>
      </c>
    </row>
    <row r="10" spans="1:67">
      <c r="A10" s="5" t="s">
        <v>1426</v>
      </c>
      <c r="B10" s="5" t="s">
        <v>1307</v>
      </c>
      <c r="C10" s="5" t="s">
        <v>486</v>
      </c>
      <c r="D10" s="5" t="s">
        <v>1332</v>
      </c>
      <c r="E10" s="5" t="s">
        <v>1427</v>
      </c>
      <c r="F10" s="5" t="s">
        <v>1428</v>
      </c>
      <c r="G10" s="5" t="s">
        <v>1428</v>
      </c>
      <c r="H10" s="5" t="s">
        <v>1429</v>
      </c>
      <c r="I10" s="5">
        <v>13348.31</v>
      </c>
      <c r="J10" s="5">
        <v>17352.8</v>
      </c>
      <c r="K10" s="5" t="s">
        <v>1312</v>
      </c>
      <c r="L10" s="5" t="s">
        <v>1312</v>
      </c>
      <c r="M10" s="5">
        <v>0</v>
      </c>
      <c r="N10" s="5">
        <v>0</v>
      </c>
      <c r="O10" s="5" t="s">
        <v>1313</v>
      </c>
      <c r="P10" s="5" t="s">
        <v>1430</v>
      </c>
      <c r="Q10" s="5" t="s">
        <v>1337</v>
      </c>
      <c r="R10" s="5" t="s">
        <v>1431</v>
      </c>
      <c r="S10" s="5" t="s">
        <v>1432</v>
      </c>
      <c r="T10" s="5">
        <v>1.3</v>
      </c>
      <c r="U10" s="5" t="s">
        <v>1312</v>
      </c>
      <c r="V10" s="5" t="s">
        <v>1312</v>
      </c>
      <c r="W10" s="5" t="s">
        <v>1312</v>
      </c>
      <c r="X10" s="5" t="s">
        <v>1318</v>
      </c>
      <c r="Y10" s="5" t="s">
        <v>1312</v>
      </c>
      <c r="Z10" s="5" t="s">
        <v>1312</v>
      </c>
      <c r="AA10" s="5" t="s">
        <v>1312</v>
      </c>
      <c r="AB10" s="5" t="s">
        <v>1312</v>
      </c>
      <c r="AC10" s="5" t="s">
        <v>1312</v>
      </c>
      <c r="AD10" s="5" t="s">
        <v>1433</v>
      </c>
      <c r="AE10" s="5" t="s">
        <v>1434</v>
      </c>
      <c r="AF10" s="5" t="s">
        <v>1435</v>
      </c>
      <c r="AG10" s="5" t="s">
        <v>1435</v>
      </c>
      <c r="AH10" s="5" t="s">
        <v>1322</v>
      </c>
      <c r="AI10" s="5" t="s">
        <v>1344</v>
      </c>
      <c r="AJ10" s="5" t="s">
        <v>1436</v>
      </c>
      <c r="AK10" s="5" t="s">
        <v>1436</v>
      </c>
      <c r="AL10" s="5" t="s">
        <v>1399</v>
      </c>
      <c r="AM10" s="5" t="s">
        <v>1312</v>
      </c>
      <c r="AN10" s="5">
        <v>6823.12</v>
      </c>
      <c r="AO10" s="5">
        <v>1365</v>
      </c>
      <c r="AP10" s="5" t="s">
        <v>1312</v>
      </c>
      <c r="AQ10" s="5">
        <v>6823.12</v>
      </c>
      <c r="AR10" s="5">
        <v>5111.59</v>
      </c>
      <c r="AS10" s="5">
        <v>5111.59</v>
      </c>
      <c r="AT10" s="5">
        <v>340.77</v>
      </c>
      <c r="AU10" s="5">
        <v>340.77</v>
      </c>
      <c r="AV10" s="5">
        <v>3932</v>
      </c>
      <c r="AW10" s="5">
        <v>3932</v>
      </c>
      <c r="AX10" s="5" t="s">
        <v>1312</v>
      </c>
      <c r="AY10" s="5" t="s">
        <v>1312</v>
      </c>
      <c r="AZ10" s="5">
        <v>0</v>
      </c>
      <c r="BA10" s="5" t="s">
        <v>1312</v>
      </c>
      <c r="BB10" s="5" t="s">
        <v>1312</v>
      </c>
      <c r="BC10" s="5" t="s">
        <v>1312</v>
      </c>
      <c r="BD10" s="5" t="s">
        <v>1312</v>
      </c>
      <c r="BE10" s="5" t="s">
        <v>1312</v>
      </c>
      <c r="BF10" s="5" t="s">
        <v>1312</v>
      </c>
      <c r="BG10" s="5" t="s">
        <v>1312</v>
      </c>
      <c r="BH10" s="5" t="s">
        <v>1367</v>
      </c>
      <c r="BI10" s="5" t="s">
        <v>1312</v>
      </c>
      <c r="BJ10" s="5" t="s">
        <v>1425</v>
      </c>
      <c r="BK10" s="5" t="s">
        <v>1312</v>
      </c>
      <c r="BL10" s="5" t="s">
        <v>1312</v>
      </c>
      <c r="BM10" s="5" t="s">
        <v>1312</v>
      </c>
      <c r="BN10" s="5" t="s">
        <v>1330</v>
      </c>
      <c r="BO10" s="5">
        <v>3</v>
      </c>
    </row>
    <row r="11" spans="1:67">
      <c r="A11" s="5" t="s">
        <v>1437</v>
      </c>
      <c r="B11" s="5" t="s">
        <v>1307</v>
      </c>
      <c r="C11" s="5" t="s">
        <v>486</v>
      </c>
      <c r="D11" s="5" t="s">
        <v>1332</v>
      </c>
      <c r="E11" s="5" t="s">
        <v>1438</v>
      </c>
      <c r="F11" s="5" t="s">
        <v>1439</v>
      </c>
      <c r="G11" s="5" t="s">
        <v>1439</v>
      </c>
      <c r="H11" s="5" t="s">
        <v>1440</v>
      </c>
      <c r="I11" s="5">
        <v>41129.769999999997</v>
      </c>
      <c r="J11" s="5">
        <v>90485.49</v>
      </c>
      <c r="K11" s="5" t="s">
        <v>1312</v>
      </c>
      <c r="L11" s="5" t="s">
        <v>1312</v>
      </c>
      <c r="M11" s="5">
        <v>0</v>
      </c>
      <c r="N11" s="5">
        <v>0</v>
      </c>
      <c r="O11" s="5" t="s">
        <v>1313</v>
      </c>
      <c r="P11" s="5" t="s">
        <v>1336</v>
      </c>
      <c r="Q11" s="5" t="s">
        <v>1337</v>
      </c>
      <c r="R11" s="5" t="s">
        <v>1441</v>
      </c>
      <c r="S11" s="5" t="s">
        <v>1442</v>
      </c>
      <c r="T11" s="5">
        <v>2.2000000000000002</v>
      </c>
      <c r="U11" s="5" t="s">
        <v>1312</v>
      </c>
      <c r="V11" s="5" t="s">
        <v>1312</v>
      </c>
      <c r="W11" s="5" t="s">
        <v>1443</v>
      </c>
      <c r="X11" s="5" t="s">
        <v>1318</v>
      </c>
      <c r="Y11" s="5" t="s">
        <v>1312</v>
      </c>
      <c r="Z11" s="5" t="s">
        <v>1312</v>
      </c>
      <c r="AA11" s="5" t="s">
        <v>1312</v>
      </c>
      <c r="AB11" s="5" t="s">
        <v>1312</v>
      </c>
      <c r="AC11" s="5" t="s">
        <v>1312</v>
      </c>
      <c r="AD11" s="5" t="s">
        <v>1444</v>
      </c>
      <c r="AE11" s="5" t="s">
        <v>1445</v>
      </c>
      <c r="AF11" s="5" t="s">
        <v>1446</v>
      </c>
      <c r="AG11" s="5" t="s">
        <v>1446</v>
      </c>
      <c r="AH11" s="5" t="s">
        <v>1322</v>
      </c>
      <c r="AI11" s="5" t="s">
        <v>1344</v>
      </c>
      <c r="AJ11" s="5" t="s">
        <v>1447</v>
      </c>
      <c r="AK11" s="5" t="s">
        <v>1448</v>
      </c>
      <c r="AL11" s="5" t="s">
        <v>1347</v>
      </c>
      <c r="AM11" s="5" t="s">
        <v>1312</v>
      </c>
      <c r="AN11" s="5">
        <v>80900</v>
      </c>
      <c r="AO11" s="5">
        <v>16200</v>
      </c>
      <c r="AP11" s="5" t="s">
        <v>1449</v>
      </c>
      <c r="AQ11" s="5">
        <v>80900</v>
      </c>
      <c r="AR11" s="5">
        <v>19669.45</v>
      </c>
      <c r="AS11" s="5">
        <v>19669.45</v>
      </c>
      <c r="AT11" s="5">
        <v>1311.3</v>
      </c>
      <c r="AU11" s="5">
        <v>1311.3</v>
      </c>
      <c r="AV11" s="5">
        <v>8941</v>
      </c>
      <c r="AW11" s="5">
        <v>8941</v>
      </c>
      <c r="AX11" s="5" t="s">
        <v>1312</v>
      </c>
      <c r="AY11" s="5" t="s">
        <v>1312</v>
      </c>
      <c r="AZ11" s="5">
        <v>0</v>
      </c>
      <c r="BA11" s="5" t="s">
        <v>1312</v>
      </c>
      <c r="BB11" s="5" t="s">
        <v>1312</v>
      </c>
      <c r="BC11" s="5" t="s">
        <v>1312</v>
      </c>
      <c r="BD11" s="5" t="s">
        <v>1312</v>
      </c>
      <c r="BE11" s="5" t="s">
        <v>1312</v>
      </c>
      <c r="BF11" s="5" t="s">
        <v>1312</v>
      </c>
      <c r="BG11" s="5" t="s">
        <v>1312</v>
      </c>
      <c r="BH11" s="5" t="s">
        <v>1328</v>
      </c>
      <c r="BI11" s="5" t="s">
        <v>1312</v>
      </c>
      <c r="BJ11" s="5" t="s">
        <v>1425</v>
      </c>
      <c r="BK11" s="5" t="s">
        <v>1312</v>
      </c>
      <c r="BL11" s="5" t="s">
        <v>1450</v>
      </c>
      <c r="BM11" s="5">
        <v>80900</v>
      </c>
      <c r="BN11" s="5" t="s">
        <v>1330</v>
      </c>
      <c r="BO11" s="5">
        <v>4</v>
      </c>
    </row>
    <row r="12" spans="1:67">
      <c r="A12" s="5" t="s">
        <v>1451</v>
      </c>
      <c r="B12" s="5" t="s">
        <v>1307</v>
      </c>
      <c r="C12" s="5" t="s">
        <v>486</v>
      </c>
      <c r="D12" s="5" t="s">
        <v>1308</v>
      </c>
      <c r="E12" s="5" t="s">
        <v>1452</v>
      </c>
      <c r="F12" s="5" t="s">
        <v>1453</v>
      </c>
      <c r="G12" s="5" t="s">
        <v>1453</v>
      </c>
      <c r="H12" s="5" t="s">
        <v>1454</v>
      </c>
      <c r="I12" s="5">
        <v>32423.18</v>
      </c>
      <c r="J12" s="5">
        <v>42150</v>
      </c>
      <c r="K12" s="5" t="s">
        <v>1312</v>
      </c>
      <c r="L12" s="5" t="s">
        <v>1312</v>
      </c>
      <c r="M12" s="5">
        <v>0</v>
      </c>
      <c r="N12" s="5">
        <v>0</v>
      </c>
      <c r="O12" s="5" t="s">
        <v>1313</v>
      </c>
      <c r="P12" s="5" t="s">
        <v>1336</v>
      </c>
      <c r="Q12" s="5" t="s">
        <v>1337</v>
      </c>
      <c r="R12" s="5" t="s">
        <v>1441</v>
      </c>
      <c r="S12" s="5" t="s">
        <v>1432</v>
      </c>
      <c r="T12" s="5">
        <v>1.3</v>
      </c>
      <c r="U12" s="5" t="s">
        <v>1312</v>
      </c>
      <c r="V12" s="5">
        <v>0.55000000000000004</v>
      </c>
      <c r="W12" s="5" t="s">
        <v>1405</v>
      </c>
      <c r="X12" s="5" t="s">
        <v>1318</v>
      </c>
      <c r="Y12" s="5" t="s">
        <v>1312</v>
      </c>
      <c r="Z12" s="5" t="s">
        <v>1312</v>
      </c>
      <c r="AA12" s="5" t="s">
        <v>1312</v>
      </c>
      <c r="AB12" s="5" t="s">
        <v>1312</v>
      </c>
      <c r="AC12" s="5" t="s">
        <v>1312</v>
      </c>
      <c r="AD12" s="5" t="s">
        <v>1455</v>
      </c>
      <c r="AE12" s="5" t="s">
        <v>1456</v>
      </c>
      <c r="AF12" s="5" t="s">
        <v>1457</v>
      </c>
      <c r="AG12" s="5" t="s">
        <v>1457</v>
      </c>
      <c r="AH12" s="5" t="s">
        <v>1322</v>
      </c>
      <c r="AI12" s="5" t="s">
        <v>1344</v>
      </c>
      <c r="AJ12" s="5" t="s">
        <v>1458</v>
      </c>
      <c r="AK12" s="5" t="s">
        <v>1459</v>
      </c>
      <c r="AL12" s="5" t="s">
        <v>1460</v>
      </c>
      <c r="AM12" s="5" t="s">
        <v>1461</v>
      </c>
      <c r="AN12" s="5">
        <v>23500</v>
      </c>
      <c r="AO12" s="5">
        <v>4700</v>
      </c>
      <c r="AP12" s="5" t="s">
        <v>1462</v>
      </c>
      <c r="AQ12" s="5">
        <v>23500</v>
      </c>
      <c r="AR12" s="5">
        <v>7247.9</v>
      </c>
      <c r="AS12" s="5">
        <v>7247.9</v>
      </c>
      <c r="AT12" s="5">
        <v>483.19</v>
      </c>
      <c r="AU12" s="5">
        <v>483.19</v>
      </c>
      <c r="AV12" s="5">
        <v>5575</v>
      </c>
      <c r="AW12" s="5">
        <v>5575</v>
      </c>
      <c r="AX12" s="5" t="s">
        <v>1312</v>
      </c>
      <c r="AY12" s="5" t="s">
        <v>1312</v>
      </c>
      <c r="AZ12" s="5">
        <v>0</v>
      </c>
      <c r="BA12" s="5" t="s">
        <v>1312</v>
      </c>
      <c r="BB12" s="5" t="s">
        <v>1312</v>
      </c>
      <c r="BC12" s="5" t="s">
        <v>1312</v>
      </c>
      <c r="BD12" s="5" t="s">
        <v>1312</v>
      </c>
      <c r="BE12" s="5" t="s">
        <v>1312</v>
      </c>
      <c r="BF12" s="5" t="s">
        <v>1312</v>
      </c>
      <c r="BG12" s="5" t="s">
        <v>1312</v>
      </c>
      <c r="BH12" s="5" t="s">
        <v>1424</v>
      </c>
      <c r="BI12" s="5" t="s">
        <v>1312</v>
      </c>
      <c r="BJ12" s="5" t="s">
        <v>688</v>
      </c>
      <c r="BK12" s="5" t="s">
        <v>1463</v>
      </c>
      <c r="BL12" s="5" t="s">
        <v>1464</v>
      </c>
      <c r="BM12" s="5">
        <v>23500</v>
      </c>
      <c r="BN12" s="5" t="s">
        <v>1330</v>
      </c>
      <c r="BO12" s="5">
        <v>2</v>
      </c>
    </row>
    <row r="13" spans="1:67">
      <c r="A13" s="5" t="s">
        <v>1465</v>
      </c>
      <c r="B13" s="5" t="s">
        <v>1307</v>
      </c>
      <c r="C13" s="5" t="s">
        <v>486</v>
      </c>
      <c r="D13" s="5" t="s">
        <v>1308</v>
      </c>
      <c r="E13" s="5" t="s">
        <v>1466</v>
      </c>
      <c r="F13" s="5" t="s">
        <v>1467</v>
      </c>
      <c r="G13" s="5" t="s">
        <v>1467</v>
      </c>
      <c r="H13" s="5" t="s">
        <v>1468</v>
      </c>
      <c r="I13" s="5">
        <v>48824.83</v>
      </c>
      <c r="J13" s="5">
        <v>122062.08</v>
      </c>
      <c r="K13" s="5" t="s">
        <v>1312</v>
      </c>
      <c r="L13" s="5" t="s">
        <v>1312</v>
      </c>
      <c r="M13" s="5">
        <v>0</v>
      </c>
      <c r="N13" s="5">
        <v>0</v>
      </c>
      <c r="O13" s="5" t="s">
        <v>1313</v>
      </c>
      <c r="P13" s="5" t="s">
        <v>1469</v>
      </c>
      <c r="Q13" s="5" t="s">
        <v>1337</v>
      </c>
      <c r="R13" s="5" t="s">
        <v>1358</v>
      </c>
      <c r="S13" s="5" t="s">
        <v>1470</v>
      </c>
      <c r="T13" s="5">
        <v>2.5</v>
      </c>
      <c r="U13" s="5" t="s">
        <v>1312</v>
      </c>
      <c r="V13" s="5" t="s">
        <v>1471</v>
      </c>
      <c r="W13" s="5" t="s">
        <v>1472</v>
      </c>
      <c r="X13" s="5" t="s">
        <v>1318</v>
      </c>
      <c r="Y13" s="5" t="s">
        <v>1312</v>
      </c>
      <c r="Z13" s="5" t="s">
        <v>1312</v>
      </c>
      <c r="AA13" s="5" t="s">
        <v>1312</v>
      </c>
      <c r="AB13" s="5" t="s">
        <v>1312</v>
      </c>
      <c r="AC13" s="5" t="s">
        <v>1312</v>
      </c>
      <c r="AD13" s="5" t="s">
        <v>1473</v>
      </c>
      <c r="AE13" s="5" t="s">
        <v>1474</v>
      </c>
      <c r="AF13" s="5" t="s">
        <v>1475</v>
      </c>
      <c r="AG13" s="5" t="s">
        <v>1475</v>
      </c>
      <c r="AH13" s="5" t="s">
        <v>1322</v>
      </c>
      <c r="AI13" s="5" t="s">
        <v>1344</v>
      </c>
      <c r="AJ13" s="5" t="s">
        <v>1476</v>
      </c>
      <c r="AK13" s="5" t="s">
        <v>1477</v>
      </c>
      <c r="AL13" s="5" t="s">
        <v>1347</v>
      </c>
      <c r="AM13" s="5" t="s">
        <v>1312</v>
      </c>
      <c r="AN13" s="5">
        <v>93000</v>
      </c>
      <c r="AO13" s="5">
        <v>19000</v>
      </c>
      <c r="AP13" s="5" t="s">
        <v>1478</v>
      </c>
      <c r="AQ13" s="5">
        <v>93000</v>
      </c>
      <c r="AR13" s="5">
        <v>19047.68</v>
      </c>
      <c r="AS13" s="5">
        <v>19047.68</v>
      </c>
      <c r="AT13" s="5">
        <v>1269.8499999999999</v>
      </c>
      <c r="AU13" s="5">
        <v>1269.8499999999999</v>
      </c>
      <c r="AV13" s="5">
        <v>7619</v>
      </c>
      <c r="AW13" s="5">
        <v>7619</v>
      </c>
      <c r="AX13" s="5" t="s">
        <v>1312</v>
      </c>
      <c r="AY13" s="5" t="s">
        <v>1312</v>
      </c>
      <c r="AZ13" s="5">
        <v>0</v>
      </c>
      <c r="BA13" s="5" t="s">
        <v>1312</v>
      </c>
      <c r="BB13" s="5" t="s">
        <v>1312</v>
      </c>
      <c r="BC13" s="5" t="s">
        <v>1312</v>
      </c>
      <c r="BD13" s="5" t="s">
        <v>1312</v>
      </c>
      <c r="BE13" s="5" t="s">
        <v>1312</v>
      </c>
      <c r="BF13" s="5" t="s">
        <v>1312</v>
      </c>
      <c r="BG13" s="5" t="s">
        <v>1312</v>
      </c>
      <c r="BH13" s="5" t="s">
        <v>1479</v>
      </c>
      <c r="BI13" s="5" t="s">
        <v>1312</v>
      </c>
      <c r="BJ13" s="5" t="s">
        <v>688</v>
      </c>
      <c r="BK13" s="5" t="s">
        <v>1480</v>
      </c>
      <c r="BL13" s="5" t="s">
        <v>1481</v>
      </c>
      <c r="BM13" s="5">
        <v>93000</v>
      </c>
      <c r="BN13" s="5" t="s">
        <v>1330</v>
      </c>
      <c r="BO13" s="5">
        <v>1</v>
      </c>
    </row>
    <row r="14" spans="1:67">
      <c r="A14" s="5" t="s">
        <v>1482</v>
      </c>
      <c r="B14" s="5" t="s">
        <v>1307</v>
      </c>
      <c r="C14" s="5" t="s">
        <v>486</v>
      </c>
      <c r="D14" s="5" t="s">
        <v>1332</v>
      </c>
      <c r="E14" s="5" t="s">
        <v>1483</v>
      </c>
      <c r="F14" s="5" t="s">
        <v>1484</v>
      </c>
      <c r="G14" s="5" t="s">
        <v>1484</v>
      </c>
      <c r="H14" s="5" t="s">
        <v>1485</v>
      </c>
      <c r="I14" s="5">
        <v>19810.400000000001</v>
      </c>
      <c r="J14" s="5">
        <v>700</v>
      </c>
      <c r="K14" s="5" t="s">
        <v>1312</v>
      </c>
      <c r="L14" s="5" t="s">
        <v>1312</v>
      </c>
      <c r="M14" s="5">
        <v>0</v>
      </c>
      <c r="N14" s="5">
        <v>0</v>
      </c>
      <c r="O14" s="5" t="s">
        <v>1313</v>
      </c>
      <c r="P14" s="5" t="s">
        <v>1486</v>
      </c>
      <c r="Q14" s="5" t="s">
        <v>1487</v>
      </c>
      <c r="R14" s="5" t="s">
        <v>1441</v>
      </c>
      <c r="S14" s="5" t="s">
        <v>1488</v>
      </c>
      <c r="T14" s="5">
        <v>0.74</v>
      </c>
      <c r="U14" s="5" t="s">
        <v>1312</v>
      </c>
      <c r="V14" s="5" t="s">
        <v>1312</v>
      </c>
      <c r="W14" s="5" t="s">
        <v>1312</v>
      </c>
      <c r="X14" s="5" t="s">
        <v>1318</v>
      </c>
      <c r="Y14" s="5" t="s">
        <v>1312</v>
      </c>
      <c r="Z14" s="5" t="s">
        <v>1312</v>
      </c>
      <c r="AA14" s="5" t="s">
        <v>1312</v>
      </c>
      <c r="AB14" s="5" t="s">
        <v>1312</v>
      </c>
      <c r="AC14" s="5" t="s">
        <v>1312</v>
      </c>
      <c r="AD14" s="5" t="s">
        <v>1489</v>
      </c>
      <c r="AE14" s="5" t="s">
        <v>1490</v>
      </c>
      <c r="AF14" s="5" t="s">
        <v>1491</v>
      </c>
      <c r="AG14" s="5" t="s">
        <v>1491</v>
      </c>
      <c r="AH14" s="5" t="s">
        <v>1322</v>
      </c>
      <c r="AI14" s="5" t="s">
        <v>1344</v>
      </c>
      <c r="AJ14" s="5" t="s">
        <v>1492</v>
      </c>
      <c r="AK14" s="5" t="s">
        <v>1493</v>
      </c>
      <c r="AL14" s="5" t="s">
        <v>1347</v>
      </c>
      <c r="AM14" s="5" t="s">
        <v>1348</v>
      </c>
      <c r="AN14" s="5">
        <v>6600</v>
      </c>
      <c r="AO14" s="5">
        <v>1400</v>
      </c>
      <c r="AP14" s="5" t="s">
        <v>1494</v>
      </c>
      <c r="AQ14" s="5">
        <v>6600</v>
      </c>
      <c r="AR14" s="5">
        <v>3331.58</v>
      </c>
      <c r="AS14" s="5">
        <v>3331.58</v>
      </c>
      <c r="AT14" s="5">
        <v>222.11</v>
      </c>
      <c r="AU14" s="5">
        <v>222.11</v>
      </c>
      <c r="AV14" s="5">
        <v>94286</v>
      </c>
      <c r="AW14" s="5">
        <v>94286</v>
      </c>
      <c r="AX14" s="5" t="s">
        <v>1312</v>
      </c>
      <c r="AY14" s="5" t="s">
        <v>1312</v>
      </c>
      <c r="AZ14" s="5">
        <v>0</v>
      </c>
      <c r="BA14" s="5" t="s">
        <v>1312</v>
      </c>
      <c r="BB14" s="5" t="s">
        <v>1312</v>
      </c>
      <c r="BC14" s="5" t="s">
        <v>1312</v>
      </c>
      <c r="BD14" s="5" t="s">
        <v>1312</v>
      </c>
      <c r="BE14" s="5" t="s">
        <v>1312</v>
      </c>
      <c r="BF14" s="5" t="s">
        <v>1312</v>
      </c>
      <c r="BG14" s="5" t="s">
        <v>1312</v>
      </c>
      <c r="BH14" s="5" t="s">
        <v>1495</v>
      </c>
      <c r="BI14" s="5" t="s">
        <v>1312</v>
      </c>
      <c r="BJ14" s="5" t="s">
        <v>1425</v>
      </c>
      <c r="BK14" s="5" t="s">
        <v>1312</v>
      </c>
      <c r="BL14" s="5" t="s">
        <v>1496</v>
      </c>
      <c r="BM14" s="5">
        <v>6600</v>
      </c>
      <c r="BN14" s="5" t="s">
        <v>1330</v>
      </c>
      <c r="BO14" s="5">
        <v>5</v>
      </c>
    </row>
    <row r="15" spans="1:67">
      <c r="A15" s="5" t="s">
        <v>1497</v>
      </c>
      <c r="B15" s="5" t="s">
        <v>1307</v>
      </c>
      <c r="C15" s="5" t="s">
        <v>486</v>
      </c>
      <c r="D15" s="5" t="s">
        <v>1498</v>
      </c>
      <c r="E15" s="5" t="s">
        <v>1499</v>
      </c>
      <c r="F15" s="5" t="s">
        <v>1500</v>
      </c>
      <c r="G15" s="5" t="s">
        <v>1500</v>
      </c>
      <c r="H15" s="5" t="s">
        <v>1501</v>
      </c>
      <c r="I15" s="5">
        <v>7467</v>
      </c>
      <c r="J15" s="5">
        <v>52000</v>
      </c>
      <c r="K15" s="5" t="s">
        <v>1312</v>
      </c>
      <c r="L15" s="5" t="s">
        <v>1312</v>
      </c>
      <c r="M15" s="5">
        <v>0</v>
      </c>
      <c r="N15" s="5">
        <v>0</v>
      </c>
      <c r="O15" s="5" t="s">
        <v>1313</v>
      </c>
      <c r="P15" s="5" t="s">
        <v>1356</v>
      </c>
      <c r="Q15" s="5" t="s">
        <v>1502</v>
      </c>
      <c r="R15" s="5" t="s">
        <v>1503</v>
      </c>
      <c r="S15" s="5" t="s">
        <v>1504</v>
      </c>
      <c r="T15" s="5">
        <v>7</v>
      </c>
      <c r="U15" s="5" t="s">
        <v>1312</v>
      </c>
      <c r="V15" s="5" t="s">
        <v>1312</v>
      </c>
      <c r="W15" s="5">
        <v>90</v>
      </c>
      <c r="X15" s="5" t="s">
        <v>1318</v>
      </c>
      <c r="Y15" s="5" t="s">
        <v>1312</v>
      </c>
      <c r="Z15" s="5" t="s">
        <v>1312</v>
      </c>
      <c r="AA15" s="5" t="s">
        <v>1312</v>
      </c>
      <c r="AB15" s="5" t="s">
        <v>1312</v>
      </c>
      <c r="AC15" s="5" t="s">
        <v>1312</v>
      </c>
      <c r="AD15" s="5" t="s">
        <v>1505</v>
      </c>
      <c r="AE15" s="5" t="s">
        <v>1506</v>
      </c>
      <c r="AF15" s="5" t="s">
        <v>1507</v>
      </c>
      <c r="AG15" s="5" t="s">
        <v>1507</v>
      </c>
      <c r="AH15" s="5" t="s">
        <v>1322</v>
      </c>
      <c r="AI15" s="5" t="s">
        <v>1344</v>
      </c>
      <c r="AJ15" s="5" t="s">
        <v>1508</v>
      </c>
      <c r="AK15" s="5" t="s">
        <v>1509</v>
      </c>
      <c r="AL15" s="5" t="s">
        <v>1510</v>
      </c>
      <c r="AM15" s="5" t="s">
        <v>1312</v>
      </c>
      <c r="AN15" s="5">
        <v>118000</v>
      </c>
      <c r="AO15" s="5">
        <v>24000</v>
      </c>
      <c r="AP15" s="5" t="s">
        <v>1511</v>
      </c>
      <c r="AQ15" s="5">
        <v>118000</v>
      </c>
      <c r="AR15" s="5">
        <v>158028.66</v>
      </c>
      <c r="AS15" s="5">
        <v>158028.66</v>
      </c>
      <c r="AT15" s="5">
        <v>10535.24</v>
      </c>
      <c r="AU15" s="5">
        <v>10535.24</v>
      </c>
      <c r="AV15" s="5">
        <v>22692</v>
      </c>
      <c r="AW15" s="5">
        <v>22692</v>
      </c>
      <c r="AX15" s="5" t="s">
        <v>1312</v>
      </c>
      <c r="AY15" s="5" t="s">
        <v>1312</v>
      </c>
      <c r="AZ15" s="5">
        <v>0</v>
      </c>
      <c r="BA15" s="5" t="s">
        <v>1312</v>
      </c>
      <c r="BB15" s="5" t="s">
        <v>1312</v>
      </c>
      <c r="BC15" s="5" t="s">
        <v>1312</v>
      </c>
      <c r="BD15" s="5" t="s">
        <v>1312</v>
      </c>
      <c r="BE15" s="5" t="s">
        <v>1312</v>
      </c>
      <c r="BF15" s="5" t="s">
        <v>1312</v>
      </c>
      <c r="BG15" s="5" t="s">
        <v>1312</v>
      </c>
      <c r="BH15" s="5" t="s">
        <v>1512</v>
      </c>
      <c r="BI15" s="5" t="s">
        <v>1312</v>
      </c>
      <c r="BJ15" s="5" t="s">
        <v>1425</v>
      </c>
      <c r="BK15" s="5" t="s">
        <v>1312</v>
      </c>
      <c r="BL15" s="5" t="s">
        <v>1513</v>
      </c>
      <c r="BM15" s="5">
        <v>118000</v>
      </c>
      <c r="BN15" s="5" t="s">
        <v>1330</v>
      </c>
      <c r="BO15" s="5">
        <v>5</v>
      </c>
    </row>
    <row r="16" spans="1:67">
      <c r="A16" s="5" t="s">
        <v>1514</v>
      </c>
      <c r="B16" s="5" t="s">
        <v>1307</v>
      </c>
      <c r="C16" s="5" t="s">
        <v>486</v>
      </c>
      <c r="D16" s="5" t="s">
        <v>1332</v>
      </c>
      <c r="E16" s="5" t="s">
        <v>1483</v>
      </c>
      <c r="F16" s="5" t="s">
        <v>1515</v>
      </c>
      <c r="G16" s="5" t="s">
        <v>1515</v>
      </c>
      <c r="H16" s="5" t="s">
        <v>1516</v>
      </c>
      <c r="I16" s="5">
        <v>9632.01</v>
      </c>
      <c r="J16" s="5">
        <v>15025.93</v>
      </c>
      <c r="K16" s="5" t="s">
        <v>1312</v>
      </c>
      <c r="L16" s="5" t="s">
        <v>1312</v>
      </c>
      <c r="M16" s="5">
        <v>0</v>
      </c>
      <c r="N16" s="5">
        <v>0</v>
      </c>
      <c r="O16" s="5" t="s">
        <v>1313</v>
      </c>
      <c r="P16" s="5" t="s">
        <v>1336</v>
      </c>
      <c r="Q16" s="5" t="s">
        <v>1337</v>
      </c>
      <c r="R16" s="5" t="s">
        <v>1517</v>
      </c>
      <c r="S16" s="5" t="s">
        <v>1518</v>
      </c>
      <c r="T16" s="5">
        <v>1.56</v>
      </c>
      <c r="U16" s="5" t="s">
        <v>1312</v>
      </c>
      <c r="V16" s="5" t="s">
        <v>1312</v>
      </c>
      <c r="W16" s="5">
        <v>24</v>
      </c>
      <c r="X16" s="5" t="s">
        <v>1318</v>
      </c>
      <c r="Y16" s="5" t="s">
        <v>1312</v>
      </c>
      <c r="Z16" s="5" t="s">
        <v>1312</v>
      </c>
      <c r="AA16" s="5" t="s">
        <v>1312</v>
      </c>
      <c r="AB16" s="5" t="s">
        <v>1312</v>
      </c>
      <c r="AC16" s="5" t="s">
        <v>1312</v>
      </c>
      <c r="AD16" s="5" t="s">
        <v>1519</v>
      </c>
      <c r="AE16" s="5" t="s">
        <v>1520</v>
      </c>
      <c r="AF16" s="5" t="s">
        <v>1521</v>
      </c>
      <c r="AG16" s="5" t="s">
        <v>1521</v>
      </c>
      <c r="AH16" s="5" t="s">
        <v>1322</v>
      </c>
      <c r="AI16" s="5" t="s">
        <v>1522</v>
      </c>
      <c r="AJ16" s="5" t="s">
        <v>1523</v>
      </c>
      <c r="AK16" s="5" t="s">
        <v>1493</v>
      </c>
      <c r="AL16" s="5" t="s">
        <v>1347</v>
      </c>
      <c r="AM16" s="5" t="s">
        <v>1348</v>
      </c>
      <c r="AN16" s="5">
        <v>13700</v>
      </c>
      <c r="AO16" s="5">
        <v>3000</v>
      </c>
      <c r="AP16" s="5" t="s">
        <v>1524</v>
      </c>
      <c r="AQ16" s="5">
        <v>13700</v>
      </c>
      <c r="AR16" s="5">
        <v>14223.4</v>
      </c>
      <c r="AS16" s="5">
        <v>14223.4</v>
      </c>
      <c r="AT16" s="5">
        <v>948.23</v>
      </c>
      <c r="AU16" s="5">
        <v>948.23</v>
      </c>
      <c r="AV16" s="5">
        <v>9118</v>
      </c>
      <c r="AW16" s="5">
        <v>9118</v>
      </c>
      <c r="AX16" s="5" t="s">
        <v>1312</v>
      </c>
      <c r="AY16" s="5" t="s">
        <v>1312</v>
      </c>
      <c r="AZ16" s="5">
        <v>0</v>
      </c>
      <c r="BA16" s="5" t="s">
        <v>1312</v>
      </c>
      <c r="BB16" s="5" t="s">
        <v>1312</v>
      </c>
      <c r="BC16" s="5" t="s">
        <v>1312</v>
      </c>
      <c r="BD16" s="5" t="s">
        <v>1312</v>
      </c>
      <c r="BE16" s="5" t="s">
        <v>1312</v>
      </c>
      <c r="BF16" s="5" t="s">
        <v>1312</v>
      </c>
      <c r="BG16" s="5" t="s">
        <v>1312</v>
      </c>
      <c r="BH16" s="5" t="s">
        <v>1495</v>
      </c>
      <c r="BI16" s="5" t="s">
        <v>1312</v>
      </c>
      <c r="BJ16" s="5" t="s">
        <v>1425</v>
      </c>
      <c r="BK16" s="5" t="s">
        <v>1312</v>
      </c>
      <c r="BL16" s="5" t="s">
        <v>1525</v>
      </c>
      <c r="BM16" s="5">
        <v>13700</v>
      </c>
      <c r="BN16" s="5" t="s">
        <v>1330</v>
      </c>
      <c r="BO16" s="5">
        <v>5</v>
      </c>
    </row>
    <row r="17" spans="1:67">
      <c r="A17" s="5" t="s">
        <v>1526</v>
      </c>
      <c r="B17" s="5" t="s">
        <v>1307</v>
      </c>
      <c r="C17" s="5" t="s">
        <v>486</v>
      </c>
      <c r="D17" s="5" t="s">
        <v>1332</v>
      </c>
      <c r="E17" s="5" t="s">
        <v>1527</v>
      </c>
      <c r="F17" s="5" t="s">
        <v>1528</v>
      </c>
      <c r="G17" s="5" t="s">
        <v>1528</v>
      </c>
      <c r="H17" s="5" t="s">
        <v>1529</v>
      </c>
      <c r="I17" s="5">
        <v>15459.22</v>
      </c>
      <c r="J17" s="5">
        <v>52599.12</v>
      </c>
      <c r="K17" s="5" t="s">
        <v>1312</v>
      </c>
      <c r="L17" s="5" t="s">
        <v>1312</v>
      </c>
      <c r="M17" s="5">
        <v>0</v>
      </c>
      <c r="N17" s="5">
        <v>0</v>
      </c>
      <c r="O17" s="5" t="s">
        <v>1313</v>
      </c>
      <c r="P17" s="5" t="s">
        <v>1469</v>
      </c>
      <c r="Q17" s="5" t="s">
        <v>1337</v>
      </c>
      <c r="R17" s="5" t="s">
        <v>1530</v>
      </c>
      <c r="S17" s="5" t="s">
        <v>1531</v>
      </c>
      <c r="T17" s="5">
        <v>3.82</v>
      </c>
      <c r="U17" s="5" t="s">
        <v>1312</v>
      </c>
      <c r="V17" s="5" t="s">
        <v>1312</v>
      </c>
      <c r="W17" s="5" t="s">
        <v>1532</v>
      </c>
      <c r="X17" s="5" t="s">
        <v>1318</v>
      </c>
      <c r="Y17" s="5" t="s">
        <v>1312</v>
      </c>
      <c r="Z17" s="5" t="s">
        <v>1312</v>
      </c>
      <c r="AA17" s="5" t="s">
        <v>1312</v>
      </c>
      <c r="AB17" s="5" t="s">
        <v>1312</v>
      </c>
      <c r="AC17" s="5" t="s">
        <v>1312</v>
      </c>
      <c r="AD17" s="5" t="s">
        <v>1533</v>
      </c>
      <c r="AE17" s="5" t="s">
        <v>1534</v>
      </c>
      <c r="AF17" s="5" t="s">
        <v>1535</v>
      </c>
      <c r="AG17" s="5" t="s">
        <v>1535</v>
      </c>
      <c r="AH17" s="5" t="s">
        <v>1322</v>
      </c>
      <c r="AI17" s="5" t="s">
        <v>1522</v>
      </c>
      <c r="AJ17" s="5" t="s">
        <v>1523</v>
      </c>
      <c r="AK17" s="5" t="s">
        <v>1493</v>
      </c>
      <c r="AL17" s="5" t="s">
        <v>1347</v>
      </c>
      <c r="AM17" s="5" t="s">
        <v>1348</v>
      </c>
      <c r="AN17" s="5">
        <v>53100</v>
      </c>
      <c r="AO17" s="5">
        <v>11000</v>
      </c>
      <c r="AP17" s="5" t="s">
        <v>1312</v>
      </c>
      <c r="AQ17" s="5">
        <v>53100</v>
      </c>
      <c r="AR17" s="5">
        <v>34348.43</v>
      </c>
      <c r="AS17" s="5">
        <v>34348.43</v>
      </c>
      <c r="AT17" s="5">
        <v>2289.9</v>
      </c>
      <c r="AU17" s="5">
        <v>2289.9</v>
      </c>
      <c r="AV17" s="5">
        <v>10095</v>
      </c>
      <c r="AW17" s="5">
        <v>10095</v>
      </c>
      <c r="AX17" s="5" t="s">
        <v>1312</v>
      </c>
      <c r="AY17" s="5" t="s">
        <v>1312</v>
      </c>
      <c r="AZ17" s="5">
        <v>0</v>
      </c>
      <c r="BA17" s="5" t="s">
        <v>1312</v>
      </c>
      <c r="BB17" s="5" t="s">
        <v>1312</v>
      </c>
      <c r="BC17" s="5" t="s">
        <v>1312</v>
      </c>
      <c r="BD17" s="5" t="s">
        <v>1312</v>
      </c>
      <c r="BE17" s="5" t="s">
        <v>1312</v>
      </c>
      <c r="BF17" s="5" t="s">
        <v>1312</v>
      </c>
      <c r="BG17" s="5" t="s">
        <v>1312</v>
      </c>
      <c r="BH17" s="5" t="s">
        <v>1495</v>
      </c>
      <c r="BI17" s="5" t="s">
        <v>1312</v>
      </c>
      <c r="BJ17" s="5" t="s">
        <v>1425</v>
      </c>
      <c r="BK17" s="5" t="s">
        <v>1312</v>
      </c>
      <c r="BL17" s="5" t="s">
        <v>1536</v>
      </c>
      <c r="BM17" s="5">
        <v>53100</v>
      </c>
      <c r="BN17" s="5" t="s">
        <v>1330</v>
      </c>
      <c r="BO17" s="5">
        <v>5</v>
      </c>
    </row>
    <row r="18" spans="1:67">
      <c r="A18" s="5" t="s">
        <v>1537</v>
      </c>
      <c r="B18" s="5" t="s">
        <v>1307</v>
      </c>
      <c r="C18" s="5" t="s">
        <v>486</v>
      </c>
      <c r="D18" s="5" t="s">
        <v>1498</v>
      </c>
      <c r="E18" s="5" t="s">
        <v>1499</v>
      </c>
      <c r="F18" s="5" t="s">
        <v>1538</v>
      </c>
      <c r="G18" s="5" t="s">
        <v>1538</v>
      </c>
      <c r="H18" s="5" t="s">
        <v>1501</v>
      </c>
      <c r="I18" s="5">
        <v>67829.210000000006</v>
      </c>
      <c r="J18" s="5">
        <v>298100</v>
      </c>
      <c r="K18" s="5" t="s">
        <v>1312</v>
      </c>
      <c r="L18" s="5" t="s">
        <v>1312</v>
      </c>
      <c r="M18" s="5">
        <v>0</v>
      </c>
      <c r="N18" s="5">
        <v>0</v>
      </c>
      <c r="O18" s="5" t="s">
        <v>1313</v>
      </c>
      <c r="P18" s="5" t="s">
        <v>1539</v>
      </c>
      <c r="Q18" s="5" t="s">
        <v>1540</v>
      </c>
      <c r="R18" s="5" t="s">
        <v>1541</v>
      </c>
      <c r="S18" s="5" t="s">
        <v>1542</v>
      </c>
      <c r="T18" s="5">
        <v>4.4000000000000004</v>
      </c>
      <c r="U18" s="5" t="s">
        <v>1312</v>
      </c>
      <c r="V18" s="5" t="s">
        <v>1312</v>
      </c>
      <c r="W18" s="5" t="s">
        <v>1312</v>
      </c>
      <c r="X18" s="5" t="s">
        <v>1318</v>
      </c>
      <c r="Y18" s="5" t="s">
        <v>1312</v>
      </c>
      <c r="Z18" s="5" t="s">
        <v>1312</v>
      </c>
      <c r="AA18" s="5" t="s">
        <v>1312</v>
      </c>
      <c r="AB18" s="5" t="s">
        <v>1312</v>
      </c>
      <c r="AC18" s="5" t="s">
        <v>1312</v>
      </c>
      <c r="AD18" s="5" t="s">
        <v>1543</v>
      </c>
      <c r="AE18" s="5" t="s">
        <v>1544</v>
      </c>
      <c r="AF18" s="5" t="s">
        <v>1545</v>
      </c>
      <c r="AG18" s="5" t="s">
        <v>1545</v>
      </c>
      <c r="AH18" s="5" t="s">
        <v>1322</v>
      </c>
      <c r="AI18" s="5" t="s">
        <v>1522</v>
      </c>
      <c r="AJ18" s="5" t="s">
        <v>1546</v>
      </c>
      <c r="AK18" s="5" t="s">
        <v>1547</v>
      </c>
      <c r="AL18" s="5" t="s">
        <v>1548</v>
      </c>
      <c r="AM18" s="5" t="s">
        <v>1549</v>
      </c>
      <c r="AN18" s="5">
        <v>680000</v>
      </c>
      <c r="AO18" s="5">
        <v>136000</v>
      </c>
      <c r="AP18" s="5" t="s">
        <v>1550</v>
      </c>
      <c r="AQ18" s="5">
        <v>680000</v>
      </c>
      <c r="AR18" s="5">
        <v>100251.8</v>
      </c>
      <c r="AS18" s="5">
        <v>100251.8</v>
      </c>
      <c r="AT18" s="5">
        <v>6683.45</v>
      </c>
      <c r="AU18" s="5">
        <v>6683.45</v>
      </c>
      <c r="AV18" s="5">
        <v>22811</v>
      </c>
      <c r="AW18" s="5">
        <v>22811</v>
      </c>
      <c r="AX18" s="5" t="s">
        <v>1312</v>
      </c>
      <c r="AY18" s="5" t="s">
        <v>1312</v>
      </c>
      <c r="AZ18" s="5">
        <v>0</v>
      </c>
      <c r="BA18" s="5" t="s">
        <v>1312</v>
      </c>
      <c r="BB18" s="5" t="s">
        <v>1312</v>
      </c>
      <c r="BC18" s="5" t="s">
        <v>1312</v>
      </c>
      <c r="BD18" s="5" t="s">
        <v>1312</v>
      </c>
      <c r="BE18" s="5" t="s">
        <v>1312</v>
      </c>
      <c r="BF18" s="5" t="s">
        <v>1312</v>
      </c>
      <c r="BG18" s="5" t="s">
        <v>1312</v>
      </c>
      <c r="BH18" s="5" t="s">
        <v>1512</v>
      </c>
      <c r="BI18" s="5" t="s">
        <v>1551</v>
      </c>
      <c r="BJ18" s="5" t="s">
        <v>1425</v>
      </c>
      <c r="BK18" s="5" t="s">
        <v>1312</v>
      </c>
      <c r="BL18" s="5" t="s">
        <v>1552</v>
      </c>
      <c r="BM18" s="5">
        <v>680000</v>
      </c>
      <c r="BN18" s="5" t="s">
        <v>1330</v>
      </c>
      <c r="BO18" s="5">
        <v>5</v>
      </c>
    </row>
    <row r="19" spans="1:67">
      <c r="A19" s="5" t="s">
        <v>1553</v>
      </c>
      <c r="B19" s="5" t="s">
        <v>1307</v>
      </c>
      <c r="C19" s="5" t="s">
        <v>486</v>
      </c>
      <c r="D19" s="5" t="s">
        <v>1554</v>
      </c>
      <c r="E19" s="5" t="s">
        <v>1555</v>
      </c>
      <c r="F19" s="5" t="s">
        <v>1556</v>
      </c>
      <c r="G19" s="5" t="s">
        <v>1556</v>
      </c>
      <c r="H19" s="5" t="s">
        <v>1557</v>
      </c>
      <c r="I19" s="5">
        <v>101190.07</v>
      </c>
      <c r="J19" s="5">
        <v>198291</v>
      </c>
      <c r="K19" s="5" t="s">
        <v>1312</v>
      </c>
      <c r="L19" s="5" t="s">
        <v>1312</v>
      </c>
      <c r="M19" s="5">
        <v>0</v>
      </c>
      <c r="N19" s="5">
        <v>0</v>
      </c>
      <c r="O19" s="5" t="s">
        <v>1313</v>
      </c>
      <c r="P19" s="5" t="s">
        <v>1336</v>
      </c>
      <c r="Q19" s="5" t="s">
        <v>1337</v>
      </c>
      <c r="R19" s="5" t="s">
        <v>1541</v>
      </c>
      <c r="S19" s="5" t="s">
        <v>1558</v>
      </c>
      <c r="T19" s="5">
        <v>2.5</v>
      </c>
      <c r="U19" s="5" t="s">
        <v>1312</v>
      </c>
      <c r="V19" s="5">
        <v>0.4</v>
      </c>
      <c r="W19" s="5" t="s">
        <v>1559</v>
      </c>
      <c r="X19" s="5" t="s">
        <v>1318</v>
      </c>
      <c r="Y19" s="5" t="s">
        <v>1312</v>
      </c>
      <c r="Z19" s="5" t="s">
        <v>1312</v>
      </c>
      <c r="AA19" s="5" t="s">
        <v>1312</v>
      </c>
      <c r="AB19" s="5" t="s">
        <v>1312</v>
      </c>
      <c r="AC19" s="5" t="s">
        <v>1312</v>
      </c>
      <c r="AD19" s="5" t="s">
        <v>1560</v>
      </c>
      <c r="AE19" s="5" t="s">
        <v>1561</v>
      </c>
      <c r="AF19" s="5" t="s">
        <v>1562</v>
      </c>
      <c r="AG19" s="5" t="s">
        <v>1562</v>
      </c>
      <c r="AH19" s="5" t="s">
        <v>1322</v>
      </c>
      <c r="AI19" s="5" t="s">
        <v>1522</v>
      </c>
      <c r="AJ19" s="5" t="s">
        <v>1563</v>
      </c>
      <c r="AK19" s="5" t="s">
        <v>1564</v>
      </c>
      <c r="AL19" s="5" t="s">
        <v>1347</v>
      </c>
      <c r="AM19" s="5" t="s">
        <v>1312</v>
      </c>
      <c r="AN19" s="5">
        <v>100000</v>
      </c>
      <c r="AO19" s="5">
        <v>20000</v>
      </c>
      <c r="AP19" s="5" t="s">
        <v>1312</v>
      </c>
      <c r="AQ19" s="5">
        <v>100000</v>
      </c>
      <c r="AR19" s="5">
        <v>9882.39</v>
      </c>
      <c r="AS19" s="5">
        <v>9882.39</v>
      </c>
      <c r="AT19" s="5">
        <v>658.83</v>
      </c>
      <c r="AU19" s="5">
        <v>658.83</v>
      </c>
      <c r="AV19" s="5">
        <v>5043</v>
      </c>
      <c r="AW19" s="5">
        <v>5043</v>
      </c>
      <c r="AX19" s="5" t="s">
        <v>1312</v>
      </c>
      <c r="AY19" s="5" t="s">
        <v>1312</v>
      </c>
      <c r="AZ19" s="5">
        <v>0</v>
      </c>
      <c r="BA19" s="5" t="s">
        <v>1312</v>
      </c>
      <c r="BB19" s="5" t="s">
        <v>1312</v>
      </c>
      <c r="BC19" s="5" t="s">
        <v>1312</v>
      </c>
      <c r="BD19" s="5" t="s">
        <v>1312</v>
      </c>
      <c r="BE19" s="5" t="s">
        <v>1312</v>
      </c>
      <c r="BF19" s="5" t="s">
        <v>1312</v>
      </c>
      <c r="BG19" s="5" t="s">
        <v>1312</v>
      </c>
      <c r="BH19" s="5" t="s">
        <v>1565</v>
      </c>
      <c r="BI19" s="5" t="s">
        <v>1312</v>
      </c>
      <c r="BJ19" s="5" t="s">
        <v>1425</v>
      </c>
      <c r="BK19" s="5" t="s">
        <v>1312</v>
      </c>
      <c r="BL19" s="5" t="s">
        <v>1566</v>
      </c>
      <c r="BM19" s="5">
        <v>100000</v>
      </c>
      <c r="BN19" s="5" t="s">
        <v>1330</v>
      </c>
      <c r="BO19" s="5">
        <v>2</v>
      </c>
    </row>
    <row r="20" spans="1:67">
      <c r="A20" s="5" t="s">
        <v>1567</v>
      </c>
      <c r="B20" s="5" t="s">
        <v>1307</v>
      </c>
      <c r="C20" s="5" t="s">
        <v>486</v>
      </c>
      <c r="D20" s="5" t="s">
        <v>1332</v>
      </c>
      <c r="E20" s="5" t="s">
        <v>1568</v>
      </c>
      <c r="F20" s="5" t="s">
        <v>1569</v>
      </c>
      <c r="G20" s="5" t="s">
        <v>1569</v>
      </c>
      <c r="H20" s="5" t="s">
        <v>1570</v>
      </c>
      <c r="I20" s="5">
        <v>5500.65</v>
      </c>
      <c r="J20" s="5">
        <v>15401.81</v>
      </c>
      <c r="K20" s="5" t="s">
        <v>1312</v>
      </c>
      <c r="L20" s="5" t="s">
        <v>1312</v>
      </c>
      <c r="M20" s="5">
        <v>0</v>
      </c>
      <c r="N20" s="5">
        <v>0</v>
      </c>
      <c r="O20" s="5" t="s">
        <v>1313</v>
      </c>
      <c r="P20" s="5" t="s">
        <v>1356</v>
      </c>
      <c r="Q20" s="5" t="s">
        <v>1502</v>
      </c>
      <c r="R20" s="5" t="s">
        <v>1571</v>
      </c>
      <c r="S20" s="5" t="s">
        <v>1572</v>
      </c>
      <c r="T20" s="5">
        <v>2.8</v>
      </c>
      <c r="U20" s="5" t="s">
        <v>1312</v>
      </c>
      <c r="V20" s="5" t="s">
        <v>1312</v>
      </c>
      <c r="W20" s="5">
        <v>60</v>
      </c>
      <c r="X20" s="5" t="s">
        <v>1318</v>
      </c>
      <c r="Y20" s="5" t="s">
        <v>1312</v>
      </c>
      <c r="Z20" s="5" t="s">
        <v>1312</v>
      </c>
      <c r="AA20" s="5" t="s">
        <v>1312</v>
      </c>
      <c r="AB20" s="5" t="s">
        <v>1312</v>
      </c>
      <c r="AC20" s="5" t="s">
        <v>1312</v>
      </c>
      <c r="AD20" s="5" t="s">
        <v>1573</v>
      </c>
      <c r="AE20" s="5" t="s">
        <v>1574</v>
      </c>
      <c r="AF20" s="5" t="s">
        <v>1575</v>
      </c>
      <c r="AG20" s="5" t="s">
        <v>1575</v>
      </c>
      <c r="AH20" s="5" t="s">
        <v>1322</v>
      </c>
      <c r="AI20" s="5" t="s">
        <v>1522</v>
      </c>
      <c r="AJ20" s="5" t="s">
        <v>1576</v>
      </c>
      <c r="AK20" s="5" t="s">
        <v>1577</v>
      </c>
      <c r="AL20" s="5" t="s">
        <v>1399</v>
      </c>
      <c r="AM20" s="5" t="s">
        <v>1312</v>
      </c>
      <c r="AN20" s="5">
        <v>17000</v>
      </c>
      <c r="AO20" s="5">
        <v>4000</v>
      </c>
      <c r="AP20" s="5" t="s">
        <v>1312</v>
      </c>
      <c r="AQ20" s="5">
        <v>17000</v>
      </c>
      <c r="AR20" s="5">
        <v>30905.43</v>
      </c>
      <c r="AS20" s="5">
        <v>30905.43</v>
      </c>
      <c r="AT20" s="5">
        <v>2060.36</v>
      </c>
      <c r="AU20" s="5">
        <v>2060.36</v>
      </c>
      <c r="AV20" s="5">
        <v>11038</v>
      </c>
      <c r="AW20" s="5">
        <v>11038</v>
      </c>
      <c r="AX20" s="5" t="s">
        <v>1312</v>
      </c>
      <c r="AY20" s="5" t="s">
        <v>1312</v>
      </c>
      <c r="AZ20" s="5">
        <v>0</v>
      </c>
      <c r="BA20" s="5" t="s">
        <v>1312</v>
      </c>
      <c r="BB20" s="5" t="s">
        <v>1312</v>
      </c>
      <c r="BC20" s="5" t="s">
        <v>1312</v>
      </c>
      <c r="BD20" s="5" t="s">
        <v>1312</v>
      </c>
      <c r="BE20" s="5" t="s">
        <v>1312</v>
      </c>
      <c r="BF20" s="5" t="s">
        <v>1312</v>
      </c>
      <c r="BG20" s="5" t="s">
        <v>1312</v>
      </c>
      <c r="BH20" s="5" t="s">
        <v>1328</v>
      </c>
      <c r="BI20" s="5" t="s">
        <v>1312</v>
      </c>
      <c r="BJ20" s="5" t="s">
        <v>1425</v>
      </c>
      <c r="BK20" s="5" t="s">
        <v>1312</v>
      </c>
      <c r="BL20" s="5" t="s">
        <v>1578</v>
      </c>
      <c r="BM20" s="5">
        <v>17000</v>
      </c>
      <c r="BN20" s="5" t="s">
        <v>1330</v>
      </c>
      <c r="BO20" s="5">
        <v>5</v>
      </c>
    </row>
    <row r="21" spans="1:67">
      <c r="A21" s="5" t="s">
        <v>1579</v>
      </c>
      <c r="B21" s="5" t="s">
        <v>1307</v>
      </c>
      <c r="C21" s="5" t="s">
        <v>486</v>
      </c>
      <c r="D21" s="5" t="s">
        <v>1308</v>
      </c>
      <c r="E21" s="5" t="s">
        <v>1580</v>
      </c>
      <c r="F21" s="5" t="s">
        <v>1581</v>
      </c>
      <c r="G21" s="5" t="s">
        <v>1581</v>
      </c>
      <c r="H21" s="5" t="s">
        <v>1582</v>
      </c>
      <c r="I21" s="5">
        <v>82500</v>
      </c>
      <c r="J21" s="5">
        <v>165000</v>
      </c>
      <c r="K21" s="5" t="s">
        <v>1312</v>
      </c>
      <c r="L21" s="5" t="s">
        <v>1312</v>
      </c>
      <c r="M21" s="5">
        <v>0</v>
      </c>
      <c r="N21" s="5">
        <v>0</v>
      </c>
      <c r="O21" s="5" t="s">
        <v>1313</v>
      </c>
      <c r="P21" s="5" t="s">
        <v>1417</v>
      </c>
      <c r="Q21" s="5" t="s">
        <v>1337</v>
      </c>
      <c r="R21" s="5" t="s">
        <v>1418</v>
      </c>
      <c r="S21" s="5" t="s">
        <v>1317</v>
      </c>
      <c r="T21" s="5">
        <v>2</v>
      </c>
      <c r="U21" s="5" t="s">
        <v>1312</v>
      </c>
      <c r="V21" s="5" t="s">
        <v>1312</v>
      </c>
      <c r="W21" s="5" t="s">
        <v>1312</v>
      </c>
      <c r="X21" s="5" t="s">
        <v>1318</v>
      </c>
      <c r="Y21" s="5" t="s">
        <v>1312</v>
      </c>
      <c r="Z21" s="5" t="s">
        <v>1312</v>
      </c>
      <c r="AA21" s="5" t="s">
        <v>1312</v>
      </c>
      <c r="AB21" s="5" t="s">
        <v>1312</v>
      </c>
      <c r="AC21" s="5" t="s">
        <v>1312</v>
      </c>
      <c r="AD21" s="5" t="s">
        <v>1583</v>
      </c>
      <c r="AE21" s="5" t="s">
        <v>1584</v>
      </c>
      <c r="AF21" s="5" t="s">
        <v>1585</v>
      </c>
      <c r="AG21" s="5" t="s">
        <v>1585</v>
      </c>
      <c r="AH21" s="5" t="s">
        <v>1322</v>
      </c>
      <c r="AI21" s="5" t="s">
        <v>1522</v>
      </c>
      <c r="AJ21" s="5" t="s">
        <v>1586</v>
      </c>
      <c r="AK21" s="5" t="s">
        <v>1587</v>
      </c>
      <c r="AL21" s="5" t="s">
        <v>1588</v>
      </c>
      <c r="AM21" s="5" t="s">
        <v>1312</v>
      </c>
      <c r="AN21" s="5">
        <v>260700</v>
      </c>
      <c r="AO21" s="5">
        <v>78000</v>
      </c>
      <c r="AP21" s="5" t="s">
        <v>1312</v>
      </c>
      <c r="AQ21" s="5">
        <v>260700</v>
      </c>
      <c r="AR21" s="5">
        <v>31600</v>
      </c>
      <c r="AS21" s="5">
        <v>31600</v>
      </c>
      <c r="AT21" s="5">
        <v>2106.67</v>
      </c>
      <c r="AU21" s="5">
        <v>2106.67</v>
      </c>
      <c r="AV21" s="5">
        <v>15800</v>
      </c>
      <c r="AW21" s="5">
        <v>15800</v>
      </c>
      <c r="AX21" s="5" t="s">
        <v>1312</v>
      </c>
      <c r="AY21" s="5" t="s">
        <v>1312</v>
      </c>
      <c r="AZ21" s="5">
        <v>0</v>
      </c>
      <c r="BA21" s="5" t="s">
        <v>1312</v>
      </c>
      <c r="BB21" s="5" t="s">
        <v>1312</v>
      </c>
      <c r="BC21" s="5" t="s">
        <v>1312</v>
      </c>
      <c r="BD21" s="5" t="s">
        <v>1312</v>
      </c>
      <c r="BE21" s="5" t="s">
        <v>1312</v>
      </c>
      <c r="BF21" s="5" t="s">
        <v>1312</v>
      </c>
      <c r="BG21" s="5" t="s">
        <v>1312</v>
      </c>
      <c r="BH21" s="5" t="s">
        <v>1328</v>
      </c>
      <c r="BI21" s="5" t="s">
        <v>1312</v>
      </c>
      <c r="BJ21" s="5" t="s">
        <v>1425</v>
      </c>
      <c r="BK21" s="5" t="s">
        <v>1312</v>
      </c>
      <c r="BL21" s="5" t="s">
        <v>1312</v>
      </c>
      <c r="BM21" s="5" t="s">
        <v>1312</v>
      </c>
      <c r="BN21" s="5" t="s">
        <v>1330</v>
      </c>
      <c r="BO21" s="5">
        <v>4</v>
      </c>
    </row>
    <row r="22" spans="1:67">
      <c r="A22" s="5" t="s">
        <v>1589</v>
      </c>
      <c r="B22" s="5" t="s">
        <v>1307</v>
      </c>
      <c r="C22" s="5" t="s">
        <v>486</v>
      </c>
      <c r="D22" s="5" t="s">
        <v>1308</v>
      </c>
      <c r="E22" s="5" t="s">
        <v>1414</v>
      </c>
      <c r="F22" s="5" t="s">
        <v>1590</v>
      </c>
      <c r="G22" s="5" t="s">
        <v>1590</v>
      </c>
      <c r="H22" s="5" t="s">
        <v>1454</v>
      </c>
      <c r="I22" s="5">
        <v>4800</v>
      </c>
      <c r="J22" s="5">
        <v>1920</v>
      </c>
      <c r="K22" s="5" t="s">
        <v>1312</v>
      </c>
      <c r="L22" s="5" t="s">
        <v>1312</v>
      </c>
      <c r="M22" s="5">
        <v>0</v>
      </c>
      <c r="N22" s="5">
        <v>0</v>
      </c>
      <c r="O22" s="5" t="s">
        <v>1313</v>
      </c>
      <c r="P22" s="5" t="s">
        <v>1591</v>
      </c>
      <c r="Q22" s="5" t="s">
        <v>1592</v>
      </c>
      <c r="R22" s="5" t="s">
        <v>1593</v>
      </c>
      <c r="S22" s="5" t="s">
        <v>1594</v>
      </c>
      <c r="T22" s="5">
        <v>0.4</v>
      </c>
      <c r="U22" s="5" t="s">
        <v>1312</v>
      </c>
      <c r="V22" s="5" t="s">
        <v>1312</v>
      </c>
      <c r="W22" s="5" t="s">
        <v>1312</v>
      </c>
      <c r="X22" s="5" t="s">
        <v>1318</v>
      </c>
      <c r="Y22" s="5" t="s">
        <v>1312</v>
      </c>
      <c r="Z22" s="5" t="s">
        <v>1312</v>
      </c>
      <c r="AA22" s="5" t="s">
        <v>1312</v>
      </c>
      <c r="AB22" s="5" t="s">
        <v>1312</v>
      </c>
      <c r="AC22" s="5" t="s">
        <v>1312</v>
      </c>
      <c r="AD22" s="5" t="s">
        <v>1595</v>
      </c>
      <c r="AE22" s="5" t="s">
        <v>1596</v>
      </c>
      <c r="AF22" s="5" t="s">
        <v>1597</v>
      </c>
      <c r="AG22" s="5" t="s">
        <v>1597</v>
      </c>
      <c r="AH22" s="5" t="s">
        <v>1322</v>
      </c>
      <c r="AI22" s="5" t="s">
        <v>1522</v>
      </c>
      <c r="AJ22" s="5" t="s">
        <v>1598</v>
      </c>
      <c r="AK22" s="5" t="s">
        <v>1599</v>
      </c>
      <c r="AL22" s="5" t="s">
        <v>1399</v>
      </c>
      <c r="AM22" s="5" t="s">
        <v>1312</v>
      </c>
      <c r="AN22" s="5">
        <v>5800</v>
      </c>
      <c r="AO22" s="5">
        <v>1200</v>
      </c>
      <c r="AP22" s="5" t="s">
        <v>1600</v>
      </c>
      <c r="AQ22" s="5">
        <v>5800</v>
      </c>
      <c r="AR22" s="5">
        <v>12083.33</v>
      </c>
      <c r="AS22" s="5">
        <v>12083.33</v>
      </c>
      <c r="AT22" s="5">
        <v>805.56</v>
      </c>
      <c r="AU22" s="5">
        <v>805.56</v>
      </c>
      <c r="AV22" s="5">
        <v>30208</v>
      </c>
      <c r="AW22" s="5">
        <v>30208</v>
      </c>
      <c r="AX22" s="5" t="s">
        <v>1312</v>
      </c>
      <c r="AY22" s="5" t="s">
        <v>1312</v>
      </c>
      <c r="AZ22" s="5">
        <v>0</v>
      </c>
      <c r="BA22" s="5" t="s">
        <v>1312</v>
      </c>
      <c r="BB22" s="5" t="s">
        <v>1312</v>
      </c>
      <c r="BC22" s="5" t="s">
        <v>1312</v>
      </c>
      <c r="BD22" s="5" t="s">
        <v>1312</v>
      </c>
      <c r="BE22" s="5" t="s">
        <v>1312</v>
      </c>
      <c r="BF22" s="5" t="s">
        <v>1312</v>
      </c>
      <c r="BG22" s="5" t="s">
        <v>1312</v>
      </c>
      <c r="BH22" s="5" t="s">
        <v>1424</v>
      </c>
      <c r="BI22" s="5" t="s">
        <v>1312</v>
      </c>
      <c r="BJ22" s="5" t="s">
        <v>1425</v>
      </c>
      <c r="BK22" s="5" t="s">
        <v>1312</v>
      </c>
      <c r="BL22" s="5" t="s">
        <v>1601</v>
      </c>
      <c r="BM22" s="5">
        <v>5800</v>
      </c>
      <c r="BN22" s="5" t="s">
        <v>1330</v>
      </c>
      <c r="BO22" s="5">
        <v>2</v>
      </c>
    </row>
    <row r="23" spans="1:67">
      <c r="A23" s="5" t="s">
        <v>1602</v>
      </c>
      <c r="B23" s="5" t="s">
        <v>1307</v>
      </c>
      <c r="C23" s="5" t="s">
        <v>486</v>
      </c>
      <c r="D23" s="5" t="s">
        <v>1498</v>
      </c>
      <c r="E23" s="5" t="s">
        <v>1499</v>
      </c>
      <c r="F23" s="5" t="s">
        <v>1603</v>
      </c>
      <c r="G23" s="5" t="s">
        <v>1603</v>
      </c>
      <c r="H23" s="5" t="s">
        <v>1501</v>
      </c>
      <c r="I23" s="5">
        <v>12629.88</v>
      </c>
      <c r="J23" s="5">
        <v>80000</v>
      </c>
      <c r="K23" s="5" t="s">
        <v>1312</v>
      </c>
      <c r="L23" s="5" t="s">
        <v>1312</v>
      </c>
      <c r="M23" s="5">
        <v>0</v>
      </c>
      <c r="N23" s="5">
        <v>0</v>
      </c>
      <c r="O23" s="5" t="s">
        <v>1313</v>
      </c>
      <c r="P23" s="5" t="s">
        <v>1356</v>
      </c>
      <c r="Q23" s="5" t="s">
        <v>1357</v>
      </c>
      <c r="R23" s="5" t="s">
        <v>1541</v>
      </c>
      <c r="S23" s="5" t="s">
        <v>1604</v>
      </c>
      <c r="T23" s="5">
        <v>6.33</v>
      </c>
      <c r="U23" s="5" t="s">
        <v>1312</v>
      </c>
      <c r="V23" s="5">
        <v>0.4</v>
      </c>
      <c r="W23" s="5" t="s">
        <v>1312</v>
      </c>
      <c r="X23" s="5" t="s">
        <v>1318</v>
      </c>
      <c r="Y23" s="5" t="s">
        <v>1312</v>
      </c>
      <c r="Z23" s="5" t="s">
        <v>1312</v>
      </c>
      <c r="AA23" s="5" t="s">
        <v>1312</v>
      </c>
      <c r="AB23" s="5" t="s">
        <v>1312</v>
      </c>
      <c r="AC23" s="5" t="s">
        <v>1312</v>
      </c>
      <c r="AD23" s="5" t="s">
        <v>1605</v>
      </c>
      <c r="AE23" s="5" t="s">
        <v>1606</v>
      </c>
      <c r="AF23" s="5" t="s">
        <v>1607</v>
      </c>
      <c r="AG23" s="5" t="s">
        <v>1607</v>
      </c>
      <c r="AH23" s="5" t="s">
        <v>1322</v>
      </c>
      <c r="AI23" s="5" t="s">
        <v>1522</v>
      </c>
      <c r="AJ23" s="5" t="s">
        <v>1608</v>
      </c>
      <c r="AK23" s="5" t="s">
        <v>1609</v>
      </c>
      <c r="AL23" s="5" t="s">
        <v>1610</v>
      </c>
      <c r="AM23" s="5" t="s">
        <v>1611</v>
      </c>
      <c r="AN23" s="5">
        <v>166000</v>
      </c>
      <c r="AO23" s="5">
        <v>34000</v>
      </c>
      <c r="AP23" s="5" t="s">
        <v>1612</v>
      </c>
      <c r="AQ23" s="5">
        <v>166000</v>
      </c>
      <c r="AR23" s="5">
        <v>131434.34</v>
      </c>
      <c r="AS23" s="5">
        <v>131434.34</v>
      </c>
      <c r="AT23" s="5">
        <v>8762.2900000000009</v>
      </c>
      <c r="AU23" s="5">
        <v>8762.2900000000009</v>
      </c>
      <c r="AV23" s="5">
        <v>20750</v>
      </c>
      <c r="AW23" s="5">
        <v>20750</v>
      </c>
      <c r="AX23" s="5" t="s">
        <v>1312</v>
      </c>
      <c r="AY23" s="5" t="s">
        <v>1312</v>
      </c>
      <c r="AZ23" s="5">
        <v>0</v>
      </c>
      <c r="BA23" s="5" t="s">
        <v>1312</v>
      </c>
      <c r="BB23" s="5" t="s">
        <v>1312</v>
      </c>
      <c r="BC23" s="5" t="s">
        <v>1312</v>
      </c>
      <c r="BD23" s="5" t="s">
        <v>1312</v>
      </c>
      <c r="BE23" s="5" t="s">
        <v>1312</v>
      </c>
      <c r="BF23" s="5" t="s">
        <v>1312</v>
      </c>
      <c r="BG23" s="5" t="s">
        <v>1312</v>
      </c>
      <c r="BH23" s="5" t="s">
        <v>1512</v>
      </c>
      <c r="BI23" s="5" t="s">
        <v>1312</v>
      </c>
      <c r="BJ23" s="5" t="s">
        <v>1425</v>
      </c>
      <c r="BK23" s="5" t="s">
        <v>1312</v>
      </c>
      <c r="BL23" s="5" t="s">
        <v>1613</v>
      </c>
      <c r="BM23" s="5">
        <v>166000</v>
      </c>
      <c r="BN23" s="5" t="s">
        <v>1330</v>
      </c>
      <c r="BO23" s="5">
        <v>5</v>
      </c>
    </row>
    <row r="24" spans="1:67">
      <c r="A24" s="5" t="s">
        <v>1614</v>
      </c>
      <c r="B24" s="5" t="s">
        <v>1307</v>
      </c>
      <c r="C24" s="5" t="s">
        <v>486</v>
      </c>
      <c r="D24" s="5" t="s">
        <v>1332</v>
      </c>
      <c r="E24" s="5" t="s">
        <v>1615</v>
      </c>
      <c r="F24" s="5" t="s">
        <v>1616</v>
      </c>
      <c r="G24" s="5" t="s">
        <v>1616</v>
      </c>
      <c r="H24" s="5" t="s">
        <v>1617</v>
      </c>
      <c r="I24" s="5">
        <v>10000</v>
      </c>
      <c r="J24" s="5">
        <v>22000</v>
      </c>
      <c r="K24" s="5" t="s">
        <v>1312</v>
      </c>
      <c r="L24" s="5" t="s">
        <v>1312</v>
      </c>
      <c r="M24" s="5">
        <v>0</v>
      </c>
      <c r="N24" s="5">
        <v>0</v>
      </c>
      <c r="O24" s="5" t="s">
        <v>1313</v>
      </c>
      <c r="P24" s="5" t="s">
        <v>1336</v>
      </c>
      <c r="Q24" s="5" t="s">
        <v>1337</v>
      </c>
      <c r="R24" s="5" t="s">
        <v>1618</v>
      </c>
      <c r="S24" s="5" t="s">
        <v>1619</v>
      </c>
      <c r="T24" s="5">
        <v>2.2000000000000002</v>
      </c>
      <c r="U24" s="5" t="s">
        <v>1312</v>
      </c>
      <c r="V24" s="5" t="s">
        <v>1312</v>
      </c>
      <c r="W24" s="5" t="s">
        <v>1312</v>
      </c>
      <c r="X24" s="5" t="s">
        <v>1318</v>
      </c>
      <c r="Y24" s="5" t="s">
        <v>1312</v>
      </c>
      <c r="Z24" s="5" t="s">
        <v>1312</v>
      </c>
      <c r="AA24" s="5" t="s">
        <v>1312</v>
      </c>
      <c r="AB24" s="5" t="s">
        <v>1312</v>
      </c>
      <c r="AC24" s="5" t="s">
        <v>1312</v>
      </c>
      <c r="AD24" s="5" t="s">
        <v>1620</v>
      </c>
      <c r="AE24" s="5" t="s">
        <v>1621</v>
      </c>
      <c r="AF24" s="5" t="s">
        <v>1622</v>
      </c>
      <c r="AG24" s="5" t="s">
        <v>1622</v>
      </c>
      <c r="AH24" s="5" t="s">
        <v>1322</v>
      </c>
      <c r="AI24" s="5" t="s">
        <v>1522</v>
      </c>
      <c r="AJ24" s="5" t="s">
        <v>1623</v>
      </c>
      <c r="AK24" s="5" t="s">
        <v>1623</v>
      </c>
      <c r="AL24" s="5" t="s">
        <v>1347</v>
      </c>
      <c r="AM24" s="5" t="s">
        <v>1312</v>
      </c>
      <c r="AN24" s="5">
        <v>36400</v>
      </c>
      <c r="AO24" s="5">
        <v>7300</v>
      </c>
      <c r="AP24" s="5" t="s">
        <v>1624</v>
      </c>
      <c r="AQ24" s="5">
        <v>36400</v>
      </c>
      <c r="AR24" s="5">
        <v>36400</v>
      </c>
      <c r="AS24" s="5">
        <v>36400</v>
      </c>
      <c r="AT24" s="5">
        <v>2426.67</v>
      </c>
      <c r="AU24" s="5">
        <v>2426.67</v>
      </c>
      <c r="AV24" s="5">
        <v>16545</v>
      </c>
      <c r="AW24" s="5">
        <v>16545</v>
      </c>
      <c r="AX24" s="5" t="s">
        <v>1312</v>
      </c>
      <c r="AY24" s="5" t="s">
        <v>1312</v>
      </c>
      <c r="AZ24" s="5">
        <v>0</v>
      </c>
      <c r="BA24" s="5" t="s">
        <v>1312</v>
      </c>
      <c r="BB24" s="5" t="s">
        <v>1312</v>
      </c>
      <c r="BC24" s="5" t="s">
        <v>1312</v>
      </c>
      <c r="BD24" s="5" t="s">
        <v>1312</v>
      </c>
      <c r="BE24" s="5" t="s">
        <v>1312</v>
      </c>
      <c r="BF24" s="5" t="s">
        <v>1312</v>
      </c>
      <c r="BG24" s="5" t="s">
        <v>1312</v>
      </c>
      <c r="BH24" s="5" t="s">
        <v>1328</v>
      </c>
      <c r="BI24" s="5" t="s">
        <v>1312</v>
      </c>
      <c r="BJ24" s="5" t="s">
        <v>1425</v>
      </c>
      <c r="BK24" s="5" t="s">
        <v>1312</v>
      </c>
      <c r="BL24" s="5" t="s">
        <v>1625</v>
      </c>
      <c r="BM24" s="5">
        <v>36400</v>
      </c>
      <c r="BN24" s="5" t="s">
        <v>1330</v>
      </c>
      <c r="BO24" s="5">
        <v>2</v>
      </c>
    </row>
    <row r="25" spans="1:67">
      <c r="A25" s="5" t="s">
        <v>1626</v>
      </c>
      <c r="B25" s="5" t="s">
        <v>1307</v>
      </c>
      <c r="C25" s="5" t="s">
        <v>486</v>
      </c>
      <c r="D25" s="5" t="s">
        <v>1332</v>
      </c>
      <c r="E25" s="5" t="s">
        <v>1615</v>
      </c>
      <c r="F25" s="5" t="s">
        <v>1627</v>
      </c>
      <c r="G25" s="5" t="s">
        <v>1627</v>
      </c>
      <c r="H25" s="5" t="s">
        <v>1617</v>
      </c>
      <c r="I25" s="5">
        <v>5500</v>
      </c>
      <c r="J25" s="5">
        <v>12100</v>
      </c>
      <c r="K25" s="5" t="s">
        <v>1312</v>
      </c>
      <c r="L25" s="5" t="s">
        <v>1312</v>
      </c>
      <c r="M25" s="5">
        <v>0</v>
      </c>
      <c r="N25" s="5">
        <v>0</v>
      </c>
      <c r="O25" s="5" t="s">
        <v>1313</v>
      </c>
      <c r="P25" s="5" t="s">
        <v>1336</v>
      </c>
      <c r="Q25" s="5" t="s">
        <v>1337</v>
      </c>
      <c r="R25" s="5" t="s">
        <v>1618</v>
      </c>
      <c r="S25" s="5" t="s">
        <v>1619</v>
      </c>
      <c r="T25" s="5">
        <v>2.2000000000000002</v>
      </c>
      <c r="U25" s="5" t="s">
        <v>1312</v>
      </c>
      <c r="V25" s="5" t="s">
        <v>1312</v>
      </c>
      <c r="W25" s="5" t="s">
        <v>1312</v>
      </c>
      <c r="X25" s="5" t="s">
        <v>1318</v>
      </c>
      <c r="Y25" s="5" t="s">
        <v>1312</v>
      </c>
      <c r="Z25" s="5" t="s">
        <v>1312</v>
      </c>
      <c r="AA25" s="5" t="s">
        <v>1312</v>
      </c>
      <c r="AB25" s="5" t="s">
        <v>1312</v>
      </c>
      <c r="AC25" s="5" t="s">
        <v>1312</v>
      </c>
      <c r="AD25" s="5" t="s">
        <v>1620</v>
      </c>
      <c r="AE25" s="5" t="s">
        <v>1621</v>
      </c>
      <c r="AF25" s="5" t="s">
        <v>1628</v>
      </c>
      <c r="AG25" s="5" t="s">
        <v>1628</v>
      </c>
      <c r="AH25" s="5" t="s">
        <v>1322</v>
      </c>
      <c r="AI25" s="5" t="s">
        <v>1522</v>
      </c>
      <c r="AJ25" s="5" t="s">
        <v>1629</v>
      </c>
      <c r="AK25" s="5" t="s">
        <v>1312</v>
      </c>
      <c r="AL25" s="5" t="s">
        <v>1312</v>
      </c>
      <c r="AM25" s="5" t="s">
        <v>1312</v>
      </c>
      <c r="AN25" s="5">
        <v>20000</v>
      </c>
      <c r="AO25" s="5">
        <v>4000</v>
      </c>
      <c r="AP25" s="5" t="s">
        <v>1624</v>
      </c>
      <c r="AQ25" s="5">
        <v>20000</v>
      </c>
      <c r="AR25" s="5">
        <v>36363.629999999997</v>
      </c>
      <c r="AS25" s="5">
        <v>36363.629999999997</v>
      </c>
      <c r="AT25" s="5">
        <v>2424.2399999999998</v>
      </c>
      <c r="AU25" s="5">
        <v>2424.2399999999998</v>
      </c>
      <c r="AV25" s="5">
        <v>16529</v>
      </c>
      <c r="AW25" s="5">
        <v>16529</v>
      </c>
      <c r="AX25" s="5" t="s">
        <v>1312</v>
      </c>
      <c r="AY25" s="5" t="s">
        <v>1312</v>
      </c>
      <c r="AZ25" s="5">
        <v>0</v>
      </c>
      <c r="BA25" s="5" t="s">
        <v>1312</v>
      </c>
      <c r="BB25" s="5" t="s">
        <v>1312</v>
      </c>
      <c r="BC25" s="5" t="s">
        <v>1312</v>
      </c>
      <c r="BD25" s="5" t="s">
        <v>1312</v>
      </c>
      <c r="BE25" s="5" t="s">
        <v>1312</v>
      </c>
      <c r="BF25" s="5" t="s">
        <v>1312</v>
      </c>
      <c r="BG25" s="5" t="s">
        <v>1312</v>
      </c>
      <c r="BH25" s="5" t="s">
        <v>1328</v>
      </c>
      <c r="BI25" s="5" t="s">
        <v>1312</v>
      </c>
      <c r="BJ25" s="5" t="s">
        <v>1425</v>
      </c>
      <c r="BK25" s="5" t="s">
        <v>1312</v>
      </c>
      <c r="BL25" s="5" t="s">
        <v>1625</v>
      </c>
      <c r="BM25" s="5">
        <v>20000</v>
      </c>
      <c r="BN25" s="5" t="s">
        <v>1330</v>
      </c>
      <c r="BO25" s="5">
        <v>2</v>
      </c>
    </row>
    <row r="26" spans="1:67">
      <c r="A26" s="5" t="s">
        <v>1630</v>
      </c>
      <c r="B26" s="5" t="s">
        <v>1307</v>
      </c>
      <c r="C26" s="5" t="s">
        <v>486</v>
      </c>
      <c r="D26" s="5" t="s">
        <v>1332</v>
      </c>
      <c r="E26" s="5" t="s">
        <v>1438</v>
      </c>
      <c r="F26" s="5" t="s">
        <v>1631</v>
      </c>
      <c r="G26" s="5" t="s">
        <v>1631</v>
      </c>
      <c r="H26" s="5" t="s">
        <v>1632</v>
      </c>
      <c r="I26" s="5">
        <v>16122.82</v>
      </c>
      <c r="J26" s="5">
        <v>45143.91</v>
      </c>
      <c r="K26" s="5" t="s">
        <v>1312</v>
      </c>
      <c r="L26" s="5" t="s">
        <v>1312</v>
      </c>
      <c r="M26" s="5">
        <v>0</v>
      </c>
      <c r="N26" s="5">
        <v>0</v>
      </c>
      <c r="O26" s="5" t="s">
        <v>1313</v>
      </c>
      <c r="P26" s="5" t="s">
        <v>1336</v>
      </c>
      <c r="Q26" s="5" t="s">
        <v>1337</v>
      </c>
      <c r="R26" s="5" t="s">
        <v>1633</v>
      </c>
      <c r="S26" s="5" t="s">
        <v>1572</v>
      </c>
      <c r="T26" s="5">
        <v>2.8</v>
      </c>
      <c r="U26" s="5">
        <v>100</v>
      </c>
      <c r="V26" s="5" t="s">
        <v>1312</v>
      </c>
      <c r="W26" s="5" t="s">
        <v>1312</v>
      </c>
      <c r="X26" s="5" t="s">
        <v>1318</v>
      </c>
      <c r="Y26" s="5" t="s">
        <v>1312</v>
      </c>
      <c r="Z26" s="5" t="s">
        <v>1312</v>
      </c>
      <c r="AA26" s="5" t="s">
        <v>1312</v>
      </c>
      <c r="AB26" s="5" t="s">
        <v>1312</v>
      </c>
      <c r="AC26" s="5" t="s">
        <v>1312</v>
      </c>
      <c r="AD26" s="5" t="s">
        <v>1634</v>
      </c>
      <c r="AE26" s="5" t="s">
        <v>1635</v>
      </c>
      <c r="AF26" s="5" t="s">
        <v>1636</v>
      </c>
      <c r="AG26" s="5" t="s">
        <v>1636</v>
      </c>
      <c r="AH26" s="5" t="s">
        <v>1322</v>
      </c>
      <c r="AI26" s="5" t="s">
        <v>1522</v>
      </c>
      <c r="AJ26" s="5" t="s">
        <v>1637</v>
      </c>
      <c r="AK26" s="5" t="s">
        <v>1423</v>
      </c>
      <c r="AL26" s="5" t="s">
        <v>1347</v>
      </c>
      <c r="AM26" s="5" t="s">
        <v>1312</v>
      </c>
      <c r="AN26" s="5">
        <v>76000</v>
      </c>
      <c r="AO26" s="5">
        <v>16000</v>
      </c>
      <c r="AP26" s="5" t="s">
        <v>1638</v>
      </c>
      <c r="AQ26" s="5">
        <v>76000</v>
      </c>
      <c r="AR26" s="5">
        <v>47138.15</v>
      </c>
      <c r="AS26" s="5">
        <v>47138.15</v>
      </c>
      <c r="AT26" s="5">
        <v>3142.54</v>
      </c>
      <c r="AU26" s="5">
        <v>3142.54</v>
      </c>
      <c r="AV26" s="5">
        <v>16835</v>
      </c>
      <c r="AW26" s="5">
        <v>16835</v>
      </c>
      <c r="AX26" s="5" t="s">
        <v>1312</v>
      </c>
      <c r="AY26" s="5" t="s">
        <v>1312</v>
      </c>
      <c r="AZ26" s="5">
        <v>0</v>
      </c>
      <c r="BA26" s="5" t="s">
        <v>1312</v>
      </c>
      <c r="BB26" s="5" t="s">
        <v>1312</v>
      </c>
      <c r="BC26" s="5" t="s">
        <v>1312</v>
      </c>
      <c r="BD26" s="5" t="s">
        <v>1312</v>
      </c>
      <c r="BE26" s="5" t="s">
        <v>1312</v>
      </c>
      <c r="BF26" s="5" t="s">
        <v>1312</v>
      </c>
      <c r="BG26" s="5" t="s">
        <v>1312</v>
      </c>
      <c r="BH26" s="5" t="s">
        <v>1328</v>
      </c>
      <c r="BI26" s="5" t="s">
        <v>1312</v>
      </c>
      <c r="BJ26" s="5" t="s">
        <v>1425</v>
      </c>
      <c r="BK26" s="5" t="s">
        <v>1312</v>
      </c>
      <c r="BL26" s="5" t="s">
        <v>1639</v>
      </c>
      <c r="BM26" s="5">
        <v>76000</v>
      </c>
      <c r="BN26" s="5" t="s">
        <v>1330</v>
      </c>
      <c r="BO26" s="5">
        <v>4</v>
      </c>
    </row>
    <row r="27" spans="1:67">
      <c r="A27" s="5" t="s">
        <v>1640</v>
      </c>
      <c r="B27" s="5" t="s">
        <v>1307</v>
      </c>
      <c r="C27" s="5" t="s">
        <v>486</v>
      </c>
      <c r="D27" s="5" t="s">
        <v>1308</v>
      </c>
      <c r="E27" s="5" t="s">
        <v>1370</v>
      </c>
      <c r="F27" s="5" t="s">
        <v>1641</v>
      </c>
      <c r="G27" s="5" t="s">
        <v>1641</v>
      </c>
      <c r="H27" s="5" t="s">
        <v>1642</v>
      </c>
      <c r="I27" s="5">
        <v>17308.8</v>
      </c>
      <c r="J27" s="5">
        <v>86544</v>
      </c>
      <c r="K27" s="5" t="s">
        <v>1312</v>
      </c>
      <c r="L27" s="5" t="s">
        <v>1312</v>
      </c>
      <c r="M27" s="5">
        <v>0</v>
      </c>
      <c r="N27" s="5">
        <v>0</v>
      </c>
      <c r="O27" s="5" t="s">
        <v>1313</v>
      </c>
      <c r="P27" s="5" t="s">
        <v>1336</v>
      </c>
      <c r="Q27" s="5" t="s">
        <v>1337</v>
      </c>
      <c r="R27" s="5" t="s">
        <v>1643</v>
      </c>
      <c r="S27" s="5" t="s">
        <v>1644</v>
      </c>
      <c r="T27" s="5">
        <v>5</v>
      </c>
      <c r="U27" s="5">
        <v>100</v>
      </c>
      <c r="V27" s="5" t="s">
        <v>1645</v>
      </c>
      <c r="W27" s="5">
        <v>100</v>
      </c>
      <c r="X27" s="5" t="s">
        <v>1318</v>
      </c>
      <c r="Y27" s="5" t="s">
        <v>1312</v>
      </c>
      <c r="Z27" s="5" t="s">
        <v>1312</v>
      </c>
      <c r="AA27" s="5" t="s">
        <v>1312</v>
      </c>
      <c r="AB27" s="5" t="s">
        <v>1312</v>
      </c>
      <c r="AC27" s="5" t="s">
        <v>1312</v>
      </c>
      <c r="AD27" s="5" t="s">
        <v>1646</v>
      </c>
      <c r="AE27" s="5" t="s">
        <v>1647</v>
      </c>
      <c r="AF27" s="5" t="s">
        <v>1648</v>
      </c>
      <c r="AG27" s="5" t="s">
        <v>1648</v>
      </c>
      <c r="AH27" s="5" t="s">
        <v>1322</v>
      </c>
      <c r="AI27" s="5" t="s">
        <v>1522</v>
      </c>
      <c r="AJ27" s="5" t="s">
        <v>1649</v>
      </c>
      <c r="AK27" s="5" t="s">
        <v>1649</v>
      </c>
      <c r="AL27" s="5" t="s">
        <v>1399</v>
      </c>
      <c r="AM27" s="5" t="s">
        <v>1312</v>
      </c>
      <c r="AN27" s="5">
        <v>91400</v>
      </c>
      <c r="AO27" s="5">
        <v>18300</v>
      </c>
      <c r="AP27" s="5" t="s">
        <v>1650</v>
      </c>
      <c r="AQ27" s="5">
        <v>91400</v>
      </c>
      <c r="AR27" s="5">
        <v>52805.5</v>
      </c>
      <c r="AS27" s="5">
        <v>52805.5</v>
      </c>
      <c r="AT27" s="5">
        <v>3520.37</v>
      </c>
      <c r="AU27" s="5">
        <v>3520.37</v>
      </c>
      <c r="AV27" s="5">
        <v>10561</v>
      </c>
      <c r="AW27" s="5">
        <v>10561</v>
      </c>
      <c r="AX27" s="5" t="s">
        <v>1312</v>
      </c>
      <c r="AY27" s="5" t="s">
        <v>1312</v>
      </c>
      <c r="AZ27" s="5">
        <v>0</v>
      </c>
      <c r="BA27" s="5" t="s">
        <v>1312</v>
      </c>
      <c r="BB27" s="5" t="s">
        <v>1312</v>
      </c>
      <c r="BC27" s="5" t="s">
        <v>1312</v>
      </c>
      <c r="BD27" s="5" t="s">
        <v>1312</v>
      </c>
      <c r="BE27" s="5" t="s">
        <v>1312</v>
      </c>
      <c r="BF27" s="5" t="s">
        <v>1312</v>
      </c>
      <c r="BG27" s="5" t="s">
        <v>1312</v>
      </c>
      <c r="BH27" s="5" t="s">
        <v>1328</v>
      </c>
      <c r="BI27" s="5" t="s">
        <v>1312</v>
      </c>
      <c r="BJ27" s="5" t="s">
        <v>1425</v>
      </c>
      <c r="BK27" s="5" t="s">
        <v>1312</v>
      </c>
      <c r="BL27" s="5" t="s">
        <v>1651</v>
      </c>
      <c r="BM27" s="5">
        <v>91400</v>
      </c>
      <c r="BN27" s="5" t="s">
        <v>1330</v>
      </c>
      <c r="BO27" s="5">
        <v>3</v>
      </c>
    </row>
    <row r="28" spans="1:67">
      <c r="A28" s="5" t="s">
        <v>1652</v>
      </c>
      <c r="B28" s="5" t="s">
        <v>1307</v>
      </c>
      <c r="C28" s="5" t="s">
        <v>486</v>
      </c>
      <c r="D28" s="5" t="s">
        <v>1308</v>
      </c>
      <c r="E28" s="5" t="s">
        <v>1452</v>
      </c>
      <c r="F28" s="5" t="s">
        <v>1653</v>
      </c>
      <c r="G28" s="5" t="s">
        <v>1653</v>
      </c>
      <c r="H28" s="5" t="s">
        <v>1454</v>
      </c>
      <c r="I28" s="5">
        <v>59169.74</v>
      </c>
      <c r="J28" s="5">
        <v>130173.43</v>
      </c>
      <c r="K28" s="5" t="s">
        <v>1312</v>
      </c>
      <c r="L28" s="5" t="s">
        <v>1312</v>
      </c>
      <c r="M28" s="5">
        <v>0</v>
      </c>
      <c r="N28" s="5">
        <v>0</v>
      </c>
      <c r="O28" s="5" t="s">
        <v>1313</v>
      </c>
      <c r="P28" s="5" t="s">
        <v>1336</v>
      </c>
      <c r="Q28" s="5" t="s">
        <v>1337</v>
      </c>
      <c r="R28" s="5" t="s">
        <v>1541</v>
      </c>
      <c r="S28" s="5" t="s">
        <v>1619</v>
      </c>
      <c r="T28" s="5">
        <v>2.2000000000000002</v>
      </c>
      <c r="U28" s="5" t="s">
        <v>1312</v>
      </c>
      <c r="V28" s="5" t="s">
        <v>1312</v>
      </c>
      <c r="W28" s="5" t="s">
        <v>1312</v>
      </c>
      <c r="X28" s="5" t="s">
        <v>1318</v>
      </c>
      <c r="Y28" s="5" t="s">
        <v>1312</v>
      </c>
      <c r="Z28" s="5" t="s">
        <v>1312</v>
      </c>
      <c r="AA28" s="5" t="s">
        <v>1312</v>
      </c>
      <c r="AB28" s="5" t="s">
        <v>1312</v>
      </c>
      <c r="AC28" s="5" t="s">
        <v>1312</v>
      </c>
      <c r="AD28" s="5" t="s">
        <v>1654</v>
      </c>
      <c r="AE28" s="5" t="s">
        <v>1655</v>
      </c>
      <c r="AF28" s="5" t="s">
        <v>1656</v>
      </c>
      <c r="AG28" s="5" t="s">
        <v>1656</v>
      </c>
      <c r="AH28" s="5" t="s">
        <v>1322</v>
      </c>
      <c r="AI28" s="5" t="s">
        <v>1522</v>
      </c>
      <c r="AJ28" s="5" t="s">
        <v>1657</v>
      </c>
      <c r="AK28" s="5" t="s">
        <v>1658</v>
      </c>
      <c r="AL28" s="5" t="s">
        <v>1347</v>
      </c>
      <c r="AM28" s="5" t="s">
        <v>1312</v>
      </c>
      <c r="AN28" s="5">
        <v>131600</v>
      </c>
      <c r="AO28" s="5">
        <v>27000</v>
      </c>
      <c r="AP28" s="5" t="s">
        <v>1659</v>
      </c>
      <c r="AQ28" s="5">
        <v>131600</v>
      </c>
      <c r="AR28" s="5">
        <v>22241.09</v>
      </c>
      <c r="AS28" s="5">
        <v>22241.09</v>
      </c>
      <c r="AT28" s="5">
        <v>1482.74</v>
      </c>
      <c r="AU28" s="5">
        <v>1482.74</v>
      </c>
      <c r="AV28" s="5">
        <v>10110</v>
      </c>
      <c r="AW28" s="5">
        <v>10110</v>
      </c>
      <c r="AX28" s="5" t="s">
        <v>1312</v>
      </c>
      <c r="AY28" s="5" t="s">
        <v>1312</v>
      </c>
      <c r="AZ28" s="5">
        <v>0</v>
      </c>
      <c r="BA28" s="5" t="s">
        <v>1312</v>
      </c>
      <c r="BB28" s="5" t="s">
        <v>1312</v>
      </c>
      <c r="BC28" s="5" t="s">
        <v>1312</v>
      </c>
      <c r="BD28" s="5" t="s">
        <v>1312</v>
      </c>
      <c r="BE28" s="5" t="s">
        <v>1312</v>
      </c>
      <c r="BF28" s="5" t="s">
        <v>1312</v>
      </c>
      <c r="BG28" s="5" t="s">
        <v>1312</v>
      </c>
      <c r="BH28" s="5" t="s">
        <v>1424</v>
      </c>
      <c r="BI28" s="5" t="s">
        <v>1660</v>
      </c>
      <c r="BJ28" s="5" t="s">
        <v>1425</v>
      </c>
      <c r="BK28" s="5" t="s">
        <v>1312</v>
      </c>
      <c r="BL28" s="5" t="s">
        <v>1661</v>
      </c>
      <c r="BM28" s="5">
        <v>131600</v>
      </c>
      <c r="BN28" s="5" t="s">
        <v>1330</v>
      </c>
      <c r="BO28" s="5">
        <v>2</v>
      </c>
    </row>
    <row r="29" spans="1:67">
      <c r="A29" s="5" t="s">
        <v>1662</v>
      </c>
      <c r="B29" s="5" t="s">
        <v>1307</v>
      </c>
      <c r="C29" s="5" t="s">
        <v>486</v>
      </c>
      <c r="D29" s="5" t="s">
        <v>1308</v>
      </c>
      <c r="E29" s="5" t="s">
        <v>1414</v>
      </c>
      <c r="F29" s="5" t="s">
        <v>1663</v>
      </c>
      <c r="G29" s="5" t="s">
        <v>1663</v>
      </c>
      <c r="H29" s="5" t="s">
        <v>1416</v>
      </c>
      <c r="I29" s="5">
        <v>12066.9</v>
      </c>
      <c r="J29" s="5">
        <v>18100.349999999999</v>
      </c>
      <c r="K29" s="5" t="s">
        <v>1312</v>
      </c>
      <c r="L29" s="5" t="s">
        <v>1312</v>
      </c>
      <c r="M29" s="5">
        <v>0</v>
      </c>
      <c r="N29" s="5">
        <v>0</v>
      </c>
      <c r="O29" s="5" t="s">
        <v>1313</v>
      </c>
      <c r="P29" s="5" t="s">
        <v>1356</v>
      </c>
      <c r="Q29" s="5" t="s">
        <v>1357</v>
      </c>
      <c r="R29" s="5" t="s">
        <v>1664</v>
      </c>
      <c r="S29" s="5" t="s">
        <v>1665</v>
      </c>
      <c r="T29" s="5">
        <v>1.5</v>
      </c>
      <c r="U29" s="5" t="s">
        <v>1312</v>
      </c>
      <c r="V29" s="5" t="s">
        <v>1666</v>
      </c>
      <c r="W29" s="5" t="s">
        <v>1405</v>
      </c>
      <c r="X29" s="5" t="s">
        <v>1318</v>
      </c>
      <c r="Y29" s="5" t="s">
        <v>1312</v>
      </c>
      <c r="Z29" s="5" t="s">
        <v>1312</v>
      </c>
      <c r="AA29" s="5" t="s">
        <v>1312</v>
      </c>
      <c r="AB29" s="5" t="s">
        <v>1312</v>
      </c>
      <c r="AC29" s="5" t="s">
        <v>1312</v>
      </c>
      <c r="AD29" s="5" t="s">
        <v>1667</v>
      </c>
      <c r="AE29" s="5" t="s">
        <v>1668</v>
      </c>
      <c r="AF29" s="5" t="s">
        <v>1669</v>
      </c>
      <c r="AG29" s="5" t="s">
        <v>1669</v>
      </c>
      <c r="AH29" s="5" t="s">
        <v>1322</v>
      </c>
      <c r="AI29" s="5" t="s">
        <v>1522</v>
      </c>
      <c r="AJ29" s="5" t="s">
        <v>1657</v>
      </c>
      <c r="AK29" s="5" t="s">
        <v>1658</v>
      </c>
      <c r="AL29" s="5" t="s">
        <v>1347</v>
      </c>
      <c r="AM29" s="5" t="s">
        <v>1312</v>
      </c>
      <c r="AN29" s="5">
        <v>9400</v>
      </c>
      <c r="AO29" s="5">
        <v>1900</v>
      </c>
      <c r="AP29" s="5" t="s">
        <v>1312</v>
      </c>
      <c r="AQ29" s="5">
        <v>9400</v>
      </c>
      <c r="AR29" s="5">
        <v>7789.9</v>
      </c>
      <c r="AS29" s="5">
        <v>7789.9</v>
      </c>
      <c r="AT29" s="5">
        <v>519.33000000000004</v>
      </c>
      <c r="AU29" s="5">
        <v>519.33000000000004</v>
      </c>
      <c r="AV29" s="5">
        <v>5193</v>
      </c>
      <c r="AW29" s="5">
        <v>5193</v>
      </c>
      <c r="AX29" s="5" t="s">
        <v>1312</v>
      </c>
      <c r="AY29" s="5" t="s">
        <v>1312</v>
      </c>
      <c r="AZ29" s="5">
        <v>0</v>
      </c>
      <c r="BA29" s="5" t="s">
        <v>1312</v>
      </c>
      <c r="BB29" s="5" t="s">
        <v>1312</v>
      </c>
      <c r="BC29" s="5" t="s">
        <v>1312</v>
      </c>
      <c r="BD29" s="5" t="s">
        <v>1312</v>
      </c>
      <c r="BE29" s="5" t="s">
        <v>1312</v>
      </c>
      <c r="BF29" s="5" t="s">
        <v>1312</v>
      </c>
      <c r="BG29" s="5" t="s">
        <v>1312</v>
      </c>
      <c r="BH29" s="5" t="s">
        <v>1424</v>
      </c>
      <c r="BI29" s="5" t="s">
        <v>1312</v>
      </c>
      <c r="BJ29" s="5" t="s">
        <v>1425</v>
      </c>
      <c r="BK29" s="5" t="s">
        <v>1312</v>
      </c>
      <c r="BL29" s="5" t="s">
        <v>1670</v>
      </c>
      <c r="BM29" s="5">
        <v>9400</v>
      </c>
      <c r="BN29" s="5" t="s">
        <v>1330</v>
      </c>
      <c r="BO29" s="5">
        <v>2</v>
      </c>
    </row>
    <row r="30" spans="1:67">
      <c r="A30" s="5" t="s">
        <v>1671</v>
      </c>
      <c r="B30" s="5" t="s">
        <v>1307</v>
      </c>
      <c r="C30" s="5" t="s">
        <v>486</v>
      </c>
      <c r="D30" s="5" t="s">
        <v>1308</v>
      </c>
      <c r="E30" s="5" t="s">
        <v>1672</v>
      </c>
      <c r="F30" s="5" t="s">
        <v>1673</v>
      </c>
      <c r="G30" s="5" t="s">
        <v>1673</v>
      </c>
      <c r="H30" s="5" t="s">
        <v>1674</v>
      </c>
      <c r="I30" s="5">
        <v>15178.6</v>
      </c>
      <c r="J30" s="5">
        <v>45535.8</v>
      </c>
      <c r="K30" s="5" t="s">
        <v>1312</v>
      </c>
      <c r="L30" s="5" t="s">
        <v>1312</v>
      </c>
      <c r="M30" s="5">
        <v>0</v>
      </c>
      <c r="N30" s="5">
        <v>0</v>
      </c>
      <c r="O30" s="5" t="s">
        <v>1313</v>
      </c>
      <c r="P30" s="5" t="s">
        <v>1336</v>
      </c>
      <c r="Q30" s="5" t="s">
        <v>1337</v>
      </c>
      <c r="R30" s="5" t="s">
        <v>1618</v>
      </c>
      <c r="S30" s="5" t="s">
        <v>1675</v>
      </c>
      <c r="T30" s="5">
        <v>3</v>
      </c>
      <c r="U30" s="5" t="s">
        <v>1312</v>
      </c>
      <c r="V30" s="5" t="s">
        <v>1312</v>
      </c>
      <c r="W30" s="5" t="s">
        <v>1312</v>
      </c>
      <c r="X30" s="5" t="s">
        <v>1318</v>
      </c>
      <c r="Y30" s="5" t="s">
        <v>1312</v>
      </c>
      <c r="Z30" s="5" t="s">
        <v>1312</v>
      </c>
      <c r="AA30" s="5" t="s">
        <v>1312</v>
      </c>
      <c r="AB30" s="5" t="s">
        <v>1312</v>
      </c>
      <c r="AC30" s="5" t="s">
        <v>1312</v>
      </c>
      <c r="AD30" s="5" t="s">
        <v>1676</v>
      </c>
      <c r="AE30" s="5" t="s">
        <v>1677</v>
      </c>
      <c r="AF30" s="5" t="s">
        <v>1678</v>
      </c>
      <c r="AG30" s="5" t="s">
        <v>1678</v>
      </c>
      <c r="AH30" s="5" t="s">
        <v>1322</v>
      </c>
      <c r="AI30" s="5" t="s">
        <v>1522</v>
      </c>
      <c r="AJ30" s="5" t="s">
        <v>1679</v>
      </c>
      <c r="AK30" s="5" t="s">
        <v>1680</v>
      </c>
      <c r="AL30" s="5" t="s">
        <v>1347</v>
      </c>
      <c r="AM30" s="5" t="s">
        <v>1312</v>
      </c>
      <c r="AN30" s="5">
        <v>58400</v>
      </c>
      <c r="AO30" s="5">
        <v>11700</v>
      </c>
      <c r="AP30" s="5" t="s">
        <v>1312</v>
      </c>
      <c r="AQ30" s="5">
        <v>58400</v>
      </c>
      <c r="AR30" s="5">
        <v>38475.22</v>
      </c>
      <c r="AS30" s="5">
        <v>38475.22</v>
      </c>
      <c r="AT30" s="5">
        <v>2565.0100000000002</v>
      </c>
      <c r="AU30" s="5">
        <v>2565.0100000000002</v>
      </c>
      <c r="AV30" s="5">
        <v>12825</v>
      </c>
      <c r="AW30" s="5">
        <v>12825</v>
      </c>
      <c r="AX30" s="5" t="s">
        <v>1312</v>
      </c>
      <c r="AY30" s="5" t="s">
        <v>1312</v>
      </c>
      <c r="AZ30" s="5">
        <v>0</v>
      </c>
      <c r="BA30" s="5" t="s">
        <v>1312</v>
      </c>
      <c r="BB30" s="5" t="s">
        <v>1312</v>
      </c>
      <c r="BC30" s="5" t="s">
        <v>1312</v>
      </c>
      <c r="BD30" s="5" t="s">
        <v>1312</v>
      </c>
      <c r="BE30" s="5" t="s">
        <v>1312</v>
      </c>
      <c r="BF30" s="5" t="s">
        <v>1312</v>
      </c>
      <c r="BG30" s="5" t="s">
        <v>1312</v>
      </c>
      <c r="BH30" s="5" t="s">
        <v>1495</v>
      </c>
      <c r="BI30" s="5" t="s">
        <v>1312</v>
      </c>
      <c r="BJ30" s="5" t="s">
        <v>1425</v>
      </c>
      <c r="BK30" s="5" t="s">
        <v>1312</v>
      </c>
      <c r="BL30" s="5" t="s">
        <v>1681</v>
      </c>
      <c r="BM30" s="5">
        <v>58400</v>
      </c>
      <c r="BN30" s="5" t="s">
        <v>1330</v>
      </c>
      <c r="BO30" s="5">
        <v>4</v>
      </c>
    </row>
    <row r="31" spans="1:67">
      <c r="A31" s="5" t="s">
        <v>1682</v>
      </c>
      <c r="B31" s="5" t="s">
        <v>1307</v>
      </c>
      <c r="C31" s="5" t="s">
        <v>486</v>
      </c>
      <c r="D31" s="5" t="s">
        <v>1332</v>
      </c>
      <c r="E31" s="5" t="s">
        <v>1333</v>
      </c>
      <c r="F31" s="5" t="s">
        <v>1683</v>
      </c>
      <c r="G31" s="5" t="s">
        <v>1683</v>
      </c>
      <c r="H31" s="5" t="s">
        <v>1684</v>
      </c>
      <c r="I31" s="5">
        <v>29991.73</v>
      </c>
      <c r="J31" s="5">
        <v>119966.93</v>
      </c>
      <c r="K31" s="5" t="s">
        <v>1312</v>
      </c>
      <c r="L31" s="5" t="s">
        <v>1312</v>
      </c>
      <c r="M31" s="5">
        <v>0</v>
      </c>
      <c r="N31" s="5">
        <v>0</v>
      </c>
      <c r="O31" s="5" t="s">
        <v>1313</v>
      </c>
      <c r="P31" s="5" t="s">
        <v>1336</v>
      </c>
      <c r="Q31" s="5" t="s">
        <v>1337</v>
      </c>
      <c r="R31" s="5" t="s">
        <v>1358</v>
      </c>
      <c r="S31" s="5" t="s">
        <v>1396</v>
      </c>
      <c r="T31" s="5">
        <v>4</v>
      </c>
      <c r="U31" s="5" t="s">
        <v>1312</v>
      </c>
      <c r="V31" s="5" t="s">
        <v>1312</v>
      </c>
      <c r="W31" s="5">
        <v>100</v>
      </c>
      <c r="X31" s="5" t="s">
        <v>1318</v>
      </c>
      <c r="Y31" s="5" t="s">
        <v>1312</v>
      </c>
      <c r="Z31" s="5" t="s">
        <v>1312</v>
      </c>
      <c r="AA31" s="5" t="s">
        <v>1312</v>
      </c>
      <c r="AB31" s="5" t="s">
        <v>1312</v>
      </c>
      <c r="AC31" s="5" t="s">
        <v>1312</v>
      </c>
      <c r="AD31" s="5" t="s">
        <v>1685</v>
      </c>
      <c r="AE31" s="5" t="s">
        <v>1686</v>
      </c>
      <c r="AF31" s="5" t="s">
        <v>1687</v>
      </c>
      <c r="AG31" s="5" t="s">
        <v>1687</v>
      </c>
      <c r="AH31" s="5" t="s">
        <v>1322</v>
      </c>
      <c r="AI31" s="5" t="s">
        <v>1522</v>
      </c>
      <c r="AJ31" s="5" t="s">
        <v>1688</v>
      </c>
      <c r="AK31" s="5" t="s">
        <v>1312</v>
      </c>
      <c r="AL31" s="5" t="s">
        <v>1312</v>
      </c>
      <c r="AM31" s="5" t="s">
        <v>1312</v>
      </c>
      <c r="AN31" s="5">
        <v>165300</v>
      </c>
      <c r="AO31" s="5">
        <v>33100</v>
      </c>
      <c r="AP31" s="5" t="s">
        <v>1312</v>
      </c>
      <c r="AQ31" s="5">
        <v>165300</v>
      </c>
      <c r="AR31" s="5">
        <v>55115.19</v>
      </c>
      <c r="AS31" s="5">
        <v>55115.19</v>
      </c>
      <c r="AT31" s="5">
        <v>3674.35</v>
      </c>
      <c r="AU31" s="5">
        <v>3674.35</v>
      </c>
      <c r="AV31" s="5">
        <v>13779</v>
      </c>
      <c r="AW31" s="5">
        <v>13779</v>
      </c>
      <c r="AX31" s="5" t="s">
        <v>1312</v>
      </c>
      <c r="AY31" s="5" t="s">
        <v>1312</v>
      </c>
      <c r="AZ31" s="5">
        <v>0</v>
      </c>
      <c r="BA31" s="5" t="s">
        <v>1312</v>
      </c>
      <c r="BB31" s="5" t="s">
        <v>1312</v>
      </c>
      <c r="BC31" s="5" t="s">
        <v>1312</v>
      </c>
      <c r="BD31" s="5" t="s">
        <v>1312</v>
      </c>
      <c r="BE31" s="5" t="s">
        <v>1312</v>
      </c>
      <c r="BF31" s="5" t="s">
        <v>1312</v>
      </c>
      <c r="BG31" s="5" t="s">
        <v>1312</v>
      </c>
      <c r="BH31" s="5" t="s">
        <v>1328</v>
      </c>
      <c r="BI31" s="5" t="s">
        <v>1312</v>
      </c>
      <c r="BJ31" s="5" t="s">
        <v>1425</v>
      </c>
      <c r="BK31" s="5" t="s">
        <v>1312</v>
      </c>
      <c r="BL31" s="5" t="s">
        <v>1689</v>
      </c>
      <c r="BM31" s="5">
        <v>165300</v>
      </c>
      <c r="BN31" s="5" t="s">
        <v>1330</v>
      </c>
      <c r="BO31" s="5">
        <v>5</v>
      </c>
    </row>
  </sheetData>
  <phoneticPr fontId="23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workbookViewId="0">
      <selection activeCell="G45" sqref="G45"/>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1690</v>
      </c>
      <c r="B1" s="2187"/>
      <c r="C1" s="343"/>
      <c r="D1" s="343"/>
      <c r="E1" s="343"/>
      <c r="F1" s="343"/>
      <c r="G1" s="2189">
        <f>MATCH(B1,'数据-取费表'!A6:A16,0)+5</f>
        <v>7</v>
      </c>
    </row>
    <row r="2" spans="1:9" s="333" customFormat="1" ht="18" customHeight="1">
      <c r="A2" s="345" t="s">
        <v>1121</v>
      </c>
      <c r="B2" s="346">
        <f ca="1">IF(D2="——",C52,C52-E2)</f>
        <v>337624</v>
      </c>
      <c r="C2" s="344" t="s">
        <v>1691</v>
      </c>
      <c r="D2" s="2191" t="s">
        <v>124</v>
      </c>
      <c r="E2" s="2192" t="e">
        <f ca="1">SUMIF(INDIRECT("'"&amp;G2&amp;"'"&amp;"!A:A"),"承租人权益价值",INDIRECT("'"&amp;G2&amp;"'"&amp;"!c:c"))</f>
        <v>#REF!</v>
      </c>
      <c r="F2" s="2193" t="s">
        <v>1691</v>
      </c>
      <c r="G2" s="2194"/>
    </row>
    <row r="3" spans="1:9" s="333" customFormat="1" ht="18" customHeight="1">
      <c r="A3" s="348" t="s">
        <v>1122</v>
      </c>
      <c r="B3" s="349">
        <f ca="1">ROUND(B2*10000/(IF(B1="",'数据-汇总表'!E3,INDIRECT("'数据-取费表'!k"&amp;$G$1))),0)</f>
        <v>21880</v>
      </c>
      <c r="C3" s="344" t="s">
        <v>1692</v>
      </c>
      <c r="D3" s="344"/>
      <c r="E3" s="344"/>
      <c r="F3" s="344"/>
      <c r="G3" s="344"/>
    </row>
    <row r="4" spans="1:9" s="334" customFormat="1" ht="16.2">
      <c r="A4" s="350" t="s">
        <v>1693</v>
      </c>
      <c r="B4" s="351"/>
      <c r="C4" s="351"/>
      <c r="D4" s="351"/>
      <c r="E4" s="351"/>
      <c r="F4" s="351"/>
      <c r="G4" s="352"/>
    </row>
    <row r="5" spans="1:9" s="335" customFormat="1" ht="13.5" customHeight="1">
      <c r="A5" s="353" t="s">
        <v>1694</v>
      </c>
      <c r="B5" s="354" t="s">
        <v>1695</v>
      </c>
      <c r="C5" s="355">
        <f>C6+C7+C8</f>
        <v>119660</v>
      </c>
      <c r="D5" s="355" t="s">
        <v>1696</v>
      </c>
      <c r="E5" s="356" t="s">
        <v>1697</v>
      </c>
      <c r="F5" s="356" t="s">
        <v>1025</v>
      </c>
      <c r="G5" s="357"/>
    </row>
    <row r="6" spans="1:9" s="335" customFormat="1" ht="13.5" customHeight="1">
      <c r="A6" s="358" t="s">
        <v>1698</v>
      </c>
      <c r="B6" s="359" t="s">
        <v>1699</v>
      </c>
      <c r="C6" s="360">
        <f>'土地比较法-住宅、综合'!F65</f>
        <v>113273</v>
      </c>
      <c r="D6" s="361"/>
      <c r="E6" s="362"/>
      <c r="F6" s="362"/>
      <c r="G6" s="363"/>
    </row>
    <row r="7" spans="1:9" s="335" customFormat="1" ht="13.5" customHeight="1">
      <c r="A7" s="358" t="s">
        <v>1700</v>
      </c>
      <c r="B7" s="359" t="s">
        <v>1701</v>
      </c>
      <c r="C7" s="364">
        <f>ROUND(C6*F7,0)</f>
        <v>3455</v>
      </c>
      <c r="D7" s="364"/>
      <c r="E7" s="362"/>
      <c r="F7" s="365">
        <f>IF(项目基本情况!B8="出让",0,'数据-取费表'!B48+'数据-取费表'!B49)</f>
        <v>3.0499999999999999E-2</v>
      </c>
      <c r="G7" s="363"/>
    </row>
    <row r="8" spans="1:9" s="336" customFormat="1">
      <c r="A8" s="358" t="s">
        <v>1702</v>
      </c>
      <c r="B8" s="359" t="s">
        <v>1703</v>
      </c>
      <c r="C8" s="364">
        <f>IF(G8="已包含在土地购买价格中","0",IF(B1="",'数据-取费表'!B29,IF(G9="全部缴纳",C9+C10,H9)))</f>
        <v>2932</v>
      </c>
      <c r="D8" s="366"/>
      <c r="E8" s="364"/>
      <c r="F8" s="365"/>
      <c r="G8" s="2195" t="s">
        <v>1704</v>
      </c>
    </row>
    <row r="9" spans="1:9" s="335" customFormat="1" ht="13.5" customHeight="1">
      <c r="A9" s="368" t="s">
        <v>1705</v>
      </c>
      <c r="B9" s="369" t="s">
        <v>1706</v>
      </c>
      <c r="C9" s="370">
        <f ca="1">ROUND(D9*E9/10000,0)</f>
        <v>0</v>
      </c>
      <c r="D9" s="371">
        <f ca="1">IF(B1="",'数据-汇总表'!E5,IF(INDIRECT("'数据-取费表'!c"&amp;$G$1)="住宅",INDIRECT("'数据-取费表'!k"&amp;$G$1),0))</f>
        <v>0</v>
      </c>
      <c r="E9" s="370">
        <f>'数据-取费表'!B27</f>
        <v>150</v>
      </c>
      <c r="F9" s="365"/>
      <c r="G9" s="2196" t="s">
        <v>1707</v>
      </c>
      <c r="H9" s="2197"/>
      <c r="I9" s="2198" t="s">
        <v>1708</v>
      </c>
    </row>
    <row r="10" spans="1:9" s="335" customFormat="1" ht="13.5" customHeight="1">
      <c r="A10" s="368" t="s">
        <v>1709</v>
      </c>
      <c r="B10" s="369" t="s">
        <v>1710</v>
      </c>
      <c r="C10" s="370">
        <f ca="1">ROUND(D10*E10/10000,0)</f>
        <v>2932</v>
      </c>
      <c r="D10" s="371">
        <f ca="1">IF(B1="",'数据-汇总表'!E6,IF(INDIRECT("'数据-取费表'!c"&amp;$G$1)="住宅",INDIRECT("'数据-取费表'!s"&amp;$G$1),INDIRECT("'数据-取费表'!k"&amp;$G$1)+INDIRECT("'数据-取费表'!s"&amp;$G$1)))</f>
        <v>154306.03</v>
      </c>
      <c r="E10" s="370">
        <f>'数据-取费表'!B28</f>
        <v>190</v>
      </c>
      <c r="F10" s="365"/>
      <c r="G10" s="372"/>
    </row>
    <row r="11" spans="1:9" s="335" customFormat="1" ht="13.5" hidden="1" customHeight="1">
      <c r="A11" s="373" t="s">
        <v>1711</v>
      </c>
      <c r="B11" s="359" t="s">
        <v>1712</v>
      </c>
      <c r="C11" s="355"/>
      <c r="D11" s="362"/>
      <c r="E11" s="362"/>
      <c r="F11" s="362"/>
      <c r="G11" s="363"/>
    </row>
    <row r="12" spans="1:9" s="335" customFormat="1" ht="13.5" hidden="1" customHeight="1">
      <c r="A12" s="373" t="s">
        <v>1713</v>
      </c>
      <c r="B12" s="359" t="s">
        <v>1061</v>
      </c>
      <c r="C12" s="355">
        <v>0</v>
      </c>
      <c r="D12" s="362"/>
      <c r="E12" s="374"/>
      <c r="F12" s="365">
        <v>3.0499999999999999E-2</v>
      </c>
      <c r="G12" s="363"/>
    </row>
    <row r="13" spans="1:9" s="335" customFormat="1" ht="13.5" hidden="1" customHeight="1">
      <c r="A13" s="373" t="s">
        <v>1714</v>
      </c>
      <c r="B13" s="359" t="s">
        <v>1715</v>
      </c>
      <c r="C13" s="355"/>
      <c r="D13" s="362"/>
      <c r="E13" s="362"/>
      <c r="F13" s="362"/>
      <c r="G13" s="363"/>
    </row>
    <row r="14" spans="1:9" s="335" customFormat="1" ht="13.5" hidden="1" customHeight="1">
      <c r="A14" s="373" t="s">
        <v>1716</v>
      </c>
      <c r="B14" s="359" t="s">
        <v>1703</v>
      </c>
      <c r="C14" s="355"/>
      <c r="D14" s="362"/>
      <c r="E14" s="362"/>
      <c r="F14" s="362"/>
      <c r="G14" s="363" t="s">
        <v>1717</v>
      </c>
    </row>
    <row r="15" spans="1:9" s="335" customFormat="1" ht="13.5" hidden="1" customHeight="1">
      <c r="A15" s="373" t="s">
        <v>1718</v>
      </c>
      <c r="B15" s="359" t="s">
        <v>1719</v>
      </c>
      <c r="C15" s="364"/>
      <c r="D15" s="362"/>
      <c r="E15" s="362"/>
      <c r="F15" s="362"/>
      <c r="G15" s="363" t="s">
        <v>1720</v>
      </c>
    </row>
    <row r="16" spans="1:9"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t="str">
        <f>IF(G19="已包含在土地取得成本中","0",ROUND(D19*E19/10000,0))</f>
        <v>0</v>
      </c>
      <c r="D19" s="356">
        <f ca="1">D9+D10</f>
        <v>154306.03</v>
      </c>
      <c r="E19" s="355">
        <f>'数据-取费表'!B31</f>
        <v>200</v>
      </c>
      <c r="F19" s="377"/>
      <c r="G19" s="2195" t="s">
        <v>1729</v>
      </c>
    </row>
    <row r="20" spans="1:7" s="335" customFormat="1" ht="13.5" customHeight="1">
      <c r="A20" s="353" t="s">
        <v>1730</v>
      </c>
      <c r="B20" s="354" t="s">
        <v>1731</v>
      </c>
      <c r="C20" s="378">
        <f>ROUND((C5+C19)*F20,0)</f>
        <v>3590</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84">
        <f ca="1">ROUND(SUM(C23:C25),0)</f>
        <v>12226</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7">
        <f ca="1">ROUND(IF('数据-取费表'!B22&lt;=1,C5*F22*'数据-取费表'!B23,C5*(POWER((1+F22),'数据-取费表'!B23)-1)),0)</f>
        <v>12050</v>
      </c>
      <c r="D23" s="388"/>
      <c r="E23" s="388"/>
      <c r="F23" s="389"/>
      <c r="G23" s="390" t="s">
        <v>1740</v>
      </c>
    </row>
    <row r="24" spans="1:7" s="335" customFormat="1" ht="13.5" customHeight="1">
      <c r="A24" s="386" t="s">
        <v>1700</v>
      </c>
      <c r="B24" s="359" t="s">
        <v>1741</v>
      </c>
      <c r="C24" s="387">
        <f ca="1">ROUND(IF('数据-取费表'!B22&lt;=1,C19*F22*('数据-取费表'!B19/2+'数据-取费表'!B21),C19*(POWER((1+F22),('数据-取费表'!B19/2+'数据-取费表'!B21))-1)),0)</f>
        <v>0</v>
      </c>
      <c r="D24" s="388"/>
      <c r="E24" s="388"/>
      <c r="F24" s="389"/>
      <c r="G24" s="390" t="s">
        <v>1742</v>
      </c>
    </row>
    <row r="25" spans="1:7" s="335" customFormat="1" ht="24">
      <c r="A25" s="386" t="s">
        <v>1702</v>
      </c>
      <c r="B25" s="359" t="s">
        <v>1743</v>
      </c>
      <c r="C25" s="387">
        <f ca="1">ROUND(IF('数据-取费表'!B22&lt;=1,C20*F22*'数据-取费表'!B23/2,C20*(POWER((1+F22),'数据-取费表'!B23/2)-1)),0)</f>
        <v>176</v>
      </c>
      <c r="D25" s="388"/>
      <c r="E25" s="391"/>
      <c r="F25" s="389"/>
      <c r="G25" s="392" t="s">
        <v>1744</v>
      </c>
    </row>
    <row r="26" spans="1:7" s="335" customFormat="1">
      <c r="A26" s="386" t="s">
        <v>1745</v>
      </c>
      <c r="B26" s="359" t="s">
        <v>1746</v>
      </c>
      <c r="C26" s="388">
        <f ca="1">ROUND(IF('数据-取费表'!B22&lt;=1,F21*F22*'数据-取费表'!B23/2,F21*(POWER((1+F22),'数据-取费表'!B23/2)-1)),4)</f>
        <v>1E-3</v>
      </c>
      <c r="D26" s="388"/>
      <c r="E26" s="391"/>
      <c r="F26" s="389"/>
      <c r="G26" s="393"/>
    </row>
    <row r="27" spans="1:7" s="335" customFormat="1" ht="26.4">
      <c r="A27" s="353" t="s">
        <v>1747</v>
      </c>
      <c r="B27" s="394" t="s">
        <v>1748</v>
      </c>
      <c r="C27" s="395">
        <f ca="1">C28</f>
        <v>30813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ROUND((C5+C19+C20)*F27*'数据-取费表'!B21/'数据-取费表'!B20,0)</f>
        <v>30813</v>
      </c>
      <c r="D28" s="381"/>
      <c r="E28" s="382"/>
      <c r="F28" s="396"/>
      <c r="G28" s="397"/>
    </row>
    <row r="29" spans="1:7" s="335" customFormat="1" ht="13.5" customHeight="1">
      <c r="A29" s="386" t="s">
        <v>1700</v>
      </c>
      <c r="B29" s="398" t="s">
        <v>1751</v>
      </c>
      <c r="C29" s="388">
        <f ca="1">ROUND(C21*F27*'数据-取费表'!B21/'数据-取费表'!B20,4)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180435</v>
      </c>
      <c r="D31" s="401"/>
      <c r="E31" s="355"/>
      <c r="F31" s="402"/>
      <c r="G31" s="383" t="s">
        <v>1756</v>
      </c>
    </row>
    <row r="32" spans="1:7" s="334" customFormat="1" ht="16.2">
      <c r="A32" s="403" t="s">
        <v>1757</v>
      </c>
      <c r="B32" s="404"/>
      <c r="C32" s="404"/>
      <c r="D32" s="404"/>
      <c r="E32" s="404"/>
      <c r="F32" s="404"/>
      <c r="G32" s="405"/>
    </row>
    <row r="33" spans="1:7" s="335" customFormat="1" ht="13.5" customHeight="1">
      <c r="A33" s="353" t="s">
        <v>1694</v>
      </c>
      <c r="B33" s="354" t="s">
        <v>1758</v>
      </c>
      <c r="C33" s="406">
        <f ca="1">SUM(C34:C38)</f>
        <v>116409</v>
      </c>
      <c r="D33" s="378"/>
      <c r="E33" s="356"/>
      <c r="F33" s="391"/>
      <c r="G33" s="383"/>
    </row>
    <row r="34" spans="1:7" s="337" customFormat="1" ht="13.5" customHeight="1">
      <c r="A34" s="386" t="s">
        <v>1698</v>
      </c>
      <c r="B34" s="359" t="s">
        <v>1759</v>
      </c>
      <c r="C34" s="364">
        <f ca="1">IF(B1="",IF(F34=100%,'数据-取费表'!M16,'数据-取费表'!O16),IF(F34=100%,INDIRECT("'数据-取费表'!m"&amp;$G$1)+INDIRECT("'数据-取费表'!t"&amp;$G$1),INDIRECT("'数据-取费表'!o"&amp;$G$1)+INDIRECT("'数据-取费表'!aq"&amp;$G$1)))</f>
        <v>104928</v>
      </c>
      <c r="D34" s="361"/>
      <c r="E34" s="364"/>
      <c r="F34" s="407">
        <f ca="1">IF('数据-取费表'!B24=0,1,IF(B1="",'数据-取费表'!N16,INDIRECT("'数据-取费表'!n"&amp;$G$1)))</f>
        <v>1</v>
      </c>
      <c r="G34" s="363" t="s">
        <v>1760</v>
      </c>
    </row>
    <row r="35" spans="1:7" ht="13.5" customHeight="1">
      <c r="A35" s="386" t="s">
        <v>1700</v>
      </c>
      <c r="B35" s="359" t="s">
        <v>1761</v>
      </c>
      <c r="C35" s="364">
        <f ca="1">ROUND(C34*F35,0)</f>
        <v>6296</v>
      </c>
      <c r="D35" s="364"/>
      <c r="E35" s="364"/>
      <c r="F35" s="408">
        <f>'数据-取费表'!B33</f>
        <v>0.06</v>
      </c>
      <c r="G35" s="363" t="s">
        <v>1762</v>
      </c>
    </row>
    <row r="36" spans="1:7" ht="24">
      <c r="A36" s="386" t="s">
        <v>1702</v>
      </c>
      <c r="B36" s="359" t="s">
        <v>1763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1764</v>
      </c>
    </row>
    <row r="37" spans="1:7" s="337" customFormat="1" ht="13.5" customHeight="1">
      <c r="A37" s="386" t="s">
        <v>1745</v>
      </c>
      <c r="B37" s="359" t="s">
        <v>1765</v>
      </c>
      <c r="C37" s="399">
        <f ca="1">ROUND(E37*D37*F34/10000,0)</f>
        <v>3086</v>
      </c>
      <c r="D37" s="361">
        <f ca="1">D19</f>
        <v>154306.03</v>
      </c>
      <c r="E37" s="399">
        <f>'数据-取费表'!B35</f>
        <v>200</v>
      </c>
      <c r="F37" s="408"/>
      <c r="G37" s="410" t="s">
        <v>1766</v>
      </c>
    </row>
    <row r="38" spans="1:7" ht="13.5" customHeight="1">
      <c r="A38" s="386" t="s">
        <v>1767</v>
      </c>
      <c r="B38" s="359" t="s">
        <v>1061</v>
      </c>
      <c r="C38" s="364">
        <f ca="1">ROUND(C34*F38,0)</f>
        <v>2099</v>
      </c>
      <c r="D38" s="364"/>
      <c r="E38" s="364"/>
      <c r="F38" s="408">
        <f>'数据-取费表'!B36</f>
        <v>0.02</v>
      </c>
      <c r="G38" s="363" t="s">
        <v>1762</v>
      </c>
    </row>
    <row r="39" spans="1:7" s="335" customFormat="1" ht="13.5" customHeight="1">
      <c r="A39" s="353" t="s">
        <v>1727</v>
      </c>
      <c r="B39" s="354" t="s">
        <v>1731</v>
      </c>
      <c r="C39" s="378">
        <f ca="1">ROUND(C33*F20,0)</f>
        <v>3492</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5893</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ROUND(IF('数据-取费表'!B22&lt;=1,C33*F22*'数据-取费表'!B21/2,C33*(POWER((1+F22),'数据-取费表'!B21/2)-1)),0)</f>
        <v>5721</v>
      </c>
      <c r="D42" s="388"/>
      <c r="E42" s="388"/>
      <c r="F42" s="389"/>
      <c r="G42" s="3465" t="s">
        <v>1771</v>
      </c>
    </row>
    <row r="43" spans="1:7" ht="13.5" customHeight="1">
      <c r="A43" s="386" t="s">
        <v>1700</v>
      </c>
      <c r="B43" s="359" t="s">
        <v>1741</v>
      </c>
      <c r="C43" s="388">
        <f ca="1">ROUND(IF('数据-取费表'!B22&lt;=1,C39*F22*'数据-取费表'!B21/2,C39*(POWER((1+F22),'数据-取费表'!B21/2)-1)),0)</f>
        <v>172</v>
      </c>
      <c r="D43" s="388"/>
      <c r="E43" s="388"/>
      <c r="F43" s="389"/>
      <c r="G43" s="3466"/>
    </row>
    <row r="44" spans="1:7" ht="13.5" customHeight="1">
      <c r="A44" s="386" t="s">
        <v>1702</v>
      </c>
      <c r="B44" s="359" t="s">
        <v>1743</v>
      </c>
      <c r="C44" s="388">
        <f ca="1">ROUND(IF('数据-取费表'!B22&lt;=1,C40*F22*'数据-取费表'!B21/2,C40*(POWER((1+F22),'数据-取费表'!B21/2)-1)),4)</f>
        <v>1E-3</v>
      </c>
      <c r="D44" s="388"/>
      <c r="E44" s="388"/>
      <c r="F44" s="389"/>
      <c r="G44" s="3467"/>
    </row>
    <row r="45" spans="1:7" s="335" customFormat="1" ht="13.5" customHeight="1">
      <c r="A45" s="353" t="s">
        <v>1737</v>
      </c>
      <c r="B45" s="394" t="s">
        <v>1748</v>
      </c>
      <c r="C45" s="395">
        <f ca="1">C46</f>
        <v>29975</v>
      </c>
      <c r="D45" s="381">
        <f ca="1">C47</f>
        <v>5.0000000000000001E-3</v>
      </c>
      <c r="E45" s="382" t="s">
        <v>1769</v>
      </c>
      <c r="F45" s="396">
        <f ca="1">F27</f>
        <v>0.25</v>
      </c>
      <c r="G45" s="397" t="s">
        <v>1772</v>
      </c>
    </row>
    <row r="46" spans="1:7" s="335" customFormat="1" ht="13.5" customHeight="1">
      <c r="A46" s="386" t="s">
        <v>1698</v>
      </c>
      <c r="B46" s="398" t="s">
        <v>1773</v>
      </c>
      <c r="C46" s="399">
        <f ca="1">ROUND((C33+C39)*F27,0)</f>
        <v>29975</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381">
        <f>ROUND(F30/(1+'数据-取费表'!C42),4)</f>
        <v>5.2400000000000002E-2</v>
      </c>
      <c r="D48" s="382" t="s">
        <v>1769</v>
      </c>
      <c r="E48" s="378"/>
      <c r="F48" s="385">
        <f>F30</f>
        <v>5.5E-2</v>
      </c>
      <c r="G48" s="383" t="s">
        <v>1775</v>
      </c>
    </row>
    <row r="49" spans="1:7" ht="16.5" customHeight="1">
      <c r="A49" s="353" t="s">
        <v>1752</v>
      </c>
      <c r="B49" s="354" t="s">
        <v>1776</v>
      </c>
      <c r="C49" s="378">
        <f ca="1">ROUND((C33+C39+C41+C45)/(1-C40-D41-D45-C48),0)</f>
        <v>169020</v>
      </c>
      <c r="D49" s="378"/>
      <c r="E49" s="378"/>
      <c r="F49" s="413"/>
      <c r="G49" s="383" t="s">
        <v>1777</v>
      </c>
    </row>
    <row r="50" spans="1:7" s="337" customFormat="1" ht="24">
      <c r="A50" s="353" t="s">
        <v>1778</v>
      </c>
      <c r="B50" s="354" t="s">
        <v>1779</v>
      </c>
      <c r="C50" s="378"/>
      <c r="D50" s="378"/>
      <c r="E50" s="378"/>
      <c r="F50" s="413">
        <f>IF('数据-取费表'!B24=0,'数据-取费表'!N16,1)</f>
        <v>0.93</v>
      </c>
      <c r="G50" s="397" t="s">
        <v>1780</v>
      </c>
    </row>
    <row r="51" spans="1:7" ht="16.5" customHeight="1">
      <c r="A51" s="353" t="s">
        <v>1781</v>
      </c>
      <c r="B51" s="354" t="s">
        <v>1782</v>
      </c>
      <c r="C51" s="378">
        <f ca="1">ROUND(C49*F50,0)</f>
        <v>157189</v>
      </c>
      <c r="D51" s="378"/>
      <c r="E51" s="378"/>
      <c r="F51" s="413"/>
      <c r="G51" s="383" t="s">
        <v>1783</v>
      </c>
    </row>
    <row r="52" spans="1:7" s="334" customFormat="1" ht="16.2">
      <c r="A52" s="414" t="s">
        <v>1784</v>
      </c>
      <c r="B52" s="415"/>
      <c r="C52" s="416">
        <f ca="1">C31+C51</f>
        <v>337624</v>
      </c>
      <c r="D52" s="415"/>
      <c r="E52" s="415"/>
      <c r="F52" s="415"/>
      <c r="G52" s="417"/>
    </row>
    <row r="55" spans="1:7" ht="15">
      <c r="B55" s="418" t="s">
        <v>1785</v>
      </c>
      <c r="C55" s="419"/>
    </row>
    <row r="56" spans="1:7">
      <c r="B56" s="420" t="s">
        <v>1786</v>
      </c>
      <c r="C56" s="422">
        <f ca="1">1-C57</f>
        <v>0.53400000000000003</v>
      </c>
    </row>
    <row r="57" spans="1:7">
      <c r="B57" s="420" t="s">
        <v>1787</v>
      </c>
      <c r="C57" s="421">
        <f ca="1">ROUND(C51/C52,3)</f>
        <v>0.46600000000000003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1690</v>
      </c>
      <c r="B1" s="2187"/>
      <c r="C1" s="2188" t="s">
        <v>1788</v>
      </c>
      <c r="D1" s="343"/>
      <c r="E1" s="343"/>
      <c r="F1" s="343"/>
      <c r="G1" s="2189">
        <f>MATCH(B1,'数据-取费表'!A6:A16,0)+5</f>
        <v>7</v>
      </c>
      <c r="H1" s="1553" t="str">
        <f>IF(ISERROR(FIND("住宅",B1)),"非住宅","住宅")</f>
        <v>非住宅</v>
      </c>
    </row>
    <row r="2" spans="1:8" s="333" customFormat="1" ht="18" customHeight="1">
      <c r="A2" s="345" t="s">
        <v>1121</v>
      </c>
      <c r="B2" s="2190">
        <f ca="1">ROUND(IF(D2="——",C52/10000,C52/10000-E2),4)</f>
        <v>166262.48850000001</v>
      </c>
      <c r="C2" s="344" t="s">
        <v>1691</v>
      </c>
      <c r="D2" s="2191" t="s">
        <v>124</v>
      </c>
      <c r="E2" s="2192" t="e">
        <f ca="1">SUMIF(INDIRECT("'"&amp;G2&amp;"'"&amp;"!A:A"),"承租人权益价值",INDIRECT("'"&amp;G2&amp;"'"&amp;"!c:c"))</f>
        <v>#REF!</v>
      </c>
      <c r="F2" s="2193" t="s">
        <v>1691</v>
      </c>
      <c r="G2" s="2194"/>
    </row>
    <row r="3" spans="1:8" s="333" customFormat="1" ht="18" customHeight="1">
      <c r="A3" s="348" t="s">
        <v>1122</v>
      </c>
      <c r="B3" s="349">
        <f ca="1">ROUND(B2*10000/(IF(B1="",'数据-汇总表'!E3,INDIRECT("'数据-取费表'!k"&amp;$G$1))),0)</f>
        <v>10775</v>
      </c>
      <c r="C3" s="344" t="s">
        <v>1692</v>
      </c>
      <c r="D3" s="344"/>
      <c r="E3" s="344"/>
      <c r="F3" s="344"/>
      <c r="G3" s="344"/>
    </row>
    <row r="4" spans="1:8" s="334" customFormat="1" ht="16.2">
      <c r="A4" s="350" t="s">
        <v>1693</v>
      </c>
      <c r="B4" s="351"/>
      <c r="C4" s="351"/>
      <c r="D4" s="351"/>
      <c r="E4" s="351"/>
      <c r="F4" s="351"/>
      <c r="G4" s="352"/>
    </row>
    <row r="5" spans="1:8" s="335" customFormat="1" ht="13.5" customHeight="1">
      <c r="A5" s="353" t="s">
        <v>1694</v>
      </c>
      <c r="B5" s="354" t="s">
        <v>1695</v>
      </c>
      <c r="C5" s="355">
        <f ca="1">C6+C7+C8</f>
        <v>29318146</v>
      </c>
      <c r="D5" s="355" t="s">
        <v>1696</v>
      </c>
      <c r="E5" s="356" t="s">
        <v>1697</v>
      </c>
      <c r="F5" s="356" t="s">
        <v>1025</v>
      </c>
      <c r="G5" s="357"/>
    </row>
    <row r="6" spans="1:8" s="335" customFormat="1" ht="13.5" customHeight="1">
      <c r="A6" s="358" t="s">
        <v>1698</v>
      </c>
      <c r="B6" s="359" t="s">
        <v>1699</v>
      </c>
      <c r="C6" s="360"/>
      <c r="D6" s="361"/>
      <c r="E6" s="362"/>
      <c r="F6" s="362"/>
      <c r="G6" s="363"/>
    </row>
    <row r="7" spans="1:8" s="335" customFormat="1" ht="13.5" customHeight="1">
      <c r="A7" s="358" t="s">
        <v>1700</v>
      </c>
      <c r="B7" s="359" t="s">
        <v>1701</v>
      </c>
      <c r="C7" s="364">
        <f>ROUND(C6*F7,0)</f>
        <v>0</v>
      </c>
      <c r="D7" s="364"/>
      <c r="E7" s="362"/>
      <c r="F7" s="365">
        <f>IF(项目基本情况!B8="出让",0,'数据-取费表'!B48+'数据-取费表'!B49)</f>
        <v>3.0499999999999999E-2</v>
      </c>
      <c r="G7" s="363"/>
    </row>
    <row r="8" spans="1:8" s="336" customFormat="1">
      <c r="A8" s="358" t="s">
        <v>1702</v>
      </c>
      <c r="B8" s="359" t="s">
        <v>1703</v>
      </c>
      <c r="C8" s="364">
        <f ca="1">IF(G8="已包含在土地购买价格中",0,C9+C10)</f>
        <v>29318146</v>
      </c>
      <c r="D8" s="366"/>
      <c r="E8" s="364"/>
      <c r="F8" s="365"/>
      <c r="G8" s="2195"/>
    </row>
    <row r="9" spans="1:8" s="335" customFormat="1" ht="13.5" customHeight="1">
      <c r="A9" s="368" t="s">
        <v>1705</v>
      </c>
      <c r="B9" s="369" t="s">
        <v>1706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1709</v>
      </c>
      <c r="B10" s="369" t="s">
        <v>1710</v>
      </c>
      <c r="C10" s="370">
        <f ca="1">ROUND(D10*E10,0)</f>
        <v>29318146</v>
      </c>
      <c r="D10" s="371">
        <f ca="1">IF(B1="",'数据-汇总表'!E6,IF(INDIRECT("'数据-取费表'!c"&amp;$G$1)="住宅",INDIRECT("'数据-取费表'!s"&amp;$G$1),INDIRECT("'数据-取费表'!k"&amp;$G$1)+INDIRECT("'数据-取费表'!s"&amp;$G$1)))</f>
        <v>154306.03</v>
      </c>
      <c r="E10" s="370">
        <f>'数据-取费表'!B28</f>
        <v>190</v>
      </c>
      <c r="F10" s="365"/>
      <c r="G10" s="372"/>
    </row>
    <row r="11" spans="1:8" s="335" customFormat="1" ht="13.5" hidden="1" customHeight="1">
      <c r="A11" s="373" t="s">
        <v>1711</v>
      </c>
      <c r="B11" s="359" t="s">
        <v>1712</v>
      </c>
      <c r="C11" s="355"/>
      <c r="D11" s="362"/>
      <c r="E11" s="362"/>
      <c r="F11" s="362"/>
      <c r="G11" s="363"/>
    </row>
    <row r="12" spans="1:8" s="335" customFormat="1" ht="13.5" hidden="1" customHeight="1">
      <c r="A12" s="373" t="s">
        <v>1713</v>
      </c>
      <c r="B12" s="359" t="s">
        <v>1061</v>
      </c>
      <c r="C12" s="355">
        <v>0</v>
      </c>
      <c r="D12" s="362"/>
      <c r="E12" s="374"/>
      <c r="F12" s="365">
        <v>3.0499999999999999E-2</v>
      </c>
      <c r="G12" s="363"/>
    </row>
    <row r="13" spans="1:8" s="335" customFormat="1" ht="13.5" hidden="1" customHeight="1">
      <c r="A13" s="373" t="s">
        <v>1714</v>
      </c>
      <c r="B13" s="359" t="s">
        <v>1715</v>
      </c>
      <c r="C13" s="355"/>
      <c r="D13" s="362"/>
      <c r="E13" s="362"/>
      <c r="F13" s="362"/>
      <c r="G13" s="363"/>
    </row>
    <row r="14" spans="1:8" s="335" customFormat="1" ht="13.5" hidden="1" customHeight="1">
      <c r="A14" s="373" t="s">
        <v>1716</v>
      </c>
      <c r="B14" s="359" t="s">
        <v>1703</v>
      </c>
      <c r="C14" s="355"/>
      <c r="D14" s="362"/>
      <c r="E14" s="362"/>
      <c r="F14" s="362"/>
      <c r="G14" s="363" t="s">
        <v>1717</v>
      </c>
    </row>
    <row r="15" spans="1:8" s="335" customFormat="1" ht="13.5" hidden="1" customHeight="1">
      <c r="A15" s="373" t="s">
        <v>1718</v>
      </c>
      <c r="B15" s="359" t="s">
        <v>1719</v>
      </c>
      <c r="C15" s="364"/>
      <c r="D15" s="362"/>
      <c r="E15" s="362"/>
      <c r="F15" s="362"/>
      <c r="G15" s="363" t="s">
        <v>1720</v>
      </c>
    </row>
    <row r="16" spans="1:8"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f ca="1">IF(G19="已包含在土地取得成本中","0",ROUND(D19*E19,0))</f>
        <v>30861206</v>
      </c>
      <c r="D19" s="356">
        <f ca="1">D9+D10</f>
        <v>154306.03</v>
      </c>
      <c r="E19" s="355">
        <f>'数据-取费表'!B31</f>
        <v>200</v>
      </c>
      <c r="F19" s="377"/>
      <c r="G19" s="2195"/>
    </row>
    <row r="20" spans="1:7" s="335" customFormat="1" ht="13.5" customHeight="1">
      <c r="A20" s="353" t="s">
        <v>1730</v>
      </c>
      <c r="B20" s="354" t="s">
        <v>1731</v>
      </c>
      <c r="C20" s="378">
        <f ca="1">ROUND((C5+C19)*F20,0)</f>
        <v>1805381</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78">
        <f ca="1">ROUND(SUM(C23:C25),0)</f>
        <v>6148970</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8">
        <f ca="1">ROUND(IF('数据-取费表'!B22&lt;=1,C5*F22*'数据-取费表'!B22,C5*(POWER((1+F22),'数据-取费表'!B22)-1)),0)</f>
        <v>2952428</v>
      </c>
      <c r="D23" s="388"/>
      <c r="E23" s="388"/>
      <c r="F23" s="389"/>
      <c r="G23" s="390" t="s">
        <v>1740</v>
      </c>
    </row>
    <row r="24" spans="1:7" s="335" customFormat="1" ht="13.5" customHeight="1">
      <c r="A24" s="386" t="s">
        <v>1700</v>
      </c>
      <c r="B24" s="359" t="s">
        <v>1741</v>
      </c>
      <c r="C24" s="388">
        <f ca="1">ROUND(IF('数据-取费表'!B22&lt;=1,C19*F22*('数据-取费表'!B19/2+'数据-取费表'!B20),C19*(POWER((1+F22),('数据-取费表'!B19/2+'数据-取费表'!B20))-1)),0)</f>
        <v>3107818</v>
      </c>
      <c r="D24" s="388"/>
      <c r="E24" s="388"/>
      <c r="F24" s="389"/>
      <c r="G24" s="390" t="s">
        <v>1742</v>
      </c>
    </row>
    <row r="25" spans="1:7" s="335" customFormat="1" ht="24">
      <c r="A25" s="386" t="s">
        <v>1702</v>
      </c>
      <c r="B25" s="359" t="s">
        <v>1743</v>
      </c>
      <c r="C25" s="388">
        <f ca="1">ROUND(IF('数据-取费表'!B22&lt;=1,C20*F22*'数据-取费表'!B22/2,C20*(POWER((1+F22),'数据-取费表'!B22/2)-1)),0)</f>
        <v>88724</v>
      </c>
      <c r="D25" s="388"/>
      <c r="E25" s="391"/>
      <c r="F25" s="389"/>
      <c r="G25" s="392" t="s">
        <v>1744</v>
      </c>
    </row>
    <row r="26" spans="1:7" s="335" customFormat="1">
      <c r="A26" s="386" t="s">
        <v>1745</v>
      </c>
      <c r="B26" s="359" t="s">
        <v>1746</v>
      </c>
      <c r="C26" s="388">
        <f ca="1">ROUND(IF('数据-取费表'!B22&lt;=1,F21*F22*'数据-取费表'!B22/2,F21*(POWER((1+F22),'数据-取费表'!B22/2)-1)),4)</f>
        <v>1E-3</v>
      </c>
      <c r="D26" s="388"/>
      <c r="E26" s="391"/>
      <c r="F26" s="389"/>
      <c r="G26" s="393"/>
    </row>
    <row r="27" spans="1:7" s="335" customFormat="1" ht="26.4">
      <c r="A27" s="353" t="s">
        <v>1747</v>
      </c>
      <c r="B27" s="394" t="s">
        <v>1748</v>
      </c>
      <c r="C27" s="395">
        <f ca="1">C28</f>
        <v>15496183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ROUND((C5+C19+C20)*F27,0)</f>
        <v>15496183</v>
      </c>
      <c r="D28" s="381"/>
      <c r="E28" s="382"/>
      <c r="F28" s="396"/>
      <c r="G28" s="397"/>
    </row>
    <row r="29" spans="1:7" s="335" customFormat="1" ht="13.5" customHeight="1">
      <c r="A29" s="386" t="s">
        <v>1700</v>
      </c>
      <c r="B29" s="398" t="s">
        <v>1751</v>
      </c>
      <c r="C29" s="388">
        <f ca="1">ROUND(C21*F27,4)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90744234</v>
      </c>
      <c r="D31" s="401"/>
      <c r="E31" s="355"/>
      <c r="F31" s="402"/>
      <c r="G31" s="383" t="s">
        <v>1756</v>
      </c>
    </row>
    <row r="32" spans="1:7" s="334" customFormat="1" ht="16.2">
      <c r="A32" s="403" t="s">
        <v>1789</v>
      </c>
      <c r="B32" s="404"/>
      <c r="C32" s="404"/>
      <c r="D32" s="404"/>
      <c r="E32" s="404"/>
      <c r="F32" s="404"/>
      <c r="G32" s="405"/>
    </row>
    <row r="33" spans="1:7" s="335" customFormat="1" ht="13.5" customHeight="1">
      <c r="A33" s="353" t="s">
        <v>1694</v>
      </c>
      <c r="B33" s="354" t="s">
        <v>1790</v>
      </c>
      <c r="C33" s="406">
        <f ca="1">SUM(C34:C38)</f>
        <v>1164084690</v>
      </c>
      <c r="D33" s="378"/>
      <c r="E33" s="356"/>
      <c r="F33" s="391"/>
      <c r="G33" s="383"/>
    </row>
    <row r="34" spans="1:7" s="337" customFormat="1" ht="13.5" customHeight="1">
      <c r="A34" s="386" t="s">
        <v>1698</v>
      </c>
      <c r="B34" s="359" t="s">
        <v>1759</v>
      </c>
      <c r="C34" s="364">
        <f ca="1">ROUND(IF(B1="",SUMPRODUCT('数据-取费表'!K6:K14,'数据-取费表'!L6:L14),INDIRECT("'数据-取费表'!l"&amp;$G$1)*INDIRECT("'数据-取费表'!k"&amp;$G$1)+'数据-取费表'!L14*INDIRECT("'数据-取费表'!S"&amp;$G$1)),0)</f>
        <v>1049281004</v>
      </c>
      <c r="D34" s="361"/>
      <c r="E34" s="364"/>
      <c r="F34" s="407"/>
      <c r="G34" s="363"/>
    </row>
    <row r="35" spans="1:7" ht="13.5" customHeight="1">
      <c r="A35" s="386" t="s">
        <v>1700</v>
      </c>
      <c r="B35" s="359" t="s">
        <v>1761</v>
      </c>
      <c r="C35" s="364">
        <f ca="1">ROUND(C34*F35,0)</f>
        <v>62956860</v>
      </c>
      <c r="D35" s="364"/>
      <c r="E35" s="364"/>
      <c r="F35" s="408">
        <f>'数据-取费表'!B33</f>
        <v>0.06</v>
      </c>
      <c r="G35" s="363" t="s">
        <v>1762</v>
      </c>
    </row>
    <row r="36" spans="1:7" ht="24">
      <c r="A36" s="386" t="s">
        <v>1702</v>
      </c>
      <c r="B36" s="359" t="s">
        <v>1763</v>
      </c>
      <c r="C36" s="364">
        <f ca="1">ROUND(IF(B1="",SUM('数据-取费表'!AP6:AP13)*F36,IF(INDIRECT("'数据-取费表'!c"&amp;$G$1)="住宅",INDIRECT("'数据-取费表'!k"&amp;$G$1)*INDIRECT("'数据-取费表'!l"&amp;$G$1)*F36,0)),0)</f>
        <v>0</v>
      </c>
      <c r="D36" s="364"/>
      <c r="E36" s="364"/>
      <c r="F36" s="408">
        <f>'数据-取费表'!B34</f>
        <v>0</v>
      </c>
      <c r="G36" s="409" t="s">
        <v>1764</v>
      </c>
    </row>
    <row r="37" spans="1:7" s="337" customFormat="1" ht="13.5" customHeight="1">
      <c r="A37" s="386" t="s">
        <v>1745</v>
      </c>
      <c r="B37" s="359" t="s">
        <v>1765</v>
      </c>
      <c r="C37" s="399">
        <f ca="1">ROUND(E37*D37,0)</f>
        <v>30861206</v>
      </c>
      <c r="D37" s="361">
        <f ca="1">D19</f>
        <v>154306.03</v>
      </c>
      <c r="E37" s="399">
        <f>'数据-取费表'!B35</f>
        <v>200</v>
      </c>
      <c r="F37" s="408"/>
      <c r="G37" s="410"/>
    </row>
    <row r="38" spans="1:7" ht="13.5" customHeight="1">
      <c r="A38" s="386" t="s">
        <v>1767</v>
      </c>
      <c r="B38" s="359" t="s">
        <v>1061</v>
      </c>
      <c r="C38" s="364">
        <f ca="1">ROUND(C34*F38,0)</f>
        <v>20985620</v>
      </c>
      <c r="D38" s="364"/>
      <c r="E38" s="364"/>
      <c r="F38" s="408">
        <f>'数据-取费表'!B36</f>
        <v>0.02</v>
      </c>
      <c r="G38" s="363" t="s">
        <v>1762</v>
      </c>
    </row>
    <row r="39" spans="1:7" s="335" customFormat="1" ht="13.5" customHeight="1">
      <c r="A39" s="353" t="s">
        <v>1727</v>
      </c>
      <c r="B39" s="354" t="s">
        <v>1731</v>
      </c>
      <c r="C39" s="378">
        <f ca="1">ROUND(C33*F20,0)</f>
        <v>34922541</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58923980</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ROUND(IF('数据-取费表'!B22&lt;=1,C33*F22*'数据-取费表'!B20/2,C33*(POWER((1+F22),'数据-取费表'!B20/2)-1)),0)</f>
        <v>57207748</v>
      </c>
      <c r="D42" s="388"/>
      <c r="E42" s="388"/>
      <c r="F42" s="389"/>
      <c r="G42" s="3465" t="s">
        <v>1791</v>
      </c>
    </row>
    <row r="43" spans="1:7" ht="13.5" customHeight="1">
      <c r="A43" s="386" t="s">
        <v>1700</v>
      </c>
      <c r="B43" s="359" t="s">
        <v>1741</v>
      </c>
      <c r="C43" s="388">
        <f ca="1">ROUND(IF('数据-取费表'!B22&lt;=1,C39*F22*'数据-取费表'!B20/2,C39*(POWER((1+F22),'数据-取费表'!B20/2)-1)),0)</f>
        <v>1716232</v>
      </c>
      <c r="D43" s="388"/>
      <c r="E43" s="388"/>
      <c r="F43" s="389"/>
      <c r="G43" s="3466"/>
    </row>
    <row r="44" spans="1:7" ht="13.5" customHeight="1">
      <c r="A44" s="386" t="s">
        <v>1702</v>
      </c>
      <c r="B44" s="359" t="s">
        <v>1743</v>
      </c>
      <c r="C44" s="388">
        <f ca="1">ROUND(IF('数据-取费表'!B22&lt;=1,C40*F22*'数据-取费表'!B20/2,C40*(POWER((1+F22),'数据-取费表'!B20/2)-1)),4)</f>
        <v>1E-3</v>
      </c>
      <c r="D44" s="388"/>
      <c r="E44" s="388"/>
      <c r="F44" s="389"/>
      <c r="G44" s="3467"/>
    </row>
    <row r="45" spans="1:7" s="335" customFormat="1" ht="13.5" customHeight="1">
      <c r="A45" s="353" t="s">
        <v>1737</v>
      </c>
      <c r="B45" s="394" t="s">
        <v>1748</v>
      </c>
      <c r="C45" s="395">
        <f ca="1">C46</f>
        <v>299751808</v>
      </c>
      <c r="D45" s="381">
        <f ca="1">C47</f>
        <v>5.0000000000000001E-3</v>
      </c>
      <c r="E45" s="382" t="s">
        <v>1769</v>
      </c>
      <c r="F45" s="396">
        <f ca="1">F27</f>
        <v>0.25</v>
      </c>
      <c r="G45" s="397" t="s">
        <v>1772</v>
      </c>
    </row>
    <row r="46" spans="1:7" s="335" customFormat="1" ht="13.5" customHeight="1">
      <c r="A46" s="386" t="s">
        <v>1698</v>
      </c>
      <c r="B46" s="398" t="s">
        <v>1773</v>
      </c>
      <c r="C46" s="399">
        <f ca="1">ROUND((C33+C39)*F27,0)</f>
        <v>299751808</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411">
        <f>ROUND(F30/(1+'数据-取费表'!C42),4)</f>
        <v>5.2400000000000002E-2</v>
      </c>
      <c r="D48" s="382" t="s">
        <v>1769</v>
      </c>
      <c r="E48" s="378"/>
      <c r="F48" s="385">
        <f>F30</f>
        <v>5.5E-2</v>
      </c>
      <c r="G48" s="383" t="s">
        <v>1775</v>
      </c>
    </row>
    <row r="49" spans="1:7" ht="16.5" customHeight="1">
      <c r="A49" s="353" t="s">
        <v>1752</v>
      </c>
      <c r="B49" s="354" t="s">
        <v>1792</v>
      </c>
      <c r="C49" s="378">
        <f ca="1">ROUND((C33+C39+C41+C45)/(1-C40-D41-D45-C48),0)</f>
        <v>1690194248</v>
      </c>
      <c r="D49" s="378"/>
      <c r="E49" s="378"/>
      <c r="F49" s="413"/>
      <c r="G49" s="383" t="s">
        <v>1777</v>
      </c>
    </row>
    <row r="50" spans="1:7" s="337" customFormat="1">
      <c r="A50" s="353" t="s">
        <v>1778</v>
      </c>
      <c r="B50" s="354" t="s">
        <v>1779</v>
      </c>
      <c r="C50" s="378"/>
      <c r="D50" s="378"/>
      <c r="E50" s="378"/>
      <c r="F50" s="413">
        <f>IF('数据-取费表'!B24=0,'数据-取费表'!N16,1)</f>
        <v>0.93</v>
      </c>
      <c r="G50" s="397"/>
    </row>
    <row r="51" spans="1:7" ht="16.5" customHeight="1">
      <c r="A51" s="353" t="s">
        <v>1781</v>
      </c>
      <c r="B51" s="354" t="s">
        <v>1793</v>
      </c>
      <c r="C51" s="378">
        <f ca="1">ROUND(C49*F50,0)</f>
        <v>1571880651</v>
      </c>
      <c r="D51" s="378"/>
      <c r="E51" s="378"/>
      <c r="F51" s="413"/>
      <c r="G51" s="383" t="s">
        <v>1783</v>
      </c>
    </row>
    <row r="52" spans="1:7" s="334" customFormat="1" ht="16.2">
      <c r="A52" s="414" t="s">
        <v>1784</v>
      </c>
      <c r="B52" s="415"/>
      <c r="C52" s="416">
        <f ca="1">C31+C51</f>
        <v>1662624885</v>
      </c>
      <c r="D52" s="415"/>
      <c r="E52" s="415"/>
      <c r="F52" s="415"/>
      <c r="G52" s="417"/>
    </row>
    <row r="55" spans="1:7" ht="15">
      <c r="B55" s="418" t="s">
        <v>1785</v>
      </c>
      <c r="C55" s="419"/>
    </row>
    <row r="56" spans="1:7">
      <c r="B56" s="420" t="s">
        <v>1786</v>
      </c>
      <c r="C56" s="422">
        <f ca="1">1-C57</f>
        <v>5.5000000000000049E-2</v>
      </c>
    </row>
    <row r="57" spans="1:7">
      <c r="B57" s="420" t="s">
        <v>1787</v>
      </c>
      <c r="C57" s="421">
        <f ca="1">ROUND(C51/C52,3)</f>
        <v>0.94499999999999995</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103" customWidth="1"/>
    <col min="3" max="3" width="10.33203125" style="2104" customWidth="1"/>
    <col min="4" max="4" width="9.88671875" style="2103" customWidth="1"/>
    <col min="5" max="5" width="9.44140625" style="936" customWidth="1"/>
    <col min="6" max="6" width="10.109375" style="2103" customWidth="1"/>
    <col min="7" max="7" width="10.77734375" style="2103" customWidth="1"/>
    <col min="8" max="8" width="10" style="2103" customWidth="1"/>
    <col min="9" max="11" width="9.44140625" style="2103" customWidth="1"/>
    <col min="12" max="12" width="9" style="2103" customWidth="1"/>
    <col min="13" max="13" width="10.44140625" style="2103" customWidth="1"/>
    <col min="14" max="254" width="9" style="2103" customWidth="1"/>
    <col min="255" max="16384" width="6.6640625" style="2103"/>
  </cols>
  <sheetData>
    <row r="1" spans="1:33" ht="21">
      <c r="A1" s="341" t="s">
        <v>1794</v>
      </c>
      <c r="B1" s="985"/>
      <c r="C1" s="2105"/>
      <c r="D1" s="2106"/>
      <c r="E1" s="2107"/>
      <c r="F1" s="2107"/>
      <c r="G1" s="2108"/>
      <c r="H1" s="2107"/>
      <c r="I1" s="2107"/>
      <c r="J1" s="2107"/>
      <c r="K1" s="2109">
        <f>MATCH(C1,'数据-取费表'!A6:A16,0)+5</f>
        <v>7</v>
      </c>
    </row>
    <row r="2" spans="1:33" ht="18" customHeight="1">
      <c r="A2" s="345" t="s">
        <v>1121</v>
      </c>
      <c r="B2" s="349">
        <f ca="1">C32</f>
        <v>0</v>
      </c>
      <c r="C2" s="2110" t="s">
        <v>1795</v>
      </c>
      <c r="D2" s="2110"/>
      <c r="E2" s="2107"/>
      <c r="F2" s="2107"/>
      <c r="G2" s="2107"/>
      <c r="H2" s="2107"/>
      <c r="I2" s="2107"/>
      <c r="J2" s="2107"/>
      <c r="K2" s="2107"/>
    </row>
    <row r="3" spans="1:33" ht="18" customHeight="1">
      <c r="A3" s="348" t="s">
        <v>1122</v>
      </c>
      <c r="B3" s="349">
        <f ca="1">ROUND(B2*10000/IF(C1="",'数据-汇总表'!E3,INDIRECT("'数据-取费表'!K"&amp;$K$1)),0)</f>
        <v>0</v>
      </c>
      <c r="C3" s="2110" t="s">
        <v>1796</v>
      </c>
      <c r="D3" s="2110"/>
      <c r="E3" s="2107"/>
      <c r="F3" s="2107"/>
      <c r="G3" s="2107"/>
      <c r="H3" s="2107"/>
      <c r="I3" s="2107"/>
      <c r="J3" s="2107"/>
      <c r="K3" s="2107"/>
    </row>
    <row r="4" spans="1:33" s="2095" customFormat="1" ht="16.5" customHeight="1">
      <c r="A4" s="2111" t="s">
        <v>1797</v>
      </c>
      <c r="B4" s="2112"/>
      <c r="C4" s="2113">
        <f>SUM(C8:K8)</f>
        <v>0</v>
      </c>
      <c r="D4" s="2112"/>
      <c r="E4" s="2112"/>
      <c r="F4" s="2112"/>
      <c r="G4" s="2112"/>
      <c r="H4" s="2112"/>
      <c r="I4" s="2112"/>
      <c r="J4" s="2112"/>
      <c r="K4" s="2114"/>
    </row>
    <row r="5" spans="1:33" s="2096" customFormat="1" ht="14.4">
      <c r="A5" s="2115" t="s">
        <v>1798</v>
      </c>
      <c r="B5" s="2116" t="s">
        <v>1799</v>
      </c>
      <c r="C5" s="2117"/>
      <c r="D5" s="2117"/>
      <c r="E5" s="2117"/>
      <c r="F5" s="2117"/>
      <c r="G5" s="2117"/>
      <c r="H5" s="2117"/>
      <c r="I5" s="2117"/>
      <c r="J5" s="2117"/>
      <c r="K5" s="2117"/>
      <c r="L5" s="2118"/>
      <c r="M5" s="2118"/>
      <c r="N5" s="2118"/>
      <c r="O5" s="2118"/>
      <c r="P5" s="2118"/>
      <c r="Q5" s="2118"/>
      <c r="R5" s="2118"/>
      <c r="S5" s="2118"/>
      <c r="T5" s="2118"/>
      <c r="U5" s="2118"/>
      <c r="V5" s="2118"/>
      <c r="W5" s="2118"/>
      <c r="X5" s="2118"/>
      <c r="Y5" s="2118"/>
      <c r="Z5" s="2118"/>
      <c r="AA5" s="2118"/>
      <c r="AB5" s="2118"/>
      <c r="AC5" s="2118"/>
      <c r="AD5" s="2118"/>
      <c r="AE5" s="2118"/>
      <c r="AF5" s="2118"/>
      <c r="AG5" s="2118"/>
    </row>
    <row r="6" spans="1:33" s="900" customFormat="1" ht="13.5" customHeight="1">
      <c r="A6" s="2119" t="s">
        <v>1030</v>
      </c>
      <c r="B6" s="1914" t="s">
        <v>1800</v>
      </c>
      <c r="C6" s="2120"/>
      <c r="D6" s="2120"/>
      <c r="E6" s="2120"/>
      <c r="F6" s="2120"/>
      <c r="G6" s="2120"/>
      <c r="H6" s="2120"/>
      <c r="I6" s="2120"/>
      <c r="J6" s="2120"/>
      <c r="K6" s="2121"/>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9" t="s">
        <v>1034</v>
      </c>
      <c r="B7" s="1914" t="s">
        <v>506</v>
      </c>
      <c r="C7" s="2122">
        <f>SUMIF('数据-汇总表'!$C19:$C33,假设开发法!C5,'数据-汇总表'!$E19:$E33)</f>
        <v>0</v>
      </c>
      <c r="D7" s="2122">
        <f>SUMIF('数据-汇总表'!$C19:$C33,假设开发法!D5,'数据-汇总表'!$E19:$E33)</f>
        <v>0</v>
      </c>
      <c r="E7" s="2122">
        <f>SUMIF('数据-汇总表'!$C19:$C33,假设开发法!E5,'数据-汇总表'!$E19:$E33)</f>
        <v>0</v>
      </c>
      <c r="F7" s="2122">
        <f>SUMIF('数据-汇总表'!$C19:$C33,假设开发法!F5,'数据-汇总表'!$E19:$E33)</f>
        <v>0</v>
      </c>
      <c r="G7" s="2122">
        <f>SUMIF('数据-汇总表'!$C19:$C33,假设开发法!G5,'数据-汇总表'!$E19:$E33)</f>
        <v>0</v>
      </c>
      <c r="H7" s="2122">
        <f>SUMIF('数据-汇总表'!$C19:$C33,假设开发法!H5,'数据-汇总表'!$E19:$E33)</f>
        <v>0</v>
      </c>
      <c r="I7" s="2122">
        <f>SUMIF('数据-汇总表'!$C19:$C33,假设开发法!I5,'数据-汇总表'!$E19:$E33)</f>
        <v>0</v>
      </c>
      <c r="J7" s="2122">
        <f>SUMIF('数据-汇总表'!$C19:$C33,假设开发法!J5,'数据-汇总表'!$E19:$E33)</f>
        <v>0</v>
      </c>
      <c r="K7" s="212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4" t="s">
        <v>1079</v>
      </c>
      <c r="B8" s="2125" t="s">
        <v>1801</v>
      </c>
      <c r="C8" s="2126"/>
      <c r="D8" s="2126"/>
      <c r="E8" s="2126"/>
      <c r="F8" s="2127"/>
      <c r="G8" s="2127"/>
      <c r="H8" s="2127"/>
      <c r="I8" s="2127"/>
      <c r="J8" s="2127"/>
      <c r="K8" s="2128"/>
      <c r="L8" s="901"/>
      <c r="M8" s="901"/>
      <c r="N8" s="901"/>
      <c r="O8" s="901"/>
      <c r="P8" s="901"/>
      <c r="Q8" s="901"/>
      <c r="R8" s="901"/>
      <c r="S8" s="901"/>
      <c r="T8" s="901"/>
      <c r="U8" s="901"/>
      <c r="V8" s="901"/>
      <c r="W8" s="901"/>
      <c r="X8" s="901"/>
      <c r="Y8" s="901"/>
      <c r="Z8" s="901"/>
      <c r="AA8" s="901"/>
      <c r="AB8" s="901"/>
      <c r="AC8" s="901"/>
      <c r="AD8" s="901"/>
      <c r="AE8" s="901"/>
      <c r="AF8" s="901"/>
      <c r="AG8" s="901"/>
    </row>
    <row r="9" spans="1:33" s="2095" customFormat="1" ht="16.5" customHeight="1">
      <c r="A9" s="2111" t="s">
        <v>1802</v>
      </c>
      <c r="B9" s="2112"/>
      <c r="C9" s="2112"/>
      <c r="D9" s="2112"/>
      <c r="E9" s="2112"/>
      <c r="F9" s="2112"/>
      <c r="G9" s="2112"/>
      <c r="H9" s="2112"/>
      <c r="I9" s="2112"/>
      <c r="J9" s="2112"/>
      <c r="K9" s="2114"/>
    </row>
    <row r="10" spans="1:33" s="2097" customFormat="1" ht="13.5" customHeight="1">
      <c r="A10" s="2115" t="s">
        <v>1798</v>
      </c>
      <c r="B10" s="2129" t="s">
        <v>1799</v>
      </c>
      <c r="C10" s="2130" t="s">
        <v>1803</v>
      </c>
      <c r="D10" s="2131" t="s">
        <v>1804</v>
      </c>
      <c r="E10" s="2131" t="s">
        <v>1805</v>
      </c>
      <c r="F10" s="2131" t="s">
        <v>1806</v>
      </c>
      <c r="G10" s="2129"/>
      <c r="H10" s="2132"/>
      <c r="I10" s="2132"/>
      <c r="J10" s="2132"/>
      <c r="K10" s="2133"/>
    </row>
    <row r="11" spans="1:33" s="2098" customFormat="1" ht="13.5" customHeight="1">
      <c r="A11" s="2134" t="s">
        <v>1705</v>
      </c>
      <c r="B11" s="2135" t="s">
        <v>1807</v>
      </c>
      <c r="C11" s="2136">
        <f ca="1">IF(C1="",'数据-取费表'!P16,INDIRECT("'数据-取费表'!p"&amp;$K$1)+INDIRECT("'数据-取费表'!ar"&amp;$K$1))</f>
        <v>0</v>
      </c>
      <c r="D11" s="2137"/>
      <c r="E11" s="902"/>
      <c r="F11" s="2138">
        <f ca="1">1-IF('数据-取费表'!B24=0,1,IF(C1="",'数据-取费表'!N16,INDIRECT("'数据-取费表'!n"&amp;$K$1)))</f>
        <v>0</v>
      </c>
      <c r="G11" s="2129"/>
      <c r="H11" s="2132"/>
      <c r="I11" s="2132"/>
      <c r="J11" s="2132"/>
      <c r="K11" s="2133"/>
    </row>
    <row r="12" spans="1:33" s="2098" customFormat="1" ht="13.5" customHeight="1">
      <c r="A12" s="2134" t="s">
        <v>1709</v>
      </c>
      <c r="B12" s="2135" t="s">
        <v>1808</v>
      </c>
      <c r="C12" s="996">
        <f ca="1">ROUND(C11*F12,0)</f>
        <v>0</v>
      </c>
      <c r="D12" s="2137"/>
      <c r="E12" s="902"/>
      <c r="F12" s="2138">
        <f>'数据-取费表'!B33</f>
        <v>0.06</v>
      </c>
      <c r="G12" s="2129" t="s">
        <v>1809</v>
      </c>
      <c r="H12" s="2132"/>
      <c r="I12" s="2132"/>
      <c r="J12" s="2132"/>
      <c r="K12" s="2133"/>
    </row>
    <row r="13" spans="1:33" s="2098" customFormat="1" ht="13.5" customHeight="1">
      <c r="A13" s="2134" t="s">
        <v>1810</v>
      </c>
      <c r="B13" s="2135" t="s">
        <v>1811</v>
      </c>
      <c r="C13" s="996">
        <f ca="1">ROUND(IF(C1="",SUMIF('数据-取费表'!C:C,"住宅",'数据-取费表'!P:P)*F13,IF(INDIRECT("'数据-取费表'!c"&amp;$K$1)="住宅",INDIRECT("'数据-取费表'!P"&amp;$K$1)*F13,0)),0)</f>
        <v>0</v>
      </c>
      <c r="D13" s="2139"/>
      <c r="E13" s="902"/>
      <c r="F13" s="2138">
        <f>'数据-取费表'!B34</f>
        <v>0</v>
      </c>
      <c r="G13" s="2129" t="s">
        <v>1812</v>
      </c>
      <c r="H13" s="2132"/>
      <c r="I13" s="2132"/>
      <c r="J13" s="2132"/>
      <c r="K13" s="2133"/>
    </row>
    <row r="14" spans="1:33" s="2099" customFormat="1" ht="13.5" customHeight="1">
      <c r="A14" s="2134" t="s">
        <v>1813</v>
      </c>
      <c r="B14" s="2135" t="s">
        <v>1814</v>
      </c>
      <c r="C14" s="996">
        <f ca="1">ROUND(D14*E14*F11/10000,0)</f>
        <v>0</v>
      </c>
      <c r="D14" s="2139">
        <f ca="1">IF(C1="",'数据-汇总表'!E3,INDIRECT("'数据-取费表'!K"&amp;$K$1)+INDIRECT("'数据-取费表'!S"&amp;$K$1))</f>
        <v>154306.03</v>
      </c>
      <c r="E14" s="996">
        <f>'数据-取费表'!B35</f>
        <v>200</v>
      </c>
      <c r="F14" s="2140"/>
      <c r="G14" s="2129" t="s">
        <v>1815</v>
      </c>
      <c r="H14" s="2132"/>
      <c r="I14" s="2132"/>
      <c r="J14" s="2132"/>
      <c r="K14" s="2133"/>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pans="1:33" s="2099" customFormat="1" ht="13.5" customHeight="1">
      <c r="A15" s="2134" t="s">
        <v>1816</v>
      </c>
      <c r="B15" s="2135" t="s">
        <v>1817</v>
      </c>
      <c r="C15" s="2141">
        <f ca="1">ROUND(C11*F15,0)</f>
        <v>0</v>
      </c>
      <c r="D15" s="2142"/>
      <c r="E15" s="2141"/>
      <c r="F15" s="2138">
        <f>'数据-取费表'!B36</f>
        <v>0.02</v>
      </c>
      <c r="G15" s="1914" t="s">
        <v>1818</v>
      </c>
      <c r="H15" s="1899"/>
      <c r="I15" s="1899"/>
      <c r="J15" s="1899"/>
      <c r="K15" s="1900"/>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pans="1:33" s="2099" customFormat="1" ht="13.5" customHeight="1">
      <c r="A16" s="2134" t="s">
        <v>1053</v>
      </c>
      <c r="B16" s="2135" t="s">
        <v>1819</v>
      </c>
      <c r="C16" s="2141">
        <f ca="1">SUM(C11:C15)</f>
        <v>0</v>
      </c>
      <c r="D16" s="2142"/>
      <c r="E16" s="2141"/>
      <c r="F16" s="2138"/>
      <c r="G16" s="1914"/>
      <c r="H16" s="2143"/>
      <c r="I16" s="1899"/>
      <c r="J16" s="1899"/>
      <c r="K16" s="1900"/>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pans="1:33" s="2099" customFormat="1" ht="13.5" customHeight="1">
      <c r="A17" s="2134" t="s">
        <v>1057</v>
      </c>
      <c r="B17" s="2135" t="s">
        <v>1820</v>
      </c>
      <c r="C17" s="996">
        <f ca="1">ROUND(D17*E17/10000,0)</f>
        <v>0</v>
      </c>
      <c r="D17" s="2139">
        <f ca="1">D14</f>
        <v>154306.03</v>
      </c>
      <c r="E17" s="996">
        <f>'数据-取费表'!B32</f>
        <v>0</v>
      </c>
      <c r="F17" s="2142"/>
      <c r="G17" s="1914" t="s">
        <v>1821</v>
      </c>
      <c r="H17" s="2143"/>
      <c r="I17" s="1899"/>
      <c r="J17" s="1899"/>
      <c r="K17" s="1900"/>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pans="1:33" s="2098" customFormat="1" ht="13.5" customHeight="1">
      <c r="A18" s="2134" t="s">
        <v>1822</v>
      </c>
      <c r="B18" s="2135" t="s">
        <v>1823</v>
      </c>
      <c r="C18" s="996">
        <f ca="1">C19+C20-IF(C1="",'数据-取费表'!B29,IF(G18="已全部缴纳",C19+C20,H18))</f>
        <v>0</v>
      </c>
      <c r="D18" s="2139"/>
      <c r="E18" s="996"/>
      <c r="F18" s="2140"/>
      <c r="G18" s="2144"/>
      <c r="H18" s="2145"/>
      <c r="I18" s="2146" t="s">
        <v>1824</v>
      </c>
      <c r="J18" s="1899"/>
      <c r="K18" s="1900"/>
    </row>
    <row r="19" spans="1:33" s="2098" customFormat="1" ht="13.5" customHeight="1">
      <c r="A19" s="2134" t="s">
        <v>1705</v>
      </c>
      <c r="B19" s="2135" t="s">
        <v>493</v>
      </c>
      <c r="C19" s="996">
        <f ca="1">ROUND(D19*E19/10000,0)</f>
        <v>0</v>
      </c>
      <c r="D19" s="2139">
        <f ca="1">IF(C1="",'数据-汇总表'!E5,IF(INDIRECT("'数据-取费表'!c"&amp;$K$1)="住宅",INDIRECT("'数据-取费表'!k"&amp;$K$1),0))</f>
        <v>0</v>
      </c>
      <c r="E19" s="996">
        <f>'数据-取费表'!B27</f>
        <v>150</v>
      </c>
      <c r="F19" s="2140"/>
      <c r="G19" s="1898"/>
      <c r="H19" s="2147"/>
      <c r="I19" s="2148"/>
      <c r="J19" s="2148"/>
      <c r="K19" s="2149"/>
    </row>
    <row r="20" spans="1:33" s="2098" customFormat="1" ht="13.5" customHeight="1">
      <c r="A20" s="2134" t="s">
        <v>1709</v>
      </c>
      <c r="B20" s="2135" t="s">
        <v>1825</v>
      </c>
      <c r="C20" s="996">
        <f ca="1">ROUND(D20*E20/10000,0)</f>
        <v>2932</v>
      </c>
      <c r="D20" s="2139">
        <f ca="1">IF(C1="",'数据-汇总表'!E6,IF(INDIRECT("'数据-取费表'!c"&amp;$K$1)="住宅",INDIRECT("'数据-取费表'!s"&amp;$K$1),INDIRECT("'数据-取费表'!k"&amp;$K$1)+INDIRECT("'数据-取费表'!s"&amp;$K$1)))</f>
        <v>154306.03</v>
      </c>
      <c r="E20" s="996">
        <f>'数据-取费表'!B28</f>
        <v>190</v>
      </c>
      <c r="F20" s="2140"/>
      <c r="G20" s="1898"/>
      <c r="H20" s="2148"/>
      <c r="I20" s="2148"/>
      <c r="J20" s="2148"/>
      <c r="K20" s="2149"/>
    </row>
    <row r="21" spans="1:33" s="2098" customFormat="1" ht="13.5" customHeight="1">
      <c r="A21" s="2119" t="s">
        <v>1030</v>
      </c>
      <c r="B21" s="2150" t="s">
        <v>1826</v>
      </c>
      <c r="C21" s="2151">
        <f ca="1">C16+C17+C18</f>
        <v>0</v>
      </c>
      <c r="D21" s="2152"/>
      <c r="E21" s="2153"/>
      <c r="F21" s="2153"/>
      <c r="G21" s="1914" t="s">
        <v>1827</v>
      </c>
      <c r="H21" s="1899"/>
      <c r="I21" s="1899"/>
      <c r="J21" s="1899"/>
      <c r="K21" s="1900"/>
    </row>
    <row r="22" spans="1:33" s="2098" customFormat="1" ht="13.5" customHeight="1">
      <c r="A22" s="2119" t="s">
        <v>1034</v>
      </c>
      <c r="B22" s="2150" t="s">
        <v>1828</v>
      </c>
      <c r="C22" s="2151">
        <f ca="1">ROUND(C21*F22,0)</f>
        <v>0</v>
      </c>
      <c r="D22" s="2153"/>
      <c r="E22" s="2153"/>
      <c r="F22" s="2154">
        <f>'数据-取费表'!B37</f>
        <v>0.03</v>
      </c>
      <c r="G22" s="2129" t="s">
        <v>1829</v>
      </c>
      <c r="H22" s="2132"/>
      <c r="I22" s="2132"/>
      <c r="J22" s="2132"/>
      <c r="K22" s="2133"/>
    </row>
    <row r="23" spans="1:33" s="2098" customFormat="1" ht="13.5" customHeight="1">
      <c r="A23" s="2119" t="s">
        <v>1079</v>
      </c>
      <c r="B23" s="2150" t="s">
        <v>1830</v>
      </c>
      <c r="C23" s="2151">
        <f ca="1">ROUND(C4*F23*F11,0)</f>
        <v>0</v>
      </c>
      <c r="D23" s="2153"/>
      <c r="E23" s="2153"/>
      <c r="F23" s="2154">
        <f>'数据-取费表'!B38</f>
        <v>0.02</v>
      </c>
      <c r="G23" s="2129" t="s">
        <v>1831</v>
      </c>
      <c r="H23" s="2132"/>
      <c r="I23" s="2132"/>
      <c r="J23" s="2132"/>
      <c r="K23" s="2133"/>
    </row>
    <row r="24" spans="1:33" s="2098" customFormat="1" ht="13.5" customHeight="1">
      <c r="A24" s="2119" t="s">
        <v>1082</v>
      </c>
      <c r="B24" s="2150" t="s">
        <v>1832</v>
      </c>
      <c r="C24" s="2155">
        <f>ROUND(F24/(1+'数据-取费表'!C42),4)</f>
        <v>2.9000000000000001E-2</v>
      </c>
      <c r="D24" s="2153" t="s">
        <v>1833</v>
      </c>
      <c r="E24" s="2153"/>
      <c r="F24" s="2154">
        <f>IF(项目基本情况!B8="出让",0,'数据-取费表'!B48+'数据-取费表'!B49)</f>
        <v>3.0499999999999999E-2</v>
      </c>
      <c r="G24" s="2129" t="s">
        <v>1834</v>
      </c>
      <c r="H24" s="2156"/>
      <c r="I24" s="2156"/>
      <c r="J24" s="2156"/>
      <c r="K24" s="2157"/>
    </row>
    <row r="25" spans="1:33" s="2098" customFormat="1" ht="13.5" customHeight="1">
      <c r="A25" s="2119" t="s">
        <v>1086</v>
      </c>
      <c r="B25" s="2152" t="s">
        <v>1835</v>
      </c>
      <c r="C25" s="2158">
        <f ca="1">C27</f>
        <v>0</v>
      </c>
      <c r="D25" s="2155">
        <f ca="1">C26</f>
        <v>0</v>
      </c>
      <c r="E25" s="2159" t="s">
        <v>1833</v>
      </c>
      <c r="F25" s="2160">
        <f ca="1">'数据-取费表'!B40</f>
        <v>3.2500000000000001E-2</v>
      </c>
      <c r="G25" s="1914" t="str">
        <f>IF('数据-取费表'!B22&lt;=1,"单利计息。","复利计息。")&amp;"后续开发成本、管理费用及销售费用产生的利息。"</f>
        <v>复利计息。后续开发成本、管理费用及销售费用产生的利息。</v>
      </c>
      <c r="H25" s="2156"/>
      <c r="I25" s="2156"/>
      <c r="J25" s="2156"/>
      <c r="K25" s="2157"/>
    </row>
    <row r="26" spans="1:33" s="2100" customFormat="1" ht="13.5" customHeight="1">
      <c r="A26" s="2134" t="s">
        <v>1053</v>
      </c>
      <c r="B26" s="2161" t="s">
        <v>1836</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899"/>
      <c r="I26" s="1899"/>
      <c r="J26" s="1899"/>
      <c r="K26" s="1900"/>
    </row>
    <row r="27" spans="1:33" s="2100" customFormat="1" ht="13.5" customHeight="1">
      <c r="A27" s="2134" t="s">
        <v>1057</v>
      </c>
      <c r="B27" s="2161" t="s">
        <v>1837</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899"/>
      <c r="I27" s="1899"/>
      <c r="J27" s="1899"/>
      <c r="K27" s="1900"/>
    </row>
    <row r="28" spans="1:33" s="2101" customFormat="1" ht="13.5" customHeight="1">
      <c r="A28" s="2119" t="s">
        <v>1087</v>
      </c>
      <c r="B28" s="2168" t="s">
        <v>1838</v>
      </c>
      <c r="C28" s="2169">
        <f ca="1">C30</f>
        <v>0</v>
      </c>
      <c r="D28" s="2155">
        <f ca="1">C29</f>
        <v>0</v>
      </c>
      <c r="E28" s="2159" t="s">
        <v>1833</v>
      </c>
      <c r="F28" s="1246">
        <f ca="1">IF(C1="",'数据-取费表'!Q16,INDIRECT("'数据-取费表'!q"&amp;$K$1))</f>
        <v>0.25</v>
      </c>
      <c r="G28" s="2170"/>
      <c r="H28" s="2156"/>
      <c r="I28" s="2156"/>
      <c r="J28" s="2156"/>
      <c r="K28" s="2157"/>
    </row>
    <row r="29" spans="1:33" s="2102" customFormat="1" ht="13.5" customHeight="1">
      <c r="A29" s="2134" t="s">
        <v>1053</v>
      </c>
      <c r="B29" s="2171" t="s">
        <v>1839</v>
      </c>
      <c r="C29" s="2163">
        <f ca="1">ROUND((1+C24)*F28*'数据-取费表'!B24/'数据-取费表'!B20,4)</f>
        <v>0</v>
      </c>
      <c r="D29" s="2163"/>
      <c r="E29" s="2164"/>
      <c r="F29" s="2172"/>
      <c r="G29" s="1914" t="s">
        <v>1840</v>
      </c>
      <c r="H29" s="1899"/>
      <c r="I29" s="1899"/>
      <c r="J29" s="1899"/>
      <c r="K29" s="1900"/>
    </row>
    <row r="30" spans="1:33" s="2102" customFormat="1" ht="13.5" customHeight="1">
      <c r="A30" s="2134" t="s">
        <v>1057</v>
      </c>
      <c r="B30" s="2171" t="s">
        <v>1841</v>
      </c>
      <c r="C30" s="2173">
        <f ca="1">ROUND((C21+C22+C23)*F28,0)</f>
        <v>0</v>
      </c>
      <c r="D30" s="2163"/>
      <c r="E30" s="2164"/>
      <c r="F30" s="2172"/>
      <c r="G30" s="1914"/>
      <c r="H30" s="1899"/>
      <c r="I30" s="1899"/>
      <c r="J30" s="1899"/>
      <c r="K30" s="1900"/>
    </row>
    <row r="31" spans="1:33" s="2098" customFormat="1" ht="13.5" customHeight="1">
      <c r="A31" s="2174" t="s">
        <v>1842</v>
      </c>
      <c r="B31" s="2175" t="s">
        <v>1843</v>
      </c>
      <c r="C31" s="2176">
        <f>ROUND(C4*F31/(1+'数据-取费表'!C42),0)</f>
        <v>0</v>
      </c>
      <c r="D31" s="2177"/>
      <c r="E31" s="2178"/>
      <c r="F31" s="2179">
        <f>'数据-取费表'!B41</f>
        <v>5.5E-2</v>
      </c>
      <c r="G31" s="2180" t="s">
        <v>1844</v>
      </c>
      <c r="H31" s="2181"/>
      <c r="I31" s="2181"/>
      <c r="J31" s="2181"/>
      <c r="K31" s="2182"/>
    </row>
    <row r="32" spans="1:33" s="2097" customFormat="1" ht="13.5" customHeight="1">
      <c r="A32" s="1249" t="s">
        <v>1845</v>
      </c>
      <c r="B32" s="2183"/>
      <c r="C32" s="2184">
        <f ca="1">ROUND((C4-C21-C22-C23-C25-C28-C31)/(1+C24+D25+D28),0)</f>
        <v>0</v>
      </c>
      <c r="D32" s="2183"/>
      <c r="E32" s="2183"/>
      <c r="F32" s="2183"/>
      <c r="G32" s="2185" t="s">
        <v>1846</v>
      </c>
      <c r="H32" s="2183"/>
      <c r="I32" s="2183"/>
      <c r="J32" s="2183"/>
      <c r="K32" s="2186"/>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F42" sqref="F42"/>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t="s">
        <v>732</v>
      </c>
      <c r="D1" s="1819" t="s">
        <v>124</v>
      </c>
      <c r="E1" s="1820" t="s">
        <v>1848</v>
      </c>
      <c r="F1" s="1821">
        <f ca="1">J53</f>
        <v>33.700000000000003</v>
      </c>
      <c r="G1" s="1822">
        <f>MATCH(C1,'数据-取费表'!A6:A16,0)+5</f>
        <v>6</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2087">
        <f ca="1">C40+J29+L46</f>
        <v>345512</v>
      </c>
      <c r="C2" s="1828" t="s">
        <v>1850</v>
      </c>
      <c r="D2" s="1828"/>
      <c r="E2" s="1830"/>
      <c r="F2" s="1831"/>
      <c r="G2" s="1832"/>
      <c r="H2" s="1833"/>
      <c r="I2" s="1833"/>
      <c r="J2" s="1833"/>
      <c r="K2" s="1834"/>
      <c r="L2" s="1833"/>
      <c r="M2" s="1833"/>
    </row>
    <row r="3" spans="1:37" ht="18" customHeight="1">
      <c r="A3" s="1835" t="s">
        <v>1851</v>
      </c>
      <c r="B3" s="1836">
        <f ca="1">IF(ISERROR(B2*10000/F43),0,ROUND(B2*10000/F43,0))</f>
        <v>22466</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24534</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ROUND(F6*F8*F7*(1-F9)/10000,0)</f>
        <v>24503</v>
      </c>
      <c r="D6" s="1852" t="s">
        <v>1862</v>
      </c>
      <c r="E6" s="1853" t="s">
        <v>1863</v>
      </c>
      <c r="F6" s="1854">
        <f ca="1">INDIRECT("'数据-取费表'!u"&amp;$G$1)</f>
        <v>4.5</v>
      </c>
      <c r="G6" s="553"/>
      <c r="H6" s="1850" t="s">
        <v>1030</v>
      </c>
      <c r="I6" s="3470" t="s">
        <v>1861</v>
      </c>
      <c r="J6" s="1855">
        <f ca="1">ROUND(M6*M8*M7*(1-M9)/10000,0)</f>
        <v>0</v>
      </c>
      <c r="K6" s="1852" t="s">
        <v>1864</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153794.32</v>
      </c>
      <c r="G7" s="553"/>
      <c r="H7" s="1861"/>
      <c r="I7" s="3471"/>
      <c r="J7" s="1862"/>
      <c r="K7" s="1859"/>
      <c r="L7" s="1853" t="s">
        <v>1865</v>
      </c>
      <c r="M7" s="1854">
        <f ca="1">F7</f>
        <v>153794.32</v>
      </c>
    </row>
    <row r="8" spans="1:37" ht="18" customHeight="1">
      <c r="A8" s="1861"/>
      <c r="B8" s="3471"/>
      <c r="C8" s="1862"/>
      <c r="D8" s="1859"/>
      <c r="E8" s="1853" t="s">
        <v>1866</v>
      </c>
      <c r="F8" s="1854">
        <f ca="1">INDIRECT("'数据-取费表'!ai"&amp;$G$1)</f>
        <v>365</v>
      </c>
      <c r="G8" s="553"/>
      <c r="H8" s="1861"/>
      <c r="I8" s="3471"/>
      <c r="J8" s="1862"/>
      <c r="K8" s="1859"/>
      <c r="L8" s="1853" t="s">
        <v>1866</v>
      </c>
      <c r="M8" s="1854">
        <f ca="1">INDIRECT("'数据-取费表'!ai"&amp;$G$1)</f>
        <v>365</v>
      </c>
    </row>
    <row r="9" spans="1:37" ht="18" customHeight="1">
      <c r="A9" s="1861"/>
      <c r="B9" s="3472"/>
      <c r="C9" s="1862"/>
      <c r="D9" s="1859"/>
      <c r="E9" s="1853" t="s">
        <v>1867</v>
      </c>
      <c r="F9" s="1863">
        <f ca="1">INDIRECT("'数据-取费表'!w"&amp;$G$1)</f>
        <v>0.03</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31</v>
      </c>
      <c r="D10" s="1867" t="s">
        <v>1869</v>
      </c>
      <c r="E10" s="1864" t="s">
        <v>1870</v>
      </c>
      <c r="F10" s="1868" t="s">
        <v>1871</v>
      </c>
      <c r="G10" s="553"/>
      <c r="H10" s="1850" t="s">
        <v>1034</v>
      </c>
      <c r="I10" s="1866" t="s">
        <v>1868</v>
      </c>
      <c r="J10" s="1855">
        <f ca="1">ROUND(IF(M10="押一",J6/12*M11,IF(M10="押二",J6/12*2*M11,IF(M10="押三",J6/12*3*M11,J11*M11))),0)</f>
        <v>0</v>
      </c>
      <c r="K10" s="1867" t="s">
        <v>1869</v>
      </c>
      <c r="L10" s="1864" t="s">
        <v>1870</v>
      </c>
      <c r="M10" s="1868"/>
    </row>
    <row r="11" spans="1:37" ht="18" customHeight="1">
      <c r="A11" s="1870"/>
      <c r="B11" s="1871" t="s">
        <v>1872</v>
      </c>
      <c r="C11" s="1872"/>
      <c r="D11" s="2088"/>
      <c r="E11" s="1864" t="s">
        <v>1873</v>
      </c>
      <c r="F11" s="1865">
        <f ca="1">'数据-取费表'!B39</f>
        <v>1.4999999999999999E-2</v>
      </c>
      <c r="G11" s="553"/>
      <c r="H11" s="1873"/>
      <c r="I11" s="1871" t="s">
        <v>1872</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157189</v>
      </c>
      <c r="D13" s="1887" t="s">
        <v>1876</v>
      </c>
      <c r="E13" s="1887" t="s">
        <v>1877</v>
      </c>
      <c r="F13" s="1888">
        <f ca="1">INDIRECT("'数据-取费表'!y"&amp;$G$1)</f>
        <v>0.93</v>
      </c>
      <c r="G13" s="553"/>
      <c r="H13" s="1884">
        <v>2</v>
      </c>
      <c r="I13" s="1885" t="s">
        <v>1875</v>
      </c>
      <c r="J13" s="1889">
        <f ca="1">ROUND(J14*J15,0)</f>
        <v>0</v>
      </c>
      <c r="K13" s="1890" t="s">
        <v>1876</v>
      </c>
      <c r="L13" s="1891"/>
      <c r="M13" s="1892"/>
    </row>
    <row r="14" spans="1:37" ht="18" customHeight="1">
      <c r="A14" s="1893" t="s">
        <v>1053</v>
      </c>
      <c r="B14" s="1853" t="s">
        <v>1878</v>
      </c>
      <c r="C14" s="1894">
        <f ca="1">INDIRECT("'数据-取费表'!m"&amp;$G$1)+INDIRECT("'数据-取费表'!t"&amp;$G$1)</f>
        <v>104928</v>
      </c>
      <c r="D14" s="1895" t="s">
        <v>1879</v>
      </c>
      <c r="E14" s="1896"/>
      <c r="F14" s="1897"/>
      <c r="G14" s="553"/>
      <c r="H14" s="1893" t="s">
        <v>1030</v>
      </c>
      <c r="I14" s="1853" t="s">
        <v>1880</v>
      </c>
      <c r="J14" s="996">
        <f ca="1">C29</f>
        <v>169020</v>
      </c>
      <c r="K14" s="1898"/>
      <c r="L14" s="1899"/>
      <c r="M14" s="1900"/>
    </row>
    <row r="15" spans="1:37" s="1815" customFormat="1" ht="18" customHeight="1">
      <c r="A15" s="1893" t="s">
        <v>1057</v>
      </c>
      <c r="B15" s="1853" t="s">
        <v>1808</v>
      </c>
      <c r="C15" s="996">
        <f ca="1">ROUND(C14*F15,0)</f>
        <v>6296</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ROUND(INDIRECT("'数据-取费表'!m"&amp;$G$1)*F16,0)</f>
        <v>0</v>
      </c>
      <c r="D16" s="1853" t="s">
        <v>1881</v>
      </c>
      <c r="E16" s="1853" t="s">
        <v>1882</v>
      </c>
      <c r="F16" s="1908">
        <f ca="1">IF(INDIRECT("'数据-取费表'!c"&amp;$G$1)="住宅",'数据-取费表'!B34,0)</f>
        <v>0</v>
      </c>
      <c r="G16" s="553"/>
      <c r="H16" s="1884" t="s">
        <v>1675</v>
      </c>
      <c r="I16" s="1885" t="s">
        <v>1883</v>
      </c>
      <c r="J16" s="1886">
        <f ca="1">ROUND(J17+J22+J23+J24,0)</f>
        <v>858</v>
      </c>
      <c r="K16" s="1890" t="s">
        <v>1884</v>
      </c>
      <c r="L16" s="1909"/>
      <c r="M16" s="1849"/>
    </row>
    <row r="17" spans="1:37" s="1815" customFormat="1" ht="18" customHeight="1">
      <c r="A17" s="1893" t="s">
        <v>1885</v>
      </c>
      <c r="B17" s="1853" t="s">
        <v>1886</v>
      </c>
      <c r="C17" s="996">
        <f ca="1">ROUND(F17*(F43+INDIRECT("'数据-取费表'!S"&amp;$G$1))/10000,0)</f>
        <v>3086</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ROUND(IF(AND(项目基本情况!B11="自然人",项目基本情况!B10="北京市"),J6*M17/(1+'数据-取费表'!C42),J18+J19+J20),2)</f>
        <v>12.68</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2099</v>
      </c>
      <c r="D18" s="1853" t="s">
        <v>1881</v>
      </c>
      <c r="E18" s="1853" t="s">
        <v>1882</v>
      </c>
      <c r="F18" s="1908">
        <f>'数据-取费表'!B36</f>
        <v>0.02</v>
      </c>
      <c r="G18" s="1903"/>
      <c r="H18" s="1893" t="s">
        <v>1053</v>
      </c>
      <c r="I18" s="1853" t="s">
        <v>1893</v>
      </c>
      <c r="J18" s="996">
        <f ca="1">ROUND(J6*M18/(1+'数据-取费表'!C42),2)</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116409</v>
      </c>
      <c r="D19" s="1914" t="s">
        <v>1896</v>
      </c>
      <c r="E19" s="998"/>
      <c r="F19" s="1910"/>
      <c r="G19" s="553"/>
      <c r="H19" s="1893" t="s">
        <v>1057</v>
      </c>
      <c r="I19" s="1853" t="s">
        <v>1897</v>
      </c>
      <c r="J19" s="996">
        <f ca="1">IF(K19="按租金收入计税",ROUND(J6*M19/(1+'数据-取费表'!C42),2),ROUND(C29*M19*0.7,2))</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3492</v>
      </c>
      <c r="D20" s="1916" t="s">
        <v>1900</v>
      </c>
      <c r="E20" s="1853" t="s">
        <v>1882</v>
      </c>
      <c r="F20" s="1908">
        <f>'数据-取费表'!B37</f>
        <v>0.03</v>
      </c>
      <c r="G20" s="1903"/>
      <c r="H20" s="1893" t="s">
        <v>1060</v>
      </c>
      <c r="I20" s="1852" t="s">
        <v>1901</v>
      </c>
      <c r="J20" s="1917">
        <f ca="1">ROUND(M20*M21/10000,2)</f>
        <v>12.68</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42276.47</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ROUND(J14*M22,2)</f>
        <v>845.1</v>
      </c>
      <c r="K22" s="1912" t="s">
        <v>1910</v>
      </c>
      <c r="L22" s="1853" t="s">
        <v>1882</v>
      </c>
      <c r="M22" s="1924">
        <f ca="1">INDIRECT("'数据-取费表'!Ak"&amp;$G$1)</f>
        <v>5.0000000000000001E-3</v>
      </c>
    </row>
    <row r="23" spans="1:37" s="1815" customFormat="1" ht="18" customHeight="1">
      <c r="A23" s="1893" t="s">
        <v>1053</v>
      </c>
      <c r="B23" s="1853" t="s">
        <v>1911</v>
      </c>
      <c r="C23" s="996">
        <f ca="1">IF('数据-取费表'!B22&lt;=1,ROUND(C19*F24*F23/2,0)+ROUND(C20*F24*F23/2,0),ROUND(C19*(POWER((1+F24),F23/2)-1),0)+ROUND(C20*(POWER((1+F24),F23/2)-1),0))</f>
        <v>5893</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ROUND(J13*M23,2)</f>
        <v>0</v>
      </c>
      <c r="K23" s="1912" t="s">
        <v>1914</v>
      </c>
      <c r="L23" s="1853" t="s">
        <v>1882</v>
      </c>
      <c r="M23" s="1925">
        <f ca="1">INDIRECT("'数据-取费表'!Al"&amp;$G$1)</f>
        <v>1E-3</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ROUND(J5*M24,2)</f>
        <v>0</v>
      </c>
      <c r="K24" s="1928" t="s">
        <v>1917</v>
      </c>
      <c r="L24" s="1880" t="s">
        <v>1882</v>
      </c>
      <c r="M24" s="1881">
        <f ca="1">INDIRECT("'数据-取费表'!Am"&amp;$G$1)</f>
        <v>0.03</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24" customHeight="1">
      <c r="A25" s="1893" t="s">
        <v>1086</v>
      </c>
      <c r="B25" s="1853" t="s">
        <v>1918</v>
      </c>
      <c r="C25" s="996"/>
      <c r="D25" s="1914" t="s">
        <v>1919</v>
      </c>
      <c r="E25" s="998"/>
      <c r="F25" s="1910"/>
      <c r="G25" s="553"/>
      <c r="H25" s="1884" t="s">
        <v>1396</v>
      </c>
      <c r="I25" s="1929" t="s">
        <v>1920</v>
      </c>
      <c r="J25" s="1886">
        <f ca="1">J5-J16</f>
        <v>-858</v>
      </c>
      <c r="K25" s="1930" t="s">
        <v>1921</v>
      </c>
      <c r="L25" s="1931"/>
      <c r="M25" s="1932"/>
    </row>
    <row r="26" spans="1:37">
      <c r="A26" s="1893" t="s">
        <v>1053</v>
      </c>
      <c r="B26" s="1853" t="s">
        <v>1922</v>
      </c>
      <c r="C26" s="996">
        <f ca="1">ROUND((C19+C20)*F26,0)</f>
        <v>29975</v>
      </c>
      <c r="D26" s="1916" t="s">
        <v>1923</v>
      </c>
      <c r="E26" s="1864" t="s">
        <v>1924</v>
      </c>
      <c r="F26" s="1863">
        <f ca="1">INDIRECT("'数据-取费表'!q"&amp;$G$1)</f>
        <v>0.25</v>
      </c>
      <c r="G26" s="553"/>
      <c r="H26" s="1844" t="s">
        <v>1925</v>
      </c>
      <c r="I26" s="1845" t="s">
        <v>1926</v>
      </c>
      <c r="J26" s="1855">
        <f ca="1">IF(J5&lt;&gt;0,ROUND(J25*(1-((1+M28)/(1+M26))^M27)/(M26-M28),0),0)</f>
        <v>0</v>
      </c>
      <c r="K26" s="1918" t="s">
        <v>1927</v>
      </c>
      <c r="L26" s="1853" t="s">
        <v>1928</v>
      </c>
      <c r="M26" s="1863">
        <f ca="1">INDIRECT("'数据-取费表'!I"&amp;$G$1)</f>
        <v>0.06</v>
      </c>
    </row>
    <row r="27" spans="1:37" ht="18" customHeight="1">
      <c r="A27" s="1893" t="s">
        <v>1057</v>
      </c>
      <c r="B27" s="1853" t="s">
        <v>1929</v>
      </c>
      <c r="C27" s="996">
        <f ca="1">ROUND(F21*F26,4)</f>
        <v>5.0000000000000001E-3</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169020</v>
      </c>
      <c r="D29" s="1928"/>
      <c r="E29" s="1880"/>
      <c r="F29" s="1937"/>
      <c r="G29" s="1903"/>
      <c r="H29" s="1938" t="s">
        <v>1937</v>
      </c>
      <c r="I29" s="1939" t="s">
        <v>1938</v>
      </c>
      <c r="J29" s="1940">
        <f ca="1">ROUND(J26/(1+F40)^F41,0)</f>
        <v>0</v>
      </c>
      <c r="K29" s="1941" t="s">
        <v>1939</v>
      </c>
      <c r="L29" s="1942"/>
      <c r="M29" s="1943">
        <f ca="1">INDIRECT("'数据-取费表'!k"&amp;$G$1)</f>
        <v>153794.32</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5835</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ROUND(IF(AND(项目基本情况!B11="自然人",项目基本情况!B10="北京市"),C6*F31/(1+'数据-取费表'!C42),C32+C33+C34),2)</f>
        <v>4096.51</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IF(项目基本情况!B11="自然人","——",ROUND(C6*F32/(1+'数据-取费表'!C42),2))</f>
        <v>1283.49</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IF(项目基本情况!B11="自然人","——",IF(D33="按租金收入计税",ROUND(C6*F33/(1+'数据-取费表'!C42),2),IF(D33="按房产原值计税",ROUND(C29*F33*0.7,2),INDIRECT("'数据-取费表'!Aj"&amp;$G$1))))</f>
        <v>2800.34</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IF(项目基本情况!B11="自然人","——",ROUND(F34*F35/10000,2))</f>
        <v>12.68</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42276.47</v>
      </c>
      <c r="G35" s="553"/>
      <c r="H35" s="1944"/>
      <c r="I35" s="1945"/>
      <c r="J35" s="1946"/>
      <c r="K35" s="1951"/>
      <c r="L35" s="1950"/>
      <c r="M35" s="1950"/>
    </row>
    <row r="36" spans="1:18" ht="18" customHeight="1">
      <c r="A36" s="1956" t="s">
        <v>1034</v>
      </c>
      <c r="B36" s="1853" t="s">
        <v>1909</v>
      </c>
      <c r="C36" s="996">
        <f ca="1">ROUND(C29*F36,2)</f>
        <v>845.1</v>
      </c>
      <c r="D36" s="1912" t="s">
        <v>1941</v>
      </c>
      <c r="E36" s="1853" t="s">
        <v>1882</v>
      </c>
      <c r="F36" s="1924">
        <f ca="1">INDIRECT("'数据-取费表'!Ak"&amp;$G$1)</f>
        <v>5.0000000000000001E-3</v>
      </c>
      <c r="G36" s="553"/>
      <c r="H36" s="1950"/>
      <c r="I36" s="1945"/>
      <c r="J36" s="1946"/>
      <c r="K36" s="1957"/>
      <c r="L36" s="1950"/>
      <c r="M36" s="1950"/>
    </row>
    <row r="37" spans="1:18" ht="18" customHeight="1">
      <c r="A37" s="1893" t="s">
        <v>1079</v>
      </c>
      <c r="B37" s="1853" t="s">
        <v>1913</v>
      </c>
      <c r="C37" s="996">
        <f ca="1">ROUND(C13*F37,2)</f>
        <v>157.19</v>
      </c>
      <c r="D37" s="1912" t="s">
        <v>1914</v>
      </c>
      <c r="E37" s="1853" t="s">
        <v>1882</v>
      </c>
      <c r="F37" s="1925">
        <f ca="1">INDIRECT("'数据-取费表'!Al"&amp;$G$1)</f>
        <v>1E-3</v>
      </c>
      <c r="G37" s="553"/>
      <c r="H37" s="1950"/>
      <c r="I37" s="1945"/>
      <c r="J37" s="1946"/>
      <c r="K37" s="1957"/>
      <c r="L37" s="1950"/>
      <c r="M37" s="1950"/>
    </row>
    <row r="38" spans="1:18" ht="18" customHeight="1">
      <c r="A38" s="1904" t="s">
        <v>1082</v>
      </c>
      <c r="B38" s="1880" t="s">
        <v>1899</v>
      </c>
      <c r="C38" s="1927">
        <f ca="1">ROUND(C5*F38,2)</f>
        <v>736.02</v>
      </c>
      <c r="D38" s="1928" t="s">
        <v>1917</v>
      </c>
      <c r="E38" s="1880" t="s">
        <v>1882</v>
      </c>
      <c r="F38" s="1881">
        <f ca="1">INDIRECT("'数据-取费表'!Am"&amp;$G$1)</f>
        <v>0.03</v>
      </c>
      <c r="G38" s="553"/>
      <c r="H38" s="1950"/>
      <c r="I38" s="1945"/>
      <c r="J38" s="1946"/>
      <c r="K38" s="1947"/>
      <c r="L38" s="1950"/>
      <c r="M38" s="1950"/>
    </row>
    <row r="39" spans="1:18" ht="24.6" customHeight="1">
      <c r="A39" s="1884" t="s">
        <v>1396</v>
      </c>
      <c r="B39" s="1929" t="s">
        <v>1920</v>
      </c>
      <c r="C39" s="1886">
        <f ca="1">C5-C30</f>
        <v>18699</v>
      </c>
      <c r="D39" s="1930" t="s">
        <v>1921</v>
      </c>
      <c r="E39" s="1931"/>
      <c r="F39" s="1932"/>
      <c r="G39" s="553"/>
      <c r="H39" s="1950"/>
      <c r="I39" s="1945"/>
      <c r="J39" s="1946"/>
      <c r="K39" s="1947"/>
      <c r="L39" s="1950"/>
      <c r="M39" s="1950"/>
    </row>
    <row r="40" spans="1:18" ht="18" customHeight="1">
      <c r="A40" s="1844" t="s">
        <v>1925</v>
      </c>
      <c r="B40" s="1845" t="s">
        <v>1942</v>
      </c>
      <c r="C40" s="1855">
        <f ca="1">ROUND(C39*(1-((1+F42)/(1+F40))^F41)/(F40-F42),0)</f>
        <v>339603</v>
      </c>
      <c r="D40" s="1918" t="s">
        <v>1927</v>
      </c>
      <c r="E40" s="1853" t="s">
        <v>1928</v>
      </c>
      <c r="F40" s="1863">
        <f ca="1">INDIRECT("'数据-取费表'!I"&amp;$G$1)</f>
        <v>0.06</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33.700000000000003</v>
      </c>
      <c r="G41" s="553"/>
      <c r="H41" s="985"/>
      <c r="I41" s="1945"/>
      <c r="J41" s="1946"/>
      <c r="K41" s="1957"/>
      <c r="L41" s="985"/>
      <c r="M41" s="985"/>
    </row>
    <row r="42" spans="1:18" ht="18" customHeight="1">
      <c r="A42" s="1870"/>
      <c r="B42" s="1936"/>
      <c r="C42" s="1886"/>
      <c r="D42" s="1923"/>
      <c r="E42" s="1853" t="s">
        <v>1935</v>
      </c>
      <c r="F42" s="1863">
        <f ca="1">INDIRECT("'数据-取费表'!v"&amp;$G$1)</f>
        <v>0.02</v>
      </c>
      <c r="G42" s="553"/>
      <c r="H42" s="985"/>
      <c r="I42" s="1945"/>
      <c r="J42" s="1946"/>
      <c r="K42" s="1957"/>
      <c r="L42" s="985"/>
      <c r="M42" s="985"/>
    </row>
    <row r="43" spans="1:18" ht="18" customHeight="1">
      <c r="A43" s="1938" t="s">
        <v>1937</v>
      </c>
      <c r="B43" s="1939" t="s">
        <v>1943</v>
      </c>
      <c r="C43" s="1940">
        <f ca="1">ROUND(C40*10000/F43,0)</f>
        <v>22082</v>
      </c>
      <c r="D43" s="1941" t="s">
        <v>1944</v>
      </c>
      <c r="E43" s="1942" t="s">
        <v>1945</v>
      </c>
      <c r="F43" s="1943">
        <f ca="1">INDIRECT("'数据-取费表'!k"&amp;$G$1)</f>
        <v>153794.32</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59"/>
      <c r="B45" s="1959"/>
      <c r="C45" s="1960"/>
      <c r="D45" s="1959"/>
      <c r="E45" s="1959"/>
      <c r="F45" s="1959"/>
      <c r="J45" s="910"/>
      <c r="O45" s="2089" t="s">
        <v>1946</v>
      </c>
      <c r="P45" s="1958"/>
      <c r="Q45" s="1958"/>
      <c r="R45" s="1958"/>
    </row>
    <row r="46" spans="1:18" s="553" customFormat="1">
      <c r="A46" s="1966" t="s">
        <v>1947</v>
      </c>
      <c r="C46" s="1967">
        <f ca="1">C68-C40</f>
        <v>-354146</v>
      </c>
      <c r="D46" s="1968" t="str">
        <f>C2</f>
        <v>万元</v>
      </c>
      <c r="E46" s="1959"/>
      <c r="F46" s="1959"/>
      <c r="I46" s="1969" t="s">
        <v>1948</v>
      </c>
      <c r="J46" s="1970"/>
      <c r="K46" s="1971"/>
      <c r="L46" s="1972">
        <f ca="1">IF(M47="住宅",0,IF(L48&gt;J51,L60,J60))</f>
        <v>5909</v>
      </c>
      <c r="O46" s="1973" t="s">
        <v>1949</v>
      </c>
      <c r="P46" s="1974" t="s">
        <v>1950</v>
      </c>
      <c r="Q46" s="1975" t="s">
        <v>1951</v>
      </c>
      <c r="R46" s="1975" t="s">
        <v>1952</v>
      </c>
    </row>
    <row r="47" spans="1:18" s="553" customFormat="1">
      <c r="A47" s="1976" t="s">
        <v>1854</v>
      </c>
      <c r="B47" s="1977" t="s">
        <v>1855</v>
      </c>
      <c r="C47" s="2090" t="s">
        <v>1856</v>
      </c>
      <c r="D47" s="1977" t="s">
        <v>1857</v>
      </c>
      <c r="E47" s="1978" t="s">
        <v>1858</v>
      </c>
      <c r="F47" s="989"/>
      <c r="G47" s="1979"/>
      <c r="I47" s="1980" t="s">
        <v>1953</v>
      </c>
      <c r="J47" s="1981" t="s">
        <v>611</v>
      </c>
      <c r="K47" s="1982" t="s">
        <v>1954</v>
      </c>
      <c r="L47" s="1983">
        <f ca="1">INDIRECT("'数据-取费表'!d"&amp;$G$1)</f>
        <v>40</v>
      </c>
      <c r="M47" s="1984" t="str">
        <f>IF(ISNUMBER(FIND("住宅",C1)),"住宅","非住宅")</f>
        <v>非住宅</v>
      </c>
      <c r="O47" s="1985" t="s">
        <v>1705</v>
      </c>
      <c r="P47" s="1986" t="s">
        <v>1955</v>
      </c>
      <c r="Q47" s="1987">
        <f ca="1">C40+J29</f>
        <v>339603</v>
      </c>
      <c r="R47" s="1987" t="s">
        <v>1956</v>
      </c>
    </row>
    <row r="48" spans="1:18" s="553" customFormat="1" ht="39.6">
      <c r="A48" s="1988" t="s">
        <v>1419</v>
      </c>
      <c r="B48" s="1845" t="s">
        <v>1859</v>
      </c>
      <c r="C48" s="997">
        <f ca="1">C49+C53+C55</f>
        <v>0</v>
      </c>
      <c r="D48" s="1989"/>
      <c r="E48" s="1990"/>
      <c r="F48" s="1991"/>
      <c r="G48" s="1979"/>
      <c r="H48" s="1992"/>
      <c r="I48" s="1993" t="s">
        <v>1957</v>
      </c>
      <c r="J48" s="1994" t="s">
        <v>1958</v>
      </c>
      <c r="K48" s="1995" t="s">
        <v>1959</v>
      </c>
      <c r="L48" s="1996">
        <f ca="1">INDIRECT("'数据-取费表'!f"&amp;$G$1)</f>
        <v>33.700000000000003</v>
      </c>
      <c r="O48" s="1985" t="s">
        <v>1709</v>
      </c>
      <c r="P48" s="1986" t="s">
        <v>1960</v>
      </c>
      <c r="Q48" s="1987">
        <f ca="1">J60</f>
        <v>5909</v>
      </c>
      <c r="R48" s="1987" t="s">
        <v>1961</v>
      </c>
    </row>
    <row r="49" spans="1:18" s="553" customFormat="1">
      <c r="A49" s="1997" t="s">
        <v>1962</v>
      </c>
      <c r="B49" s="1998" t="s">
        <v>1963</v>
      </c>
      <c r="C49" s="1999">
        <f ca="1">ROUND(F49*F51*F50*(1-F52)/10000,0)</f>
        <v>0</v>
      </c>
      <c r="D49" s="2000" t="s">
        <v>1864</v>
      </c>
      <c r="E49" s="2001" t="s">
        <v>1964</v>
      </c>
      <c r="F49" s="2002"/>
      <c r="H49" s="1992"/>
      <c r="I49" s="1993" t="s">
        <v>1965</v>
      </c>
      <c r="J49" s="2003">
        <f>面积!C40</f>
        <v>2022</v>
      </c>
      <c r="K49" s="1995" t="s">
        <v>1966</v>
      </c>
      <c r="L49" s="2004"/>
      <c r="O49" s="2005" t="s">
        <v>1967</v>
      </c>
      <c r="P49" s="1986" t="s">
        <v>1968</v>
      </c>
      <c r="Q49" s="1987">
        <f ca="1">C29</f>
        <v>169020</v>
      </c>
      <c r="R49" s="1987" t="s">
        <v>1956</v>
      </c>
    </row>
    <row r="50" spans="1:18" s="553" customFormat="1">
      <c r="A50" s="2006"/>
      <c r="B50" s="927"/>
      <c r="C50" s="2091"/>
      <c r="D50" s="2008"/>
      <c r="E50" s="2009" t="s">
        <v>1865</v>
      </c>
      <c r="F50" s="2010">
        <f ca="1">F7</f>
        <v>153794.32</v>
      </c>
      <c r="H50" s="1992"/>
      <c r="I50" s="1993" t="s">
        <v>1969</v>
      </c>
      <c r="J50" s="2011">
        <f>SUMPRODUCT((I63:I65=J47)*(J62:L62=J48)*(J63:L65))</f>
        <v>60</v>
      </c>
      <c r="K50" s="1995" t="s">
        <v>1970</v>
      </c>
      <c r="L50" s="2004"/>
      <c r="M50" s="2012"/>
      <c r="O50" s="2005" t="s">
        <v>1971</v>
      </c>
      <c r="P50" s="1986" t="s">
        <v>1972</v>
      </c>
      <c r="Q50" s="2013">
        <f ca="1">J58</f>
        <v>0.4</v>
      </c>
      <c r="R50" s="1987"/>
    </row>
    <row r="51" spans="1:18" s="553" customFormat="1">
      <c r="A51" s="2014"/>
      <c r="B51" s="927"/>
      <c r="C51" s="2007"/>
      <c r="D51" s="2008"/>
      <c r="E51" s="2015" t="s">
        <v>1866</v>
      </c>
      <c r="F51" s="1854">
        <f ca="1">F8</f>
        <v>365</v>
      </c>
      <c r="I51" s="2016" t="s">
        <v>1973</v>
      </c>
      <c r="J51" s="1996">
        <f>IF(J49="",J50,J49+J50-YEAR('数据-取费表'!B2))</f>
        <v>56</v>
      </c>
      <c r="K51" s="2017" t="s">
        <v>1974</v>
      </c>
      <c r="L51" s="2018">
        <f ca="1">ROUND(-PV(INDIRECT("'数据-取费表'!h"&amp;$G$1),J51,(C39-C13*C76),0),0)</f>
        <v>119368</v>
      </c>
      <c r="M51" s="2019"/>
      <c r="O51" s="2005" t="s">
        <v>1975</v>
      </c>
      <c r="P51" s="1986" t="s">
        <v>1976</v>
      </c>
      <c r="Q51" s="2013">
        <f>J52</f>
        <v>7.4999999999999997E-2</v>
      </c>
      <c r="R51" s="1987"/>
    </row>
    <row r="52" spans="1:18" s="553" customFormat="1">
      <c r="A52" s="2014"/>
      <c r="B52" s="927"/>
      <c r="C52" s="2007"/>
      <c r="D52" s="2008"/>
      <c r="E52" s="2015" t="s">
        <v>1867</v>
      </c>
      <c r="F52" s="2020"/>
      <c r="I52" s="2021" t="s">
        <v>1977</v>
      </c>
      <c r="J52" s="2022">
        <v>7.4999999999999997E-2</v>
      </c>
      <c r="K52" s="2021" t="s">
        <v>1978</v>
      </c>
      <c r="L52" s="2022"/>
      <c r="O52" s="2005" t="s">
        <v>1979</v>
      </c>
      <c r="P52" s="1986" t="s">
        <v>1980</v>
      </c>
      <c r="Q52" s="1987">
        <f ca="1">J53</f>
        <v>33.700000000000003</v>
      </c>
      <c r="R52" s="1987" t="s">
        <v>1981</v>
      </c>
    </row>
    <row r="53" spans="1:18" s="553" customFormat="1" ht="36">
      <c r="A53" s="2092" t="s">
        <v>1982</v>
      </c>
      <c r="B53" s="2093" t="s">
        <v>1868</v>
      </c>
      <c r="C53" s="995">
        <f ca="1">ROUND(IF(F53="押一",C49/12*F11,IF(F53="押二",C49/12*2*F11,IF(F53="押三",C49/12*3*F11,C54*F11))),0)</f>
        <v>0</v>
      </c>
      <c r="D53" s="1867" t="s">
        <v>1869</v>
      </c>
      <c r="E53" s="1864" t="s">
        <v>1870</v>
      </c>
      <c r="F53" s="1868"/>
      <c r="I53" s="2024" t="s">
        <v>1983</v>
      </c>
      <c r="J53" s="2025">
        <f ca="1">IF(M47="住宅",IF(D1="——",MAX(J51,L48),MAX(J51,L48-'数据-取费表'!B24)),IF(D1="——",MIN(J51,L48),MIN(J51,L48-'数据-取费表'!B24)))</f>
        <v>33.700000000000003</v>
      </c>
      <c r="K53" s="3468" t="s">
        <v>1984</v>
      </c>
      <c r="L53" s="3469"/>
      <c r="O53" s="1985" t="s">
        <v>1810</v>
      </c>
      <c r="P53" s="1986" t="s">
        <v>1985</v>
      </c>
      <c r="Q53" s="1987">
        <f ca="1">Q47+Q48</f>
        <v>345512</v>
      </c>
      <c r="R53" s="1987" t="s">
        <v>1986</v>
      </c>
    </row>
    <row r="54" spans="1:18" s="553" customFormat="1" ht="24">
      <c r="A54" s="2094"/>
      <c r="B54" s="1871" t="s">
        <v>1872</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f ca="1">ROUND(IF(J47="钢混",J57/J50,1-(1-2%)*(J50-J57)/J50),3)</f>
        <v>0.372</v>
      </c>
      <c r="K55" s="2033" t="s">
        <v>1989</v>
      </c>
      <c r="L55" s="2034"/>
      <c r="O55" s="1973" t="s">
        <v>1949</v>
      </c>
      <c r="P55" s="1974" t="s">
        <v>1950</v>
      </c>
      <c r="Q55" s="1975" t="s">
        <v>1951</v>
      </c>
      <c r="R55" s="1975" t="s">
        <v>1952</v>
      </c>
    </row>
    <row r="56" spans="1:18" s="553" customFormat="1" ht="36">
      <c r="A56" s="2035">
        <v>2</v>
      </c>
      <c r="B56" s="2036" t="s">
        <v>1875</v>
      </c>
      <c r="C56" s="378">
        <f ca="1">C13</f>
        <v>157189</v>
      </c>
      <c r="D56" s="2037"/>
      <c r="E56" s="2038"/>
      <c r="F56" s="2028"/>
      <c r="I56" s="2039" t="s">
        <v>1990</v>
      </c>
      <c r="J56" s="2040"/>
      <c r="K56" s="1993" t="s">
        <v>1991</v>
      </c>
      <c r="L56" s="1996" t="str">
        <f ca="1">IF(L48&lt;J51,"——",L48-J53)</f>
        <v>——</v>
      </c>
      <c r="O56" s="1985" t="s">
        <v>1705</v>
      </c>
      <c r="P56" s="1986" t="s">
        <v>1955</v>
      </c>
      <c r="Q56" s="1987">
        <f ca="1">C40+J29</f>
        <v>339603</v>
      </c>
      <c r="R56" s="1987" t="s">
        <v>1956</v>
      </c>
    </row>
    <row r="57" spans="1:18" s="553" customFormat="1" ht="24">
      <c r="A57" s="2041"/>
      <c r="B57" s="2042" t="s">
        <v>1936</v>
      </c>
      <c r="C57" s="388">
        <f ca="1">C29</f>
        <v>169020</v>
      </c>
      <c r="D57" s="2043"/>
      <c r="E57" s="2044"/>
      <c r="F57" s="2045"/>
      <c r="I57" s="2046" t="s">
        <v>1992</v>
      </c>
      <c r="J57" s="2047">
        <f ca="1">IF(OR(M47="住宅",J51&lt;L48,J56="是"),"——",J51-L48)</f>
        <v>22.299999999999997</v>
      </c>
      <c r="K57" s="1993" t="s">
        <v>1993</v>
      </c>
      <c r="L57" s="1996" t="str">
        <f ca="1">IF(L48&lt;J51,"——",IF(L55="比较法",L49,IF(L55="基准地价",L50,L51)))</f>
        <v>——</v>
      </c>
      <c r="O57" s="1985" t="s">
        <v>1709</v>
      </c>
      <c r="P57" s="1986" t="s">
        <v>1994</v>
      </c>
      <c r="Q57" s="1987">
        <f ca="1">L60</f>
        <v>0</v>
      </c>
      <c r="R57" s="1987" t="s">
        <v>1995</v>
      </c>
    </row>
    <row r="58" spans="1:18" s="553" customFormat="1" ht="24">
      <c r="A58" s="2048" t="s">
        <v>1675</v>
      </c>
      <c r="B58" s="2036" t="s">
        <v>1883</v>
      </c>
      <c r="C58" s="995">
        <f ca="1">ROUND(C59+C64+C65+C66,0)</f>
        <v>1015</v>
      </c>
      <c r="D58" s="2049" t="s">
        <v>1884</v>
      </c>
      <c r="E58" s="2050"/>
      <c r="F58" s="1991"/>
      <c r="I58" s="2046" t="s">
        <v>1996</v>
      </c>
      <c r="J58" s="2051">
        <f ca="1">IF(J55&lt;0.4,0.4,J55)</f>
        <v>0.4</v>
      </c>
      <c r="K58" s="2017" t="s">
        <v>1997</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13</v>
      </c>
      <c r="D59" s="2052" t="s">
        <v>1890</v>
      </c>
      <c r="E59" s="2053" t="s">
        <v>1891</v>
      </c>
      <c r="F59" s="1913" t="str">
        <f>IF(项目基本情况!B11="企业","——",IF('数据-取费表'!B10="住宅",IF(F49*F50*F51/12/(1+'数据-取费表'!F30)&gt;100000,4%,2.5%),IF(F49*F50*F51/12/(1+'数据-取费表'!F30)&gt;100000,12%,7%)))</f>
        <v>——</v>
      </c>
      <c r="I59" s="2046" t="s">
        <v>1999</v>
      </c>
      <c r="J59" s="2047">
        <f ca="1">IF(OR(M47="住宅",J51&lt;L48,J56="是"),"——",ROUND(C29*J58,0))</f>
        <v>67608</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984" t="e">
        <f ca="1">ROUND(POWER(1+L52,L47-(J51+'数据-取费表'!B24))*(POWER(1+L52,(J51+'数据-取费表'!B24))-1)/(POWER(1+L52,L47)-1),4)</f>
        <v>#DIV/0!</v>
      </c>
      <c r="N59" s="1984"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IF(项目基本情况!B11="自然人","——",ROUND(C48*F60/(1+'数据-取费表'!C42),2))</f>
        <v>0</v>
      </c>
      <c r="D60" s="2053" t="s">
        <v>1894</v>
      </c>
      <c r="E60" s="2042" t="s">
        <v>1882</v>
      </c>
      <c r="F60" s="1926">
        <f t="shared" ref="F60:F66" si="0">F32</f>
        <v>5.5E-2</v>
      </c>
      <c r="I60" s="2054" t="s">
        <v>2001</v>
      </c>
      <c r="J60" s="2055">
        <f ca="1">IF(OR(M47="住宅",J51&lt;L48,J56="是"),"0",ROUND(J59/(1+J52)^J53,0))</f>
        <v>5909</v>
      </c>
      <c r="K60" s="2056" t="s">
        <v>2002</v>
      </c>
      <c r="L60" s="2055">
        <f ca="1">IF(OR(M47="住宅",L48&lt;J51),0,ROUND(L57*(L58/L59-1),0))</f>
        <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IF(项目基本情况!B11="自然人","——",IF(D61="按租金收入计税",ROUND(C49*F61/(1+'数据-取费表'!C42),2),IF(D61="按房产原值计税",ROUND(C57*F61*0.7,2),INDIRECT("'数据-取费表'!Aj"&amp;$G$1))))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IF(项目基本情况!B11="自然人","——",ROUND(F62*F63/10000,2))</f>
        <v>12.68</v>
      </c>
      <c r="D62" s="2058" t="s">
        <v>1902</v>
      </c>
      <c r="E62" s="2042" t="s">
        <v>1903</v>
      </c>
      <c r="F62" s="1919">
        <f t="shared" si="0"/>
        <v>3</v>
      </c>
      <c r="I62" s="2059" t="s">
        <v>2006</v>
      </c>
      <c r="J62" s="1207" t="s">
        <v>2007</v>
      </c>
      <c r="K62" s="1207" t="s">
        <v>2008</v>
      </c>
      <c r="L62" s="1207" t="s">
        <v>2009</v>
      </c>
      <c r="M62" s="2060" t="s">
        <v>2010</v>
      </c>
      <c r="O62" s="1985" t="s">
        <v>1810</v>
      </c>
      <c r="P62" s="1986" t="s">
        <v>1985</v>
      </c>
      <c r="Q62" s="1987">
        <f ca="1">Q56+Q57</f>
        <v>339603</v>
      </c>
      <c r="R62" s="1987" t="s">
        <v>1986</v>
      </c>
    </row>
    <row r="63" spans="1:18" s="553" customFormat="1">
      <c r="A63" s="1920"/>
      <c r="B63" s="2061"/>
      <c r="C63" s="1922"/>
      <c r="D63" s="2062"/>
      <c r="E63" s="2042" t="s">
        <v>1907</v>
      </c>
      <c r="F63" s="1854">
        <f t="shared" ca="1" si="0"/>
        <v>42276.47</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ROUND(C57*F64,2)</f>
        <v>845.1</v>
      </c>
      <c r="D64" s="2053" t="s">
        <v>1941</v>
      </c>
      <c r="E64" s="2042" t="s">
        <v>1882</v>
      </c>
      <c r="F64" s="1924">
        <f t="shared" ca="1" si="0"/>
        <v>5.0000000000000001E-3</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ROUND(C56*F65,2)</f>
        <v>157.19</v>
      </c>
      <c r="D65" s="2053" t="s">
        <v>1914</v>
      </c>
      <c r="E65" s="2042" t="s">
        <v>1882</v>
      </c>
      <c r="F65" s="1925">
        <f t="shared" ca="1" si="0"/>
        <v>1E-3</v>
      </c>
      <c r="I65" s="2059" t="s">
        <v>2014</v>
      </c>
      <c r="J65" s="1207">
        <v>40</v>
      </c>
      <c r="K65" s="1207">
        <v>30</v>
      </c>
      <c r="L65" s="1207">
        <v>50</v>
      </c>
      <c r="M65" s="2063">
        <v>0.02</v>
      </c>
      <c r="O65" s="1985" t="s">
        <v>1705</v>
      </c>
      <c r="P65" s="1986" t="s">
        <v>1955</v>
      </c>
      <c r="Q65" s="1987">
        <f ca="1">C40+J29</f>
        <v>339603</v>
      </c>
      <c r="R65" s="1987" t="s">
        <v>1956</v>
      </c>
    </row>
    <row r="66" spans="1:18" s="553" customFormat="1" ht="15.6">
      <c r="A66" s="1893" t="s">
        <v>1082</v>
      </c>
      <c r="B66" s="2042" t="s">
        <v>1899</v>
      </c>
      <c r="C66" s="996">
        <f ca="1">ROUND(C48*F66,2)</f>
        <v>0</v>
      </c>
      <c r="D66" s="2053" t="s">
        <v>1917</v>
      </c>
      <c r="E66" s="2042" t="s">
        <v>1882</v>
      </c>
      <c r="F66" s="1863">
        <f t="shared" ca="1" si="0"/>
        <v>0.03</v>
      </c>
      <c r="O66" s="1985" t="s">
        <v>1709</v>
      </c>
      <c r="P66" s="1986" t="s">
        <v>1994</v>
      </c>
      <c r="Q66" s="1987">
        <f ca="1">L60</f>
        <v>0</v>
      </c>
      <c r="R66" s="1987" t="s">
        <v>1995</v>
      </c>
    </row>
    <row r="67" spans="1:18" s="553" customFormat="1" ht="24">
      <c r="A67" s="2035" t="s">
        <v>1396</v>
      </c>
      <c r="B67" s="2064" t="s">
        <v>1920</v>
      </c>
      <c r="C67" s="995">
        <f ca="1">C48-C58</f>
        <v>-1015</v>
      </c>
      <c r="D67" s="2052" t="s">
        <v>1921</v>
      </c>
      <c r="E67" s="2065"/>
      <c r="F67" s="2066"/>
      <c r="O67" s="2005" t="s">
        <v>1967</v>
      </c>
      <c r="P67" s="1986" t="s">
        <v>1998</v>
      </c>
      <c r="Q67" s="2067">
        <f ca="1">L51</f>
        <v>119368</v>
      </c>
      <c r="R67" s="1987" t="s">
        <v>2015</v>
      </c>
    </row>
    <row r="68" spans="1:18" s="553" customFormat="1" ht="15.6">
      <c r="A68" s="2068" t="s">
        <v>1925</v>
      </c>
      <c r="B68" s="2069" t="s">
        <v>1942</v>
      </c>
      <c r="C68" s="1855">
        <f ca="1">ROUND(C67*(1-((1+F70)/(1+F68))^F69)/(F68-F70),0)</f>
        <v>-14543</v>
      </c>
      <c r="D68" s="2058" t="s">
        <v>1927</v>
      </c>
      <c r="E68" s="2042" t="s">
        <v>1928</v>
      </c>
      <c r="F68" s="1863">
        <f ca="1">F40</f>
        <v>0.06</v>
      </c>
      <c r="O68" s="2005" t="s">
        <v>1971</v>
      </c>
      <c r="P68" s="2070" t="s">
        <v>2016</v>
      </c>
      <c r="Q68" s="1987">
        <f ca="1">ROUND(Q69-Q70*Q71,0)</f>
        <v>6910</v>
      </c>
      <c r="R68" s="1987" t="s">
        <v>2017</v>
      </c>
    </row>
    <row r="69" spans="1:18" s="553" customFormat="1">
      <c r="A69" s="2071"/>
      <c r="B69" s="2072"/>
      <c r="C69" s="1862"/>
      <c r="D69" s="2073" t="s">
        <v>1931</v>
      </c>
      <c r="E69" s="2042" t="s">
        <v>1932</v>
      </c>
      <c r="F69" s="1935">
        <f ca="1">F41</f>
        <v>33.700000000000003</v>
      </c>
      <c r="O69" s="2005" t="s">
        <v>2018</v>
      </c>
      <c r="P69" s="2070" t="s">
        <v>2019</v>
      </c>
      <c r="Q69" s="1987">
        <f ca="1">C39</f>
        <v>18699</v>
      </c>
      <c r="R69" s="1987" t="s">
        <v>1956</v>
      </c>
    </row>
    <row r="70" spans="1:18" s="553" customFormat="1">
      <c r="A70" s="2074"/>
      <c r="B70" s="2075"/>
      <c r="C70" s="1886"/>
      <c r="D70" s="2062"/>
      <c r="E70" s="2042" t="s">
        <v>1935</v>
      </c>
      <c r="F70" s="2020"/>
      <c r="O70" s="2005" t="s">
        <v>2020</v>
      </c>
      <c r="P70" s="2070" t="s">
        <v>2021</v>
      </c>
      <c r="Q70" s="1987">
        <f ca="1">C13</f>
        <v>157189</v>
      </c>
      <c r="R70" s="1987" t="s">
        <v>1956</v>
      </c>
    </row>
    <row r="71" spans="1:18" s="553" customFormat="1">
      <c r="A71" s="2076" t="s">
        <v>1937</v>
      </c>
      <c r="B71" s="2077" t="s">
        <v>1943</v>
      </c>
      <c r="C71" s="1940">
        <f ca="1">ROUND(C68*10000/F71,0)</f>
        <v>-946</v>
      </c>
      <c r="D71" s="2078" t="s">
        <v>1944</v>
      </c>
      <c r="E71" s="2079" t="s">
        <v>1945</v>
      </c>
      <c r="F71" s="1943">
        <f ca="1">F43</f>
        <v>153794.32</v>
      </c>
      <c r="O71" s="2005" t="s">
        <v>2022</v>
      </c>
      <c r="P71" s="2070" t="s">
        <v>2023</v>
      </c>
      <c r="Q71" s="2013">
        <f ca="1">C76</f>
        <v>7.4999999999999997E-2</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11789</v>
      </c>
      <c r="D75" s="553"/>
      <c r="E75" s="553"/>
      <c r="F75" s="553"/>
      <c r="K75" s="1961"/>
      <c r="L75" s="553"/>
      <c r="O75" s="1985" t="s">
        <v>1810</v>
      </c>
      <c r="P75" s="1986" t="s">
        <v>1985</v>
      </c>
      <c r="Q75" s="1987">
        <f ca="1">Q65+Q66</f>
        <v>339603</v>
      </c>
      <c r="R75" s="1987" t="s">
        <v>1986</v>
      </c>
    </row>
    <row r="76" spans="1:18">
      <c r="B76" s="513" t="s">
        <v>2027</v>
      </c>
      <c r="C76" s="2083">
        <f ca="1">INDIRECT("'数据-取费表'!j"&amp;$G$1)</f>
        <v>7.4999999999999997E-2</v>
      </c>
      <c r="I76" s="553"/>
      <c r="J76" s="553"/>
      <c r="K76" s="1961"/>
      <c r="L76" s="553"/>
    </row>
    <row r="77" spans="1:18">
      <c r="B77" s="2084" t="s">
        <v>2028</v>
      </c>
      <c r="C77" s="2085"/>
      <c r="I77" s="553"/>
      <c r="J77" s="553"/>
      <c r="K77" s="1961"/>
      <c r="L77" s="553"/>
    </row>
    <row r="78" spans="1:18">
      <c r="B78" s="418" t="s">
        <v>2029</v>
      </c>
      <c r="C78" s="2086"/>
    </row>
    <row r="79" spans="1:18">
      <c r="B79" s="2081" t="s">
        <v>2030</v>
      </c>
      <c r="C79" s="421">
        <f ca="1">1-C80</f>
        <v>0.37</v>
      </c>
    </row>
    <row r="80" spans="1:18">
      <c r="B80" s="2081" t="s">
        <v>2031</v>
      </c>
      <c r="C80" s="421">
        <f ca="1">ROUND(C75/C39,3)</f>
        <v>0.63</v>
      </c>
    </row>
    <row r="81" spans="2:3">
      <c r="B81" s="418" t="s">
        <v>2032</v>
      </c>
      <c r="C81" s="388"/>
    </row>
    <row r="82" spans="2:3">
      <c r="B82" s="420" t="s">
        <v>1786</v>
      </c>
      <c r="C82" s="422">
        <f ca="1">1-C83</f>
        <v>0.53699999999999992</v>
      </c>
    </row>
    <row r="83" spans="2:3">
      <c r="B83" s="420" t="s">
        <v>1787</v>
      </c>
      <c r="C83" s="421">
        <f ca="1">ROUND(C13/C40,3)</f>
        <v>0.46300000000000002</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c r="D1" s="1819" t="s">
        <v>124</v>
      </c>
      <c r="E1" s="1820" t="s">
        <v>1848</v>
      </c>
      <c r="F1" s="1821">
        <f ca="1">J53</f>
        <v>0</v>
      </c>
      <c r="G1" s="1822">
        <f>MATCH(C1,'数据-取费表'!A6:A16,0)+5</f>
        <v>7</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1827" t="e">
        <f ca="1">ROUND(D2/10000,4)</f>
        <v>#DIV/0!</v>
      </c>
      <c r="C2" s="1828" t="s">
        <v>1850</v>
      </c>
      <c r="D2" s="1829" t="e">
        <f ca="1">C40+J29+L46</f>
        <v>#DIV/0!</v>
      </c>
      <c r="E2" s="1830" t="s">
        <v>2033</v>
      </c>
      <c r="F2" s="1831"/>
      <c r="G2" s="1832"/>
      <c r="H2" s="1833"/>
      <c r="I2" s="1833"/>
      <c r="J2" s="1833"/>
      <c r="K2" s="1834"/>
      <c r="L2" s="1833"/>
      <c r="M2" s="1833"/>
    </row>
    <row r="3" spans="1:37" ht="18" customHeight="1">
      <c r="A3" s="1835" t="s">
        <v>1851</v>
      </c>
      <c r="B3" s="1836">
        <f ca="1">IF(ISERROR(D2/F43),0,ROUND(D2/F43,0))</f>
        <v>0</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0</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ROUND(F6*F8*F7*(1-F9),0)</f>
        <v>0</v>
      </c>
      <c r="D6" s="1852" t="s">
        <v>2034</v>
      </c>
      <c r="E6" s="1853" t="s">
        <v>1863</v>
      </c>
      <c r="F6" s="1854">
        <f ca="1">INDIRECT("'数据-取费表'!u"&amp;$G$1)</f>
        <v>0</v>
      </c>
      <c r="G6" s="553"/>
      <c r="H6" s="1850" t="s">
        <v>1030</v>
      </c>
      <c r="I6" s="3470" t="s">
        <v>1861</v>
      </c>
      <c r="J6" s="1855">
        <f ca="1">ROUND(M6*M8*M7*(1-M9),0)</f>
        <v>0</v>
      </c>
      <c r="K6" s="1856" t="s">
        <v>2035</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0</v>
      </c>
      <c r="G7" s="553"/>
      <c r="H7" s="1861"/>
      <c r="I7" s="3471"/>
      <c r="J7" s="1862"/>
      <c r="K7" s="1859"/>
      <c r="L7" s="1853" t="s">
        <v>1865</v>
      </c>
      <c r="M7" s="1854">
        <f ca="1">F7</f>
        <v>0</v>
      </c>
    </row>
    <row r="8" spans="1:37" ht="18" customHeight="1">
      <c r="A8" s="1861"/>
      <c r="B8" s="3471"/>
      <c r="C8" s="1862"/>
      <c r="D8" s="1859"/>
      <c r="E8" s="1853" t="s">
        <v>1866</v>
      </c>
      <c r="F8" s="1854">
        <f ca="1">INDIRECT("'数据-取费表'!ai"&amp;$G$1)</f>
        <v>0</v>
      </c>
      <c r="G8" s="553"/>
      <c r="H8" s="1861"/>
      <c r="I8" s="3471"/>
      <c r="J8" s="1862"/>
      <c r="K8" s="1859"/>
      <c r="L8" s="1853" t="s">
        <v>1866</v>
      </c>
      <c r="M8" s="1854">
        <f ca="1">INDIRECT("'数据-取费表'!ai"&amp;$G$1)</f>
        <v>0</v>
      </c>
    </row>
    <row r="9" spans="1:37" ht="18" customHeight="1">
      <c r="A9" s="1861"/>
      <c r="B9" s="3472"/>
      <c r="C9" s="1862"/>
      <c r="D9" s="1859"/>
      <c r="E9" s="1853" t="s">
        <v>1867</v>
      </c>
      <c r="F9" s="1863">
        <f ca="1">INDIRECT("'数据-取费表'!w"&amp;$G$1)</f>
        <v>0</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0</v>
      </c>
      <c r="D10" s="1867" t="s">
        <v>1869</v>
      </c>
      <c r="E10" s="1864" t="s">
        <v>1870</v>
      </c>
      <c r="F10" s="1868"/>
      <c r="G10" s="553"/>
      <c r="H10" s="1850" t="s">
        <v>1034</v>
      </c>
      <c r="I10" s="1866" t="s">
        <v>1868</v>
      </c>
      <c r="J10" s="1855">
        <f ca="1">ROUND(IF(M10="押一",J6/12*M11,IF(M10="押二",J6/12*2*M11,IF(M10="押三",J6/12*3*M11,J11*M11))),0)</f>
        <v>0</v>
      </c>
      <c r="K10" s="1869" t="s">
        <v>2036</v>
      </c>
      <c r="L10" s="1864" t="s">
        <v>1870</v>
      </c>
      <c r="M10" s="1868"/>
    </row>
    <row r="11" spans="1:37" ht="18" customHeight="1">
      <c r="A11" s="1870"/>
      <c r="B11" s="1871" t="s">
        <v>2037</v>
      </c>
      <c r="C11" s="1872"/>
      <c r="D11" s="1859"/>
      <c r="E11" s="1864" t="s">
        <v>1873</v>
      </c>
      <c r="F11" s="1865">
        <f ca="1">'数据-取费表'!B39</f>
        <v>1.4999999999999999E-2</v>
      </c>
      <c r="G11" s="553"/>
      <c r="H11" s="1873"/>
      <c r="I11" s="1871" t="s">
        <v>2038</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0</v>
      </c>
      <c r="D13" s="1887" t="s">
        <v>1876</v>
      </c>
      <c r="E13" s="1887" t="s">
        <v>1877</v>
      </c>
      <c r="F13" s="1888">
        <f ca="1">INDIRECT("'数据-取费表'!y"&amp;$G$1)</f>
        <v>0</v>
      </c>
      <c r="G13" s="553"/>
      <c r="H13" s="1884">
        <v>2</v>
      </c>
      <c r="I13" s="1885" t="s">
        <v>1875</v>
      </c>
      <c r="J13" s="1889">
        <f ca="1">ROUND(J14*J15,0)</f>
        <v>0</v>
      </c>
      <c r="K13" s="1890" t="s">
        <v>1876</v>
      </c>
      <c r="L13" s="1891"/>
      <c r="M13" s="1892"/>
    </row>
    <row r="14" spans="1:37" ht="18" customHeight="1">
      <c r="A14" s="1893" t="s">
        <v>1053</v>
      </c>
      <c r="B14" s="1853" t="s">
        <v>1878</v>
      </c>
      <c r="C14" s="1894">
        <f ca="1">ROUND(INDIRECT("'数据-取费表'!l"&amp;$G$1)*F43+'数据-取费表'!L14*INDIRECT("'数据-取费表'!S"&amp;$G$1),0)</f>
        <v>0</v>
      </c>
      <c r="D14" s="1895" t="s">
        <v>1879</v>
      </c>
      <c r="E14" s="1896"/>
      <c r="F14" s="1897"/>
      <c r="G14" s="553"/>
      <c r="H14" s="1893" t="s">
        <v>1030</v>
      </c>
      <c r="I14" s="1853" t="s">
        <v>1880</v>
      </c>
      <c r="J14" s="996">
        <f ca="1">C29</f>
        <v>0</v>
      </c>
      <c r="K14" s="1898"/>
      <c r="L14" s="1899"/>
      <c r="M14" s="1900"/>
    </row>
    <row r="15" spans="1:37" s="1815" customFormat="1" ht="18" customHeight="1">
      <c r="A15" s="1893" t="s">
        <v>1057</v>
      </c>
      <c r="B15" s="1853" t="s">
        <v>1808</v>
      </c>
      <c r="C15" s="996">
        <f ca="1">ROUND(C14*F15,0)</f>
        <v>0</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ROUND(INDIRECT("'数据-取费表'!l"&amp;$G$1)*F43*F16,0)</f>
        <v>0</v>
      </c>
      <c r="D16" s="1853" t="s">
        <v>1881</v>
      </c>
      <c r="E16" s="1853" t="s">
        <v>1882</v>
      </c>
      <c r="F16" s="1908">
        <f ca="1">IF(INDIRECT("'数据-取费表'!c"&amp;$G$1)="住宅",'数据-取费表'!B34,0)</f>
        <v>0</v>
      </c>
      <c r="G16" s="553"/>
      <c r="H16" s="1884" t="s">
        <v>1675</v>
      </c>
      <c r="I16" s="1885" t="s">
        <v>1883</v>
      </c>
      <c r="J16" s="1886">
        <f ca="1">ROUND(J17+J22+J23+J24,0)</f>
        <v>0</v>
      </c>
      <c r="K16" s="1890" t="s">
        <v>1884</v>
      </c>
      <c r="L16" s="1909"/>
      <c r="M16" s="1849"/>
    </row>
    <row r="17" spans="1:37" s="1815" customFormat="1" ht="18" customHeight="1">
      <c r="A17" s="1893" t="s">
        <v>1885</v>
      </c>
      <c r="B17" s="1853" t="s">
        <v>1886</v>
      </c>
      <c r="C17" s="996">
        <f ca="1">ROUND(F17*(F43+INDIRECT("'数据-取费表'!S"&amp;$G$1)),0)</f>
        <v>0</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ROUND(IF(AND(项目基本情况!B11="自然人",项目基本情况!B10="北京市"),J6*M17/(1+'数据-取费表'!C42),J18+J19+J20),0)</f>
        <v>0</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0</v>
      </c>
      <c r="D18" s="1853" t="s">
        <v>1881</v>
      </c>
      <c r="E18" s="1853" t="s">
        <v>1882</v>
      </c>
      <c r="F18" s="1908">
        <f>'数据-取费表'!B36</f>
        <v>0.02</v>
      </c>
      <c r="G18" s="1903"/>
      <c r="H18" s="1893" t="s">
        <v>1053</v>
      </c>
      <c r="I18" s="1853" t="s">
        <v>1893</v>
      </c>
      <c r="J18" s="996">
        <f ca="1">ROUND(J6*M18/(1+'数据-取费表'!C42),0)</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0</v>
      </c>
      <c r="D19" s="1914" t="s">
        <v>1896</v>
      </c>
      <c r="E19" s="998"/>
      <c r="F19" s="1910"/>
      <c r="G19" s="553"/>
      <c r="H19" s="1893" t="s">
        <v>1057</v>
      </c>
      <c r="I19" s="1853" t="s">
        <v>1897</v>
      </c>
      <c r="J19" s="996">
        <f ca="1">IF(K19="按租金收入计税",ROUND(J6*M19/(1+'数据-取费表'!C42),0),ROUND(C29*M19*0.7,0))</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0</v>
      </c>
      <c r="D20" s="1916" t="s">
        <v>1900</v>
      </c>
      <c r="E20" s="1853" t="s">
        <v>1882</v>
      </c>
      <c r="F20" s="1908">
        <f>'数据-取费表'!B37</f>
        <v>0.03</v>
      </c>
      <c r="G20" s="1903"/>
      <c r="H20" s="1893" t="s">
        <v>1060</v>
      </c>
      <c r="I20" s="1852" t="s">
        <v>1901</v>
      </c>
      <c r="J20" s="1917">
        <f ca="1">ROUND(M20*M21,0)</f>
        <v>0</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0</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ROUND(J14*M22,0)</f>
        <v>0</v>
      </c>
      <c r="K22" s="1912" t="s">
        <v>1910</v>
      </c>
      <c r="L22" s="1853" t="s">
        <v>1882</v>
      </c>
      <c r="M22" s="1924">
        <f ca="1">INDIRECT("'数据-取费表'!Ak"&amp;$G$1)</f>
        <v>0</v>
      </c>
    </row>
    <row r="23" spans="1:37" s="1815" customFormat="1" ht="18" customHeight="1">
      <c r="A23" s="1893" t="s">
        <v>1053</v>
      </c>
      <c r="B23" s="1853" t="s">
        <v>1911</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ROUND(J13*M23,0)</f>
        <v>0</v>
      </c>
      <c r="K23" s="1912" t="s">
        <v>1914</v>
      </c>
      <c r="L23" s="1853" t="s">
        <v>1882</v>
      </c>
      <c r="M23" s="1925">
        <f ca="1">INDIRECT("'数据-取费表'!Al"&amp;$G$1)</f>
        <v>0</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ROUND(J5*M24,0)</f>
        <v>0</v>
      </c>
      <c r="K24" s="1928" t="s">
        <v>1917</v>
      </c>
      <c r="L24" s="1880" t="s">
        <v>1882</v>
      </c>
      <c r="M24" s="1881">
        <f ca="1">INDIRECT("'数据-取费表'!Am"&amp;$G$1)</f>
        <v>0</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18" customHeight="1">
      <c r="A25" s="1893" t="s">
        <v>1086</v>
      </c>
      <c r="B25" s="1853" t="s">
        <v>1918</v>
      </c>
      <c r="C25" s="996"/>
      <c r="D25" s="1914" t="s">
        <v>1919</v>
      </c>
      <c r="E25" s="998"/>
      <c r="F25" s="1910"/>
      <c r="G25" s="553"/>
      <c r="H25" s="1884" t="s">
        <v>1396</v>
      </c>
      <c r="I25" s="1929" t="s">
        <v>1920</v>
      </c>
      <c r="J25" s="1886">
        <f ca="1">J5-J16</f>
        <v>0</v>
      </c>
      <c r="K25" s="1930" t="s">
        <v>1921</v>
      </c>
      <c r="L25" s="1931"/>
      <c r="M25" s="1932"/>
    </row>
    <row r="26" spans="1:37" ht="18" customHeight="1">
      <c r="A26" s="1893" t="s">
        <v>1053</v>
      </c>
      <c r="B26" s="1853" t="s">
        <v>1922</v>
      </c>
      <c r="C26" s="996">
        <f ca="1">ROUND((C19+C20)*F26,0)</f>
        <v>0</v>
      </c>
      <c r="D26" s="1916" t="s">
        <v>1923</v>
      </c>
      <c r="E26" s="1864" t="s">
        <v>1924</v>
      </c>
      <c r="F26" s="1863">
        <f ca="1">INDIRECT("'数据-取费表'!q"&amp;$G$1)</f>
        <v>0</v>
      </c>
      <c r="G26" s="553"/>
      <c r="H26" s="1844" t="s">
        <v>1925</v>
      </c>
      <c r="I26" s="1845" t="s">
        <v>1926</v>
      </c>
      <c r="J26" s="1855">
        <f ca="1">IF(J5&lt;&gt;0,ROUND(J25*(1-((1+M28)/(1+M26))^M27)/(M26-M28),0),0)</f>
        <v>0</v>
      </c>
      <c r="K26" s="1918" t="s">
        <v>1927</v>
      </c>
      <c r="L26" s="1853" t="s">
        <v>1928</v>
      </c>
      <c r="M26" s="1863">
        <f ca="1">INDIRECT("'数据-取费表'!I"&amp;$G$1)</f>
        <v>0</v>
      </c>
    </row>
    <row r="27" spans="1:37" ht="18" customHeight="1">
      <c r="A27" s="1893" t="s">
        <v>1057</v>
      </c>
      <c r="B27" s="1853" t="s">
        <v>1929</v>
      </c>
      <c r="C27" s="996">
        <f ca="1">ROUND(F21*F26,4)</f>
        <v>0</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0</v>
      </c>
      <c r="D29" s="1928"/>
      <c r="E29" s="1880"/>
      <c r="F29" s="1937"/>
      <c r="G29" s="1903"/>
      <c r="H29" s="1938" t="s">
        <v>1937</v>
      </c>
      <c r="I29" s="1939" t="s">
        <v>1938</v>
      </c>
      <c r="J29" s="1940">
        <f ca="1">ROUND(J26/(1+F40)^F41,0)</f>
        <v>0</v>
      </c>
      <c r="K29" s="1941" t="s">
        <v>1939</v>
      </c>
      <c r="L29" s="1942"/>
      <c r="M29" s="1943">
        <f ca="1">INDIRECT("'数据-取费表'!k"&amp;$G$1)</f>
        <v>0</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0</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ROUND(IF(AND(项目基本情况!B11="自然人",项目基本情况!B10="北京市"),C6*F31/(1+'数据-取费表'!C42),C32+C33+C34),0)</f>
        <v>0</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IF(项目基本情况!B11="自然人","——",ROUND(C6*F32/(1+'数据-取费表'!C42),0))</f>
        <v>0</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IF(项目基本情况!B11="自然人","——",IF(D33="按租金收入计税",ROUND(C6*F33/(1+'数据-取费表'!C42),0),IF(D33="按房产原值计税",ROUND(C29*F33*0.7,0),INDIRECT("'数据-取费表'!Aj"&amp;$G$1))))</f>
        <v>0</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IF(项目基本情况!B11="自然人","——",ROUND(F34*F35,0))</f>
        <v>0</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0</v>
      </c>
      <c r="G35" s="553"/>
      <c r="H35" s="1944"/>
      <c r="I35" s="1945"/>
      <c r="J35" s="1946"/>
      <c r="K35" s="1951"/>
      <c r="L35" s="1950"/>
      <c r="M35" s="1950"/>
    </row>
    <row r="36" spans="1:18" ht="18" customHeight="1">
      <c r="A36" s="1956" t="s">
        <v>1034</v>
      </c>
      <c r="B36" s="1853" t="s">
        <v>1909</v>
      </c>
      <c r="C36" s="996">
        <f ca="1">ROUND(C29*F36,0)</f>
        <v>0</v>
      </c>
      <c r="D36" s="1912" t="s">
        <v>1941</v>
      </c>
      <c r="E36" s="1853" t="s">
        <v>1882</v>
      </c>
      <c r="F36" s="1924">
        <f ca="1">INDIRECT("'数据-取费表'!Ak"&amp;$G$1)</f>
        <v>0</v>
      </c>
      <c r="G36" s="553"/>
      <c r="H36" s="1950"/>
      <c r="I36" s="1945"/>
      <c r="J36" s="1946"/>
      <c r="K36" s="1957"/>
      <c r="L36" s="1950"/>
      <c r="M36" s="1950"/>
    </row>
    <row r="37" spans="1:18" ht="18" customHeight="1">
      <c r="A37" s="1893" t="s">
        <v>1079</v>
      </c>
      <c r="B37" s="1853" t="s">
        <v>1913</v>
      </c>
      <c r="C37" s="996">
        <f ca="1">ROUND(C13*F37,0)</f>
        <v>0</v>
      </c>
      <c r="D37" s="1912" t="s">
        <v>1914</v>
      </c>
      <c r="E37" s="1853" t="s">
        <v>1882</v>
      </c>
      <c r="F37" s="1925">
        <f ca="1">INDIRECT("'数据-取费表'!Al"&amp;$G$1)</f>
        <v>0</v>
      </c>
      <c r="G37" s="553"/>
      <c r="H37" s="1950"/>
      <c r="I37" s="1945"/>
      <c r="J37" s="1946"/>
      <c r="K37" s="1957"/>
      <c r="L37" s="1950"/>
      <c r="M37" s="1950"/>
    </row>
    <row r="38" spans="1:18" ht="18" customHeight="1">
      <c r="A38" s="1904" t="s">
        <v>1082</v>
      </c>
      <c r="B38" s="1880" t="s">
        <v>1899</v>
      </c>
      <c r="C38" s="1927">
        <f ca="1">ROUND(C5*F38,0)</f>
        <v>0</v>
      </c>
      <c r="D38" s="1928" t="s">
        <v>1917</v>
      </c>
      <c r="E38" s="1880" t="s">
        <v>1882</v>
      </c>
      <c r="F38" s="1881">
        <f ca="1">INDIRECT("'数据-取费表'!Am"&amp;$G$1)</f>
        <v>0</v>
      </c>
      <c r="G38" s="553"/>
      <c r="H38" s="1950"/>
      <c r="I38" s="1945"/>
      <c r="J38" s="1946"/>
      <c r="K38" s="1947"/>
      <c r="L38" s="1950"/>
      <c r="M38" s="1950"/>
    </row>
    <row r="39" spans="1:18" ht="24.6" customHeight="1">
      <c r="A39" s="1884" t="s">
        <v>1396</v>
      </c>
      <c r="B39" s="1929" t="s">
        <v>1920</v>
      </c>
      <c r="C39" s="1886">
        <f ca="1">C5-C30</f>
        <v>0</v>
      </c>
      <c r="D39" s="1930" t="s">
        <v>1921</v>
      </c>
      <c r="E39" s="1931"/>
      <c r="F39" s="1932"/>
      <c r="G39" s="553"/>
      <c r="H39" s="1950"/>
      <c r="I39" s="1945"/>
      <c r="J39" s="1946"/>
      <c r="K39" s="1947"/>
      <c r="L39" s="1950"/>
      <c r="M39" s="1950"/>
    </row>
    <row r="40" spans="1:18" ht="18" customHeight="1">
      <c r="A40" s="1844" t="s">
        <v>1925</v>
      </c>
      <c r="B40" s="1845" t="s">
        <v>1942</v>
      </c>
      <c r="C40" s="1855" t="e">
        <f ca="1">ROUND(C39*(1-((1+F42)/(1+F40))^F41)/(F40-F42),0)</f>
        <v>#DIV/0!</v>
      </c>
      <c r="D40" s="1918" t="s">
        <v>1927</v>
      </c>
      <c r="E40" s="1853" t="s">
        <v>1928</v>
      </c>
      <c r="F40" s="1863">
        <f ca="1">INDIRECT("'数据-取费表'!I"&amp;$G$1)</f>
        <v>0</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0</v>
      </c>
      <c r="G41" s="553"/>
      <c r="H41" s="985"/>
      <c r="I41" s="1945"/>
      <c r="J41" s="1946"/>
      <c r="K41" s="1957"/>
      <c r="L41" s="985"/>
      <c r="M41" s="985"/>
    </row>
    <row r="42" spans="1:18" ht="18" customHeight="1">
      <c r="A42" s="1870"/>
      <c r="B42" s="1936"/>
      <c r="C42" s="1886"/>
      <c r="D42" s="1923"/>
      <c r="E42" s="1853" t="s">
        <v>1935</v>
      </c>
      <c r="F42" s="1863">
        <f ca="1">INDIRECT("'数据-取费表'!v"&amp;$G$1)</f>
        <v>0</v>
      </c>
      <c r="G42" s="553"/>
      <c r="H42" s="985"/>
      <c r="I42" s="1945"/>
      <c r="J42" s="1946"/>
      <c r="K42" s="1957"/>
      <c r="L42" s="985"/>
      <c r="M42" s="985"/>
    </row>
    <row r="43" spans="1:18" ht="18" customHeight="1">
      <c r="A43" s="1938" t="s">
        <v>1937</v>
      </c>
      <c r="B43" s="1939" t="s">
        <v>1943</v>
      </c>
      <c r="C43" s="1940" t="e">
        <f ca="1">ROUND(C40/F43,0)</f>
        <v>#DIV/0!</v>
      </c>
      <c r="D43" s="1941" t="s">
        <v>1944</v>
      </c>
      <c r="E43" s="1942" t="s">
        <v>1945</v>
      </c>
      <c r="F43" s="1943">
        <f ca="1">INDIRECT("'数据-取费表'!k"&amp;$G$1)</f>
        <v>0</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62" t="s">
        <v>2039</v>
      </c>
      <c r="B45" s="1959"/>
      <c r="C45" s="1963" t="e">
        <f ca="1">ROUND((C68-C40)/10000,4)</f>
        <v>#DIV/0!</v>
      </c>
      <c r="D45" s="1964" t="s">
        <v>2040</v>
      </c>
      <c r="E45" s="1959"/>
      <c r="F45" s="1959"/>
      <c r="O45" s="1965" t="s">
        <v>1946</v>
      </c>
      <c r="P45" s="1958"/>
      <c r="Q45" s="1958"/>
      <c r="R45" s="1958"/>
    </row>
    <row r="46" spans="1:18" s="553" customFormat="1">
      <c r="A46" s="1966" t="s">
        <v>1947</v>
      </c>
      <c r="C46" s="1967" t="e">
        <f ca="1">ROUND(C45,0)</f>
        <v>#DIV/0!</v>
      </c>
      <c r="D46" s="1968" t="str">
        <f>C2</f>
        <v>万元</v>
      </c>
      <c r="I46" s="1969" t="s">
        <v>1948</v>
      </c>
      <c r="J46" s="1970"/>
      <c r="K46" s="1971"/>
      <c r="L46" s="1972" t="e">
        <f ca="1">IF(M47="住宅",0,IF(L48&gt;J51,L60,J60))</f>
        <v>#DIV/0!</v>
      </c>
      <c r="O46" s="1973" t="s">
        <v>1949</v>
      </c>
      <c r="P46" s="1974" t="s">
        <v>1950</v>
      </c>
      <c r="Q46" s="1975" t="s">
        <v>1951</v>
      </c>
      <c r="R46" s="1975" t="s">
        <v>1952</v>
      </c>
    </row>
    <row r="47" spans="1:18" s="553" customFormat="1">
      <c r="A47" s="1976" t="s">
        <v>1854</v>
      </c>
      <c r="B47" s="1977" t="s">
        <v>1855</v>
      </c>
      <c r="C47" s="1977" t="s">
        <v>1856</v>
      </c>
      <c r="D47" s="1977" t="s">
        <v>1857</v>
      </c>
      <c r="E47" s="1978" t="s">
        <v>1858</v>
      </c>
      <c r="F47" s="989"/>
      <c r="G47" s="1979"/>
      <c r="I47" s="1980" t="s">
        <v>1953</v>
      </c>
      <c r="J47" s="1981"/>
      <c r="K47" s="1982" t="s">
        <v>1954</v>
      </c>
      <c r="L47" s="1983">
        <f ca="1">INDIRECT("'数据-取费表'!d"&amp;$G$1)</f>
        <v>0</v>
      </c>
      <c r="M47" s="1984" t="str">
        <f>IF(ISNUMBER(FIND("住宅",C1)),"住宅","非住宅")</f>
        <v>非住宅</v>
      </c>
      <c r="O47" s="1985" t="s">
        <v>1705</v>
      </c>
      <c r="P47" s="1986" t="s">
        <v>1955</v>
      </c>
      <c r="Q47" s="1987" t="e">
        <f ca="1">C40+J29</f>
        <v>#DIV/0!</v>
      </c>
      <c r="R47" s="1987" t="s">
        <v>1956</v>
      </c>
    </row>
    <row r="48" spans="1:18" s="553" customFormat="1" ht="39.6">
      <c r="A48" s="1988" t="s">
        <v>1419</v>
      </c>
      <c r="B48" s="1845" t="s">
        <v>1859</v>
      </c>
      <c r="C48" s="997">
        <f ca="1">C49+C53+C55</f>
        <v>0</v>
      </c>
      <c r="D48" s="1989"/>
      <c r="E48" s="1990"/>
      <c r="F48" s="1991"/>
      <c r="G48" s="1979"/>
      <c r="H48" s="1992"/>
      <c r="I48" s="1993" t="s">
        <v>1957</v>
      </c>
      <c r="J48" s="1994"/>
      <c r="K48" s="1995" t="s">
        <v>1959</v>
      </c>
      <c r="L48" s="1996">
        <f ca="1">INDIRECT("'数据-取费表'!f"&amp;$G$1)</f>
        <v>0</v>
      </c>
      <c r="O48" s="1985" t="s">
        <v>1709</v>
      </c>
      <c r="P48" s="1986" t="s">
        <v>1960</v>
      </c>
      <c r="Q48" s="1987" t="e">
        <f ca="1">J60</f>
        <v>#DIV/0!</v>
      </c>
      <c r="R48" s="1987" t="s">
        <v>1961</v>
      </c>
    </row>
    <row r="49" spans="1:18" s="553" customFormat="1">
      <c r="A49" s="1997" t="s">
        <v>1962</v>
      </c>
      <c r="B49" s="1998" t="s">
        <v>1963</v>
      </c>
      <c r="C49" s="1999">
        <f ca="1">ROUND(F49*F51*F50*(1-F52),0)</f>
        <v>0</v>
      </c>
      <c r="D49" s="2000" t="s">
        <v>2041</v>
      </c>
      <c r="E49" s="2001" t="s">
        <v>1964</v>
      </c>
      <c r="F49" s="2002"/>
      <c r="H49" s="1992"/>
      <c r="I49" s="1993" t="s">
        <v>1965</v>
      </c>
      <c r="J49" s="2003"/>
      <c r="K49" s="1995" t="s">
        <v>1966</v>
      </c>
      <c r="L49" s="2004"/>
      <c r="O49" s="2005" t="s">
        <v>1967</v>
      </c>
      <c r="P49" s="1986" t="s">
        <v>1968</v>
      </c>
      <c r="Q49" s="1987">
        <f ca="1">C29</f>
        <v>0</v>
      </c>
      <c r="R49" s="1987" t="s">
        <v>1956</v>
      </c>
    </row>
    <row r="50" spans="1:18" s="553" customFormat="1">
      <c r="A50" s="2006"/>
      <c r="B50" s="927"/>
      <c r="C50" s="2007"/>
      <c r="D50" s="2008"/>
      <c r="E50" s="2009" t="s">
        <v>1865</v>
      </c>
      <c r="F50" s="2010">
        <f ca="1">F7</f>
        <v>0</v>
      </c>
      <c r="H50" s="1992"/>
      <c r="I50" s="1993" t="s">
        <v>1969</v>
      </c>
      <c r="J50" s="2011">
        <f>SUMPRODUCT((I63:I65=J47)*(J62:L62=J48)*(J63:L65))</f>
        <v>0</v>
      </c>
      <c r="K50" s="1995" t="s">
        <v>1970</v>
      </c>
      <c r="L50" s="2004"/>
      <c r="M50" s="2012"/>
      <c r="O50" s="2005" t="s">
        <v>1971</v>
      </c>
      <c r="P50" s="1986" t="s">
        <v>1972</v>
      </c>
      <c r="Q50" s="2013" t="e">
        <f ca="1">J58</f>
        <v>#DIV/0!</v>
      </c>
      <c r="R50" s="1987"/>
    </row>
    <row r="51" spans="1:18" s="553" customFormat="1">
      <c r="A51" s="2014"/>
      <c r="B51" s="927"/>
      <c r="C51" s="2007"/>
      <c r="D51" s="2008"/>
      <c r="E51" s="2015" t="s">
        <v>1866</v>
      </c>
      <c r="F51" s="1854">
        <f ca="1">F8</f>
        <v>0</v>
      </c>
      <c r="I51" s="2016" t="s">
        <v>1973</v>
      </c>
      <c r="J51" s="1996">
        <f>IF(J49="",J50,J49+J50-YEAR('数据-取费表'!B2))</f>
        <v>0</v>
      </c>
      <c r="K51" s="2017" t="s">
        <v>1974</v>
      </c>
      <c r="L51" s="2018">
        <f ca="1">ROUND(-PV(INDIRECT("'数据-取费表'!h"&amp;$G$1),J51,(C39-C13*C76),0),0)</f>
        <v>0</v>
      </c>
      <c r="M51" s="2019"/>
      <c r="O51" s="2005" t="s">
        <v>1975</v>
      </c>
      <c r="P51" s="1986" t="s">
        <v>1976</v>
      </c>
      <c r="Q51" s="2013">
        <f>J52</f>
        <v>0</v>
      </c>
      <c r="R51" s="1987"/>
    </row>
    <row r="52" spans="1:18" s="553" customFormat="1">
      <c r="A52" s="2014"/>
      <c r="B52" s="927"/>
      <c r="C52" s="2007"/>
      <c r="D52" s="2008"/>
      <c r="E52" s="2015" t="s">
        <v>1867</v>
      </c>
      <c r="F52" s="2020"/>
      <c r="I52" s="2021" t="s">
        <v>1977</v>
      </c>
      <c r="J52" s="2022"/>
      <c r="K52" s="2021" t="s">
        <v>1978</v>
      </c>
      <c r="L52" s="2022"/>
      <c r="O52" s="2005" t="s">
        <v>1979</v>
      </c>
      <c r="P52" s="1986" t="s">
        <v>1980</v>
      </c>
      <c r="Q52" s="1987">
        <f ca="1">J53</f>
        <v>0</v>
      </c>
      <c r="R52" s="1987" t="s">
        <v>1981</v>
      </c>
    </row>
    <row r="53" spans="1:18" s="553" customFormat="1" ht="30.75" customHeight="1">
      <c r="A53" s="2023" t="s">
        <v>1982</v>
      </c>
      <c r="B53" s="1916" t="s">
        <v>1868</v>
      </c>
      <c r="C53" s="995">
        <f ca="1">ROUND(IF(F53="押一",C49/12*F11,IF(F53="押二",C49/12*2*F11,IF(F53="押三",C49/12*3*F11,C54*F11))),0)</f>
        <v>0</v>
      </c>
      <c r="D53" s="1867" t="s">
        <v>2042</v>
      </c>
      <c r="E53" s="1864" t="s">
        <v>1870</v>
      </c>
      <c r="F53" s="1868"/>
      <c r="I53" s="2024" t="s">
        <v>1983</v>
      </c>
      <c r="J53" s="2025">
        <f ca="1">IF(M47="住宅",IF(D1="——",MAX(J51,L48),MAX(J51,L48-'数据-取费表'!B24)),IF(D1="——",MIN(J51,L48),MIN(J51,L48-'数据-取费表'!B24)))</f>
        <v>0</v>
      </c>
      <c r="K53" s="3468" t="s">
        <v>1984</v>
      </c>
      <c r="L53" s="3469"/>
      <c r="O53" s="1985" t="s">
        <v>1810</v>
      </c>
      <c r="P53" s="1986" t="s">
        <v>1985</v>
      </c>
      <c r="Q53" s="1987" t="e">
        <f ca="1">Q47+Q48</f>
        <v>#DIV/0!</v>
      </c>
      <c r="R53" s="1987" t="s">
        <v>1986</v>
      </c>
    </row>
    <row r="54" spans="1:18" s="553" customFormat="1">
      <c r="A54" s="1997"/>
      <c r="B54" s="2026" t="s">
        <v>2038</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t="e">
        <f ca="1">ROUND(IF(J47="钢混",J57/J50,1-(1-2%)*(J50-J57)/J50),3)</f>
        <v>#DIV/0!</v>
      </c>
      <c r="K55" s="2033" t="s">
        <v>1989</v>
      </c>
      <c r="L55" s="2034"/>
      <c r="O55" s="1973" t="s">
        <v>1949</v>
      </c>
      <c r="P55" s="1974" t="s">
        <v>1950</v>
      </c>
      <c r="Q55" s="1975" t="s">
        <v>1951</v>
      </c>
      <c r="R55" s="1975" t="s">
        <v>1952</v>
      </c>
    </row>
    <row r="56" spans="1:18" s="553" customFormat="1" ht="36" customHeight="1">
      <c r="A56" s="2035">
        <v>2</v>
      </c>
      <c r="B56" s="2036" t="s">
        <v>1875</v>
      </c>
      <c r="C56" s="378">
        <f ca="1">C13</f>
        <v>0</v>
      </c>
      <c r="D56" s="2037"/>
      <c r="E56" s="2038"/>
      <c r="F56" s="2028"/>
      <c r="I56" s="2039" t="s">
        <v>1990</v>
      </c>
      <c r="J56" s="2040"/>
      <c r="K56" s="1993" t="s">
        <v>1991</v>
      </c>
      <c r="L56" s="1996">
        <f ca="1">IF(L48&lt;J51,"——",L48-J51)</f>
        <v>0</v>
      </c>
      <c r="O56" s="1985" t="s">
        <v>1705</v>
      </c>
      <c r="P56" s="1986" t="s">
        <v>1955</v>
      </c>
      <c r="Q56" s="1987" t="e">
        <f ca="1">C40+J29</f>
        <v>#DIV/0!</v>
      </c>
      <c r="R56" s="1987" t="s">
        <v>1956</v>
      </c>
    </row>
    <row r="57" spans="1:18" s="553" customFormat="1" ht="24">
      <c r="A57" s="2041"/>
      <c r="B57" s="2042" t="s">
        <v>1936</v>
      </c>
      <c r="C57" s="388">
        <f ca="1">C29</f>
        <v>0</v>
      </c>
      <c r="D57" s="2043"/>
      <c r="E57" s="2044"/>
      <c r="F57" s="2045"/>
      <c r="I57" s="2046" t="s">
        <v>1992</v>
      </c>
      <c r="J57" s="2047">
        <f ca="1">IF(OR(M47="住宅",J51&lt;L48,J56="是"),"——",J51-L48)</f>
        <v>0</v>
      </c>
      <c r="K57" s="1993" t="s">
        <v>2043</v>
      </c>
      <c r="L57" s="1996">
        <f ca="1">IF(L48&lt;J51,"——",IF(L55="比较法",L49,IF(L55="基准地价",L50,L51)))</f>
        <v>0</v>
      </c>
      <c r="O57" s="1985" t="s">
        <v>1709</v>
      </c>
      <c r="P57" s="1986" t="s">
        <v>1994</v>
      </c>
      <c r="Q57" s="1987" t="e">
        <f ca="1">L60</f>
        <v>#DIV/0!</v>
      </c>
      <c r="R57" s="1987" t="s">
        <v>1995</v>
      </c>
    </row>
    <row r="58" spans="1:18" s="553" customFormat="1" ht="24">
      <c r="A58" s="2048" t="s">
        <v>1675</v>
      </c>
      <c r="B58" s="2036" t="s">
        <v>1883</v>
      </c>
      <c r="C58" s="995">
        <f ca="1">ROUND(C59+C64+C65+C66,0)</f>
        <v>0</v>
      </c>
      <c r="D58" s="2049" t="s">
        <v>1884</v>
      </c>
      <c r="E58" s="2050"/>
      <c r="F58" s="1991"/>
      <c r="I58" s="2046" t="s">
        <v>1996</v>
      </c>
      <c r="J58" s="2051" t="e">
        <f ca="1">IF(J55&lt;0.4,0.4,J55)</f>
        <v>#DIV/0!</v>
      </c>
      <c r="K58" s="2017" t="s">
        <v>2044</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0</v>
      </c>
      <c r="D59" s="2052" t="s">
        <v>1890</v>
      </c>
      <c r="E59" s="2053" t="s">
        <v>1891</v>
      </c>
      <c r="F59" s="1913" t="str">
        <f>IF(项目基本情况!B11="企业","——",IF('数据-取费表'!B10="住宅",IF(F49*F50*F51/12/(1+'数据-取费表'!F30)&gt;100000,4%,2.5%),IF(F49*F50*F51/12/(1+'数据-取费表'!F30)&gt;100000,12%,7%)))</f>
        <v>——</v>
      </c>
      <c r="I59" s="2046" t="s">
        <v>1999</v>
      </c>
      <c r="J59" s="2047" t="e">
        <f ca="1">IF(OR(M47="住宅",J51&lt;L48,J56="是"),"——",ROUND(C29*J58,0))</f>
        <v>#DIV/0!</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IF(项目基本情况!B11="自然人","——",ROUND(C48*F60/(1+'数据-取费表'!C42),0))</f>
        <v>0</v>
      </c>
      <c r="D60" s="2053" t="s">
        <v>1894</v>
      </c>
      <c r="E60" s="2042" t="s">
        <v>1882</v>
      </c>
      <c r="F60" s="1926">
        <f t="shared" ref="F60:F66" si="0">F32</f>
        <v>5.5E-2</v>
      </c>
      <c r="I60" s="2054" t="s">
        <v>2001</v>
      </c>
      <c r="J60" s="2055" t="e">
        <f ca="1">IF(OR(M47="住宅",J51&lt;L48,J56="是"),"0",ROUND(J59/(1+J52)^J53,0))</f>
        <v>#DIV/0!</v>
      </c>
      <c r="K60" s="2056" t="s">
        <v>2002</v>
      </c>
      <c r="L60" s="2055" t="e">
        <f ca="1">IF(OR(M47="住宅",L48&lt;J51),0,ROUND(L57*(L58/L59-1),0))</f>
        <v>#DIV/0!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IF(项目基本情况!B11="自然人","——",IF(D61="按租金收入计税",ROUND(C49*F61/(1+'数据-取费表'!C42),0),IF(D61="按房产原值计税",ROUND(C57*F61*0.7,0),INDIRECT("'数据-取费表'!Aj"&amp;$G$1))))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IF(项目基本情况!B11="自然人","——",ROUND(F62*F63,0))</f>
        <v>0</v>
      </c>
      <c r="D62" s="2058" t="s">
        <v>1902</v>
      </c>
      <c r="E62" s="2042" t="s">
        <v>1903</v>
      </c>
      <c r="F62" s="1919">
        <f t="shared" si="0"/>
        <v>3</v>
      </c>
      <c r="I62" s="2059" t="s">
        <v>2006</v>
      </c>
      <c r="J62" s="1207" t="s">
        <v>2007</v>
      </c>
      <c r="K62" s="1207" t="s">
        <v>2008</v>
      </c>
      <c r="L62" s="1207" t="s">
        <v>2009</v>
      </c>
      <c r="M62" s="2060" t="s">
        <v>2010</v>
      </c>
      <c r="O62" s="1985" t="s">
        <v>1810</v>
      </c>
      <c r="P62" s="1986" t="s">
        <v>1985</v>
      </c>
      <c r="Q62" s="1987" t="e">
        <f ca="1">Q56+Q57</f>
        <v>#DIV/0!</v>
      </c>
      <c r="R62" s="1987" t="s">
        <v>1986</v>
      </c>
    </row>
    <row r="63" spans="1:18" s="553" customFormat="1">
      <c r="A63" s="1920"/>
      <c r="B63" s="2061"/>
      <c r="C63" s="1922"/>
      <c r="D63" s="2062"/>
      <c r="E63" s="2042" t="s">
        <v>1907</v>
      </c>
      <c r="F63" s="1854">
        <f t="shared" ca="1" si="0"/>
        <v>0</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ROUND(C57*F64,0)</f>
        <v>0</v>
      </c>
      <c r="D64" s="2053" t="s">
        <v>1941</v>
      </c>
      <c r="E64" s="2042" t="s">
        <v>1882</v>
      </c>
      <c r="F64" s="1924">
        <f t="shared" ca="1" si="0"/>
        <v>0</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ROUND(C56*F65,0)</f>
        <v>0</v>
      </c>
      <c r="D65" s="2053" t="s">
        <v>1914</v>
      </c>
      <c r="E65" s="2042" t="s">
        <v>1882</v>
      </c>
      <c r="F65" s="1925">
        <f t="shared" ca="1" si="0"/>
        <v>0</v>
      </c>
      <c r="I65" s="2059" t="s">
        <v>2014</v>
      </c>
      <c r="J65" s="1207">
        <v>40</v>
      </c>
      <c r="K65" s="1207">
        <v>30</v>
      </c>
      <c r="L65" s="1207">
        <v>50</v>
      </c>
      <c r="M65" s="2063">
        <v>0.02</v>
      </c>
      <c r="O65" s="1985" t="s">
        <v>1705</v>
      </c>
      <c r="P65" s="1986" t="s">
        <v>1955</v>
      </c>
      <c r="Q65" s="1987" t="e">
        <f ca="1">C40+J29</f>
        <v>#DIV/0!</v>
      </c>
      <c r="R65" s="1987" t="s">
        <v>1956</v>
      </c>
    </row>
    <row r="66" spans="1:18" s="553" customFormat="1" ht="15.6">
      <c r="A66" s="1893" t="s">
        <v>1082</v>
      </c>
      <c r="B66" s="2042" t="s">
        <v>1899</v>
      </c>
      <c r="C66" s="996">
        <f ca="1">ROUND(C48*F66,0)</f>
        <v>0</v>
      </c>
      <c r="D66" s="2053" t="s">
        <v>1917</v>
      </c>
      <c r="E66" s="2042" t="s">
        <v>1882</v>
      </c>
      <c r="F66" s="1863">
        <f t="shared" ca="1" si="0"/>
        <v>0</v>
      </c>
      <c r="O66" s="1985" t="s">
        <v>1709</v>
      </c>
      <c r="P66" s="1986" t="s">
        <v>1994</v>
      </c>
      <c r="Q66" s="1987" t="e">
        <f ca="1">L60</f>
        <v>#DIV/0!</v>
      </c>
      <c r="R66" s="1987" t="s">
        <v>1995</v>
      </c>
    </row>
    <row r="67" spans="1:18" s="553" customFormat="1" ht="24">
      <c r="A67" s="2035" t="s">
        <v>1396</v>
      </c>
      <c r="B67" s="2064" t="s">
        <v>1920</v>
      </c>
      <c r="C67" s="995">
        <f ca="1">C48-C58</f>
        <v>0</v>
      </c>
      <c r="D67" s="2052" t="s">
        <v>1921</v>
      </c>
      <c r="E67" s="2065"/>
      <c r="F67" s="2066"/>
      <c r="O67" s="2005" t="s">
        <v>1967</v>
      </c>
      <c r="P67" s="1986" t="s">
        <v>1998</v>
      </c>
      <c r="Q67" s="2067">
        <f ca="1">L51</f>
        <v>0</v>
      </c>
      <c r="R67" s="1987" t="s">
        <v>2015</v>
      </c>
    </row>
    <row r="68" spans="1:18" s="553" customFormat="1" ht="15.6">
      <c r="A68" s="2068" t="s">
        <v>1925</v>
      </c>
      <c r="B68" s="2069" t="s">
        <v>1942</v>
      </c>
      <c r="C68" s="1855" t="e">
        <f ca="1">ROUND(C67*(1-((1+F70)/(1+F68))^F69)/(F68-F70),0)</f>
        <v>#DIV/0!</v>
      </c>
      <c r="D68" s="2058" t="s">
        <v>1927</v>
      </c>
      <c r="E68" s="2042" t="s">
        <v>1928</v>
      </c>
      <c r="F68" s="1863">
        <f ca="1">F40</f>
        <v>0</v>
      </c>
      <c r="O68" s="2005" t="s">
        <v>1971</v>
      </c>
      <c r="P68" s="2070" t="s">
        <v>2016</v>
      </c>
      <c r="Q68" s="1987">
        <f ca="1">ROUND(Q69-Q70*Q71,0)</f>
        <v>0</v>
      </c>
      <c r="R68" s="1987" t="s">
        <v>2017</v>
      </c>
    </row>
    <row r="69" spans="1:18" s="553" customFormat="1">
      <c r="A69" s="2071"/>
      <c r="B69" s="2072"/>
      <c r="C69" s="1862"/>
      <c r="D69" s="2073" t="s">
        <v>1931</v>
      </c>
      <c r="E69" s="2042" t="s">
        <v>1932</v>
      </c>
      <c r="F69" s="1935">
        <f ca="1">F41</f>
        <v>0</v>
      </c>
      <c r="O69" s="2005" t="s">
        <v>2018</v>
      </c>
      <c r="P69" s="2070" t="s">
        <v>2019</v>
      </c>
      <c r="Q69" s="1987">
        <f ca="1">C39</f>
        <v>0</v>
      </c>
      <c r="R69" s="1987" t="s">
        <v>1956</v>
      </c>
    </row>
    <row r="70" spans="1:18" s="553" customFormat="1">
      <c r="A70" s="2074"/>
      <c r="B70" s="2075"/>
      <c r="C70" s="1886"/>
      <c r="D70" s="2062"/>
      <c r="E70" s="2042" t="s">
        <v>1935</v>
      </c>
      <c r="F70" s="2020"/>
      <c r="O70" s="2005" t="s">
        <v>2020</v>
      </c>
      <c r="P70" s="2070" t="s">
        <v>2021</v>
      </c>
      <c r="Q70" s="1987">
        <f ca="1">C13</f>
        <v>0</v>
      </c>
      <c r="R70" s="1987" t="s">
        <v>1956</v>
      </c>
    </row>
    <row r="71" spans="1:18" s="553" customFormat="1">
      <c r="A71" s="2076" t="s">
        <v>1937</v>
      </c>
      <c r="B71" s="2077" t="s">
        <v>1943</v>
      </c>
      <c r="C71" s="1940" t="e">
        <f ca="1">ROUND(C68/F71,0)</f>
        <v>#DIV/0!</v>
      </c>
      <c r="D71" s="2078" t="s">
        <v>1944</v>
      </c>
      <c r="E71" s="2079" t="s">
        <v>1945</v>
      </c>
      <c r="F71" s="1943">
        <f ca="1">F43</f>
        <v>0</v>
      </c>
      <c r="O71" s="2005" t="s">
        <v>2022</v>
      </c>
      <c r="P71" s="2070" t="s">
        <v>2023</v>
      </c>
      <c r="Q71" s="2013">
        <f ca="1">C76</f>
        <v>0</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0</v>
      </c>
      <c r="D75" s="553"/>
      <c r="E75" s="553"/>
      <c r="F75" s="553"/>
      <c r="K75" s="1961"/>
      <c r="L75" s="553"/>
      <c r="O75" s="1985" t="s">
        <v>1810</v>
      </c>
      <c r="P75" s="1986" t="s">
        <v>1985</v>
      </c>
      <c r="Q75" s="1987" t="e">
        <f ca="1">Q65+Q66</f>
        <v>#DIV/0!</v>
      </c>
      <c r="R75" s="1987" t="s">
        <v>1986</v>
      </c>
    </row>
    <row r="76" spans="1:18">
      <c r="B76" s="513" t="s">
        <v>2027</v>
      </c>
      <c r="C76" s="2083">
        <f ca="1">INDIRECT("'数据-取费表'!j"&amp;$G$1)</f>
        <v>0</v>
      </c>
      <c r="I76" s="553"/>
      <c r="J76" s="553"/>
      <c r="K76" s="1961"/>
      <c r="L76" s="553"/>
    </row>
    <row r="77" spans="1:18">
      <c r="B77" s="2084" t="s">
        <v>2028</v>
      </c>
      <c r="C77" s="2085"/>
      <c r="I77" s="553"/>
      <c r="J77" s="553"/>
      <c r="K77" s="1961"/>
      <c r="L77" s="553"/>
    </row>
    <row r="78" spans="1:18">
      <c r="B78" s="418" t="s">
        <v>2029</v>
      </c>
      <c r="C78" s="2086"/>
    </row>
    <row r="79" spans="1:18">
      <c r="B79" s="2081" t="s">
        <v>2030</v>
      </c>
      <c r="C79" s="421" t="e">
        <f ca="1">1-C80</f>
        <v>#DIV/0!</v>
      </c>
    </row>
    <row r="80" spans="1:18">
      <c r="B80" s="2081" t="s">
        <v>2031</v>
      </c>
      <c r="C80" s="421" t="e">
        <f ca="1">ROUND(C75/C39,3)</f>
        <v>#DIV/0!</v>
      </c>
    </row>
    <row r="81" spans="2:3">
      <c r="B81" s="418" t="s">
        <v>2032</v>
      </c>
      <c r="C81" s="388"/>
    </row>
    <row r="82" spans="2:3">
      <c r="B82" s="420" t="s">
        <v>1786</v>
      </c>
      <c r="C82" s="422" t="e">
        <f ca="1">1-C83</f>
        <v>#DIV/0!</v>
      </c>
    </row>
    <row r="83" spans="2:3">
      <c r="B83" s="420" t="s">
        <v>1787</v>
      </c>
      <c r="C83" s="421"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2045</v>
      </c>
      <c r="B1" s="1650"/>
      <c r="C1" s="1651"/>
      <c r="D1" s="1651"/>
      <c r="E1" s="1652"/>
      <c r="F1" s="1653"/>
      <c r="G1" s="1654"/>
      <c r="J1" s="1655" t="s">
        <v>2046</v>
      </c>
      <c r="K1" s="1656"/>
      <c r="L1" s="1656"/>
      <c r="M1" s="1656"/>
      <c r="N1" s="1656"/>
      <c r="O1" s="1656"/>
      <c r="P1" s="1656"/>
      <c r="Q1" s="1656"/>
      <c r="R1" s="1657"/>
      <c r="S1" s="1658"/>
      <c r="T1" s="1658"/>
      <c r="U1" s="1658"/>
    </row>
    <row r="2" spans="1:22" s="1643" customFormat="1" ht="13.2" customHeight="1">
      <c r="A2" s="1659" t="s">
        <v>1849</v>
      </c>
      <c r="B2" s="1660" t="e">
        <f>IF(D2="——",C40,C40+E2)</f>
        <v>#DIV/0!</v>
      </c>
      <c r="C2" s="1651" t="s">
        <v>1850</v>
      </c>
      <c r="D2" s="1661" t="s">
        <v>2047</v>
      </c>
      <c r="E2" s="1662"/>
      <c r="F2" s="1663"/>
      <c r="G2" s="1664"/>
      <c r="H2" s="1665"/>
      <c r="I2" s="1666"/>
      <c r="J2" s="3473" t="s">
        <v>2048</v>
      </c>
      <c r="K2" s="3474"/>
      <c r="L2" s="1667" t="s">
        <v>2049</v>
      </c>
      <c r="M2" s="1667" t="s">
        <v>2050</v>
      </c>
      <c r="N2" s="1667" t="s">
        <v>2051</v>
      </c>
      <c r="O2" s="1667" t="s">
        <v>2052</v>
      </c>
      <c r="P2" s="1667" t="s">
        <v>2053</v>
      </c>
      <c r="Q2" s="1668" t="s">
        <v>2054</v>
      </c>
      <c r="R2" s="1669" t="s">
        <v>2055</v>
      </c>
      <c r="S2" s="1658"/>
      <c r="T2" s="1658"/>
      <c r="U2" s="1658"/>
      <c r="V2" s="1666"/>
    </row>
    <row r="3" spans="1:22" s="1643" customFormat="1" ht="13.2" customHeight="1">
      <c r="A3" s="1670" t="s">
        <v>1851</v>
      </c>
      <c r="B3" s="1671" t="e">
        <f>ROUND(B2*10000/B4,0)</f>
        <v>#DIV/0!</v>
      </c>
      <c r="C3" s="1651" t="s">
        <v>1852</v>
      </c>
      <c r="D3" s="1651"/>
      <c r="E3" s="1672"/>
      <c r="F3" s="1663"/>
      <c r="G3" s="1664"/>
      <c r="H3" s="1665"/>
      <c r="I3" s="1666"/>
      <c r="J3" s="3475" t="s">
        <v>2056</v>
      </c>
      <c r="K3" s="3476"/>
      <c r="L3" s="1673"/>
      <c r="M3" s="1673"/>
      <c r="N3" s="1673"/>
      <c r="O3" s="1673"/>
      <c r="P3" s="1673"/>
      <c r="Q3" s="1674"/>
      <c r="R3" s="1675">
        <f>SUM(L3:Q3)</f>
        <v>0</v>
      </c>
      <c r="S3" s="1658"/>
      <c r="T3" s="1658"/>
      <c r="U3" s="1658"/>
      <c r="V3" s="1666"/>
    </row>
    <row r="4" spans="1:22" s="1643" customFormat="1" ht="13.2" customHeight="1">
      <c r="A4" s="1676" t="s">
        <v>579</v>
      </c>
      <c r="B4" s="1677"/>
      <c r="C4" s="1651"/>
      <c r="D4" s="1651"/>
      <c r="E4" s="1672"/>
      <c r="F4" s="1663"/>
      <c r="G4" s="1664"/>
      <c r="H4" s="1665"/>
      <c r="I4" s="1666"/>
      <c r="J4" s="3475" t="s">
        <v>2057</v>
      </c>
      <c r="K4" s="3476"/>
      <c r="L4" s="1678"/>
      <c r="M4" s="1678"/>
      <c r="N4" s="1678"/>
      <c r="O4" s="1678"/>
      <c r="P4" s="1678"/>
      <c r="Q4" s="1679"/>
      <c r="R4" s="1680">
        <f>SUM(L4:Q4)</f>
        <v>0</v>
      </c>
      <c r="S4" s="1658"/>
      <c r="T4" s="1658"/>
      <c r="U4" s="1658"/>
      <c r="V4" s="1666"/>
    </row>
    <row r="5" spans="1:22" s="1643" customFormat="1" ht="13.2" customHeight="1">
      <c r="A5" s="1681" t="s">
        <v>573</v>
      </c>
      <c r="B5" s="1682"/>
      <c r="C5" s="1651"/>
      <c r="D5" s="1683"/>
      <c r="E5" s="1663"/>
      <c r="F5" s="1663"/>
      <c r="G5" s="1664"/>
      <c r="H5" s="1665"/>
      <c r="I5" s="1666"/>
      <c r="J5" s="1684" t="s">
        <v>2058</v>
      </c>
      <c r="K5" s="1685"/>
      <c r="L5" s="1685"/>
      <c r="M5" s="1686"/>
      <c r="N5" s="1686"/>
      <c r="O5" s="1686"/>
      <c r="P5" s="1686"/>
      <c r="Q5" s="1686"/>
      <c r="R5" s="1669">
        <f>SUM(R14,R19,R24,R25,R27,R28)</f>
        <v>0</v>
      </c>
      <c r="S5" s="1658"/>
      <c r="T5" s="1658" t="s">
        <v>2059</v>
      </c>
      <c r="U5" s="1658" t="e">
        <f>ROUND(R5*10000/365/R3,1)</f>
        <v>#DIV/0!</v>
      </c>
      <c r="V5" s="1666"/>
    </row>
    <row r="6" spans="1:22" s="1643" customFormat="1" ht="13.2" customHeight="1">
      <c r="A6" s="3477" t="s">
        <v>2060</v>
      </c>
      <c r="B6" s="3478"/>
      <c r="C6" s="3479"/>
      <c r="D6" s="1687"/>
      <c r="E6" s="1688"/>
      <c r="F6" s="1689"/>
      <c r="G6" s="1690"/>
      <c r="H6" s="1665"/>
      <c r="I6" s="1666"/>
      <c r="J6" s="3486">
        <v>1</v>
      </c>
      <c r="K6" s="3489" t="s">
        <v>2061</v>
      </c>
      <c r="L6" s="1692" t="s">
        <v>2062</v>
      </c>
      <c r="M6" s="1693" t="s">
        <v>2063</v>
      </c>
      <c r="N6" s="1693" t="s">
        <v>2064</v>
      </c>
      <c r="O6" s="1693" t="s">
        <v>2065</v>
      </c>
      <c r="P6" s="1693" t="s">
        <v>2066</v>
      </c>
      <c r="Q6" s="1693" t="s">
        <v>2067</v>
      </c>
      <c r="R6" s="1675" t="s">
        <v>2068</v>
      </c>
      <c r="S6" s="1658"/>
      <c r="T6" s="1658" t="s">
        <v>2069</v>
      </c>
      <c r="U6" s="1658"/>
      <c r="V6" s="1666"/>
    </row>
    <row r="7" spans="1:22" s="1643" customFormat="1" ht="13.2" customHeight="1">
      <c r="A7" s="1694" t="s">
        <v>2070</v>
      </c>
      <c r="B7" s="1695"/>
      <c r="C7" s="1696"/>
      <c r="D7" s="1697">
        <f>SUM(D9,D10,D11,D17,0)</f>
        <v>0</v>
      </c>
      <c r="E7" s="1698" t="e">
        <f>E9+E10+E11+E17</f>
        <v>#DIV/0!</v>
      </c>
      <c r="F7" s="1699"/>
      <c r="G7" s="1700"/>
      <c r="H7" s="1665"/>
      <c r="I7" s="1666"/>
      <c r="J7" s="3486"/>
      <c r="K7" s="3490"/>
      <c r="L7" s="1701" t="s">
        <v>2071</v>
      </c>
      <c r="M7" s="1702"/>
      <c r="N7" s="1677"/>
      <c r="O7" s="1703"/>
      <c r="P7" s="1703"/>
      <c r="Q7" s="1704">
        <v>365</v>
      </c>
      <c r="R7" s="1705">
        <f>ROUND(M7*N7*O7*P7*Q7/10000,0)</f>
        <v>0</v>
      </c>
      <c r="S7" s="1658"/>
      <c r="T7" s="1658" t="s">
        <v>2072</v>
      </c>
      <c r="U7" s="1658"/>
      <c r="V7" s="1666"/>
    </row>
    <row r="8" spans="1:22" s="1643" customFormat="1" ht="13.2" customHeight="1">
      <c r="A8" s="1706" t="s">
        <v>2073</v>
      </c>
      <c r="B8" s="3480" t="s">
        <v>2074</v>
      </c>
      <c r="C8" s="3481"/>
      <c r="D8" s="1709" t="s">
        <v>2075</v>
      </c>
      <c r="E8" s="1710" t="s">
        <v>2076</v>
      </c>
      <c r="F8" s="1711" t="s">
        <v>2077</v>
      </c>
      <c r="G8" s="1712"/>
      <c r="H8" s="1665"/>
      <c r="I8" s="1666"/>
      <c r="J8" s="3486"/>
      <c r="K8" s="3490"/>
      <c r="L8" s="1701" t="s">
        <v>2078</v>
      </c>
      <c r="M8" s="1702"/>
      <c r="N8" s="1677"/>
      <c r="O8" s="1703"/>
      <c r="P8" s="1703"/>
      <c r="Q8" s="1704">
        <v>365</v>
      </c>
      <c r="R8" s="1705">
        <f t="shared" ref="R8:R13" si="0">ROUND(M8*N8*O8*P8*Q8/10000,0)</f>
        <v>0</v>
      </c>
      <c r="S8" s="1658"/>
      <c r="T8" s="1658" t="s">
        <v>2079</v>
      </c>
      <c r="U8" s="1658"/>
      <c r="V8" s="1666"/>
    </row>
    <row r="9" spans="1:22" s="1643" customFormat="1" ht="13.2" customHeight="1">
      <c r="A9" s="1706">
        <v>1</v>
      </c>
      <c r="B9" s="3480" t="s">
        <v>2080</v>
      </c>
      <c r="C9" s="3481"/>
      <c r="D9" s="1709">
        <f>ROUND(D6*E9,0)</f>
        <v>0</v>
      </c>
      <c r="E9" s="1713"/>
      <c r="F9" s="1714" t="s">
        <v>2081</v>
      </c>
      <c r="G9" s="1690"/>
      <c r="H9" s="1665"/>
      <c r="I9" s="1666"/>
      <c r="J9" s="3486"/>
      <c r="K9" s="3490"/>
      <c r="L9" s="1701" t="s">
        <v>2082</v>
      </c>
      <c r="M9" s="1702"/>
      <c r="N9" s="1677"/>
      <c r="O9" s="1703"/>
      <c r="P9" s="1703"/>
      <c r="Q9" s="1704">
        <v>365</v>
      </c>
      <c r="R9" s="1705">
        <f t="shared" si="0"/>
        <v>0</v>
      </c>
      <c r="S9" s="1658"/>
      <c r="T9" s="1658"/>
      <c r="U9" s="1658"/>
      <c r="V9" s="1666"/>
    </row>
    <row r="10" spans="1:22" s="1643" customFormat="1" ht="13.2" customHeight="1">
      <c r="A10" s="1706">
        <v>2</v>
      </c>
      <c r="B10" s="3480" t="s">
        <v>2083</v>
      </c>
      <c r="C10" s="3481"/>
      <c r="D10" s="1709">
        <f>ROUND(D6*E10,0)</f>
        <v>0</v>
      </c>
      <c r="E10" s="1713"/>
      <c r="F10" s="1714" t="s">
        <v>2084</v>
      </c>
      <c r="G10" s="1690"/>
      <c r="H10" s="1665"/>
      <c r="I10" s="1666"/>
      <c r="J10" s="3486"/>
      <c r="K10" s="3490"/>
      <c r="L10" s="1701" t="s">
        <v>2085</v>
      </c>
      <c r="M10" s="1702"/>
      <c r="N10" s="1677"/>
      <c r="O10" s="1703"/>
      <c r="P10" s="1703"/>
      <c r="Q10" s="1704">
        <v>365</v>
      </c>
      <c r="R10" s="1705">
        <f t="shared" si="0"/>
        <v>0</v>
      </c>
      <c r="S10" s="1658"/>
      <c r="T10" s="1658"/>
      <c r="U10" s="1658"/>
      <c r="V10" s="1666"/>
    </row>
    <row r="11" spans="1:22" s="1643" customFormat="1" ht="13.2" customHeight="1">
      <c r="A11" s="1706">
        <v>3</v>
      </c>
      <c r="B11" s="3480" t="s">
        <v>2086</v>
      </c>
      <c r="C11" s="3481"/>
      <c r="D11" s="1709">
        <f>D12+D14+D15+D16</f>
        <v>0</v>
      </c>
      <c r="E11" s="1715" t="e">
        <f>D11/D6</f>
        <v>#DIV/0!</v>
      </c>
      <c r="F11" s="1711"/>
      <c r="G11" s="1712"/>
      <c r="H11" s="1665"/>
      <c r="I11" s="1666"/>
      <c r="J11" s="3486"/>
      <c r="K11" s="3490"/>
      <c r="L11" s="1701" t="s">
        <v>2087</v>
      </c>
      <c r="M11" s="1702"/>
      <c r="N11" s="1677"/>
      <c r="O11" s="1703"/>
      <c r="P11" s="1703"/>
      <c r="Q11" s="1704">
        <v>365</v>
      </c>
      <c r="R11" s="1705">
        <f t="shared" si="0"/>
        <v>0</v>
      </c>
      <c r="S11" s="1658"/>
      <c r="T11" s="1658"/>
      <c r="U11" s="1658"/>
      <c r="V11" s="1666"/>
    </row>
    <row r="12" spans="1:22" s="1643" customFormat="1" ht="13.2" customHeight="1">
      <c r="A12" s="1716" t="s">
        <v>2088</v>
      </c>
      <c r="B12" s="3482" t="s">
        <v>2089</v>
      </c>
      <c r="C12" s="3483"/>
      <c r="D12" s="1719">
        <f>ROUND(D13*1.2%*(1-30%),0)</f>
        <v>0</v>
      </c>
      <c r="E12" s="1720">
        <v>1.2E-2</v>
      </c>
      <c r="F12" s="1711" t="s">
        <v>2090</v>
      </c>
      <c r="G12" s="1712"/>
      <c r="H12" s="1665"/>
      <c r="I12" s="1666"/>
      <c r="J12" s="3486"/>
      <c r="K12" s="3490"/>
      <c r="L12" s="1701" t="s">
        <v>2091</v>
      </c>
      <c r="M12" s="1702"/>
      <c r="N12" s="1677"/>
      <c r="O12" s="1703"/>
      <c r="P12" s="1703"/>
      <c r="Q12" s="1704">
        <v>365</v>
      </c>
      <c r="R12" s="1705">
        <f t="shared" si="0"/>
        <v>0</v>
      </c>
      <c r="S12" s="1658"/>
      <c r="T12" s="1658"/>
      <c r="U12" s="1658"/>
      <c r="V12" s="1666"/>
    </row>
    <row r="13" spans="1:22" s="1643" customFormat="1" ht="13.2" customHeight="1">
      <c r="A13" s="1716"/>
      <c r="B13" s="1717"/>
      <c r="C13" s="1721" t="s">
        <v>2092</v>
      </c>
      <c r="D13" s="1722"/>
      <c r="E13" s="1723"/>
      <c r="F13" s="1711"/>
      <c r="G13" s="1712"/>
      <c r="H13" s="1665"/>
      <c r="I13" s="1666"/>
      <c r="J13" s="3486"/>
      <c r="K13" s="3490"/>
      <c r="L13" s="1701" t="s">
        <v>2093</v>
      </c>
      <c r="M13" s="1702"/>
      <c r="N13" s="1677"/>
      <c r="O13" s="1703"/>
      <c r="P13" s="1703"/>
      <c r="Q13" s="1704">
        <v>365</v>
      </c>
      <c r="R13" s="1705">
        <f t="shared" si="0"/>
        <v>0</v>
      </c>
      <c r="S13" s="1658"/>
      <c r="T13" s="1658"/>
      <c r="U13" s="1658"/>
      <c r="V13" s="1666"/>
    </row>
    <row r="14" spans="1:22" s="1643" customFormat="1" ht="13.2" customHeight="1">
      <c r="A14" s="1716" t="s">
        <v>2094</v>
      </c>
      <c r="B14" s="3482" t="s">
        <v>2095</v>
      </c>
      <c r="C14" s="3483"/>
      <c r="D14" s="1719">
        <f>ROUND(E14*B5/10000,0)</f>
        <v>0</v>
      </c>
      <c r="E14" s="1704"/>
      <c r="F14" s="1711" t="s">
        <v>2096</v>
      </c>
      <c r="G14" s="1712"/>
      <c r="H14" s="1665"/>
      <c r="I14" s="1666"/>
      <c r="J14" s="3486"/>
      <c r="K14" s="3491"/>
      <c r="L14" s="1724" t="s">
        <v>2097</v>
      </c>
      <c r="M14" s="1725">
        <f>SUM(M7:M13)</f>
        <v>0</v>
      </c>
      <c r="N14" s="1725" t="e">
        <f>ROUND((N7*M7+N8*M8+N9*M9+N10*M10+N11*M11+N12*M12+N13*M13)/M14,0)</f>
        <v>#DIV/0!</v>
      </c>
      <c r="O14" s="1726"/>
      <c r="P14" s="1726"/>
      <c r="Q14" s="1727"/>
      <c r="R14" s="1669">
        <f>SUM(R7:R13)</f>
        <v>0</v>
      </c>
      <c r="S14" s="1658"/>
      <c r="T14" s="1658"/>
      <c r="U14" s="1658"/>
      <c r="V14" s="1666"/>
    </row>
    <row r="15" spans="1:22" s="1643" customFormat="1" ht="13.2" customHeight="1">
      <c r="A15" s="1716" t="s">
        <v>2098</v>
      </c>
      <c r="B15" s="3482" t="s">
        <v>2099</v>
      </c>
      <c r="C15" s="3483"/>
      <c r="D15" s="1719">
        <f>ROUND(D6*E15,0)</f>
        <v>0</v>
      </c>
      <c r="E15" s="1720">
        <v>5.5E-2</v>
      </c>
      <c r="F15" s="1711" t="s">
        <v>2100</v>
      </c>
      <c r="G15" s="1690"/>
      <c r="H15" s="1665"/>
      <c r="I15" s="1666"/>
      <c r="J15" s="3486">
        <v>2</v>
      </c>
      <c r="K15" s="3489" t="s">
        <v>2101</v>
      </c>
      <c r="L15" s="1701" t="s">
        <v>2102</v>
      </c>
      <c r="M15" s="1702" t="s">
        <v>2103</v>
      </c>
      <c r="N15" s="1702" t="s">
        <v>2104</v>
      </c>
      <c r="O15" s="1703" t="s">
        <v>2105</v>
      </c>
      <c r="P15" s="1703" t="s">
        <v>2067</v>
      </c>
      <c r="Q15" s="1677" t="s">
        <v>124</v>
      </c>
      <c r="R15" s="1728" t="s">
        <v>2068</v>
      </c>
      <c r="S15" s="1658"/>
      <c r="T15" s="1658"/>
      <c r="U15" s="1658"/>
      <c r="V15" s="1666"/>
    </row>
    <row r="16" spans="1:22" s="1643" customFormat="1" ht="13.2" customHeight="1">
      <c r="A16" s="1716" t="s">
        <v>2106</v>
      </c>
      <c r="B16" s="3482" t="s">
        <v>2107</v>
      </c>
      <c r="C16" s="3483"/>
      <c r="D16" s="1729">
        <f>D6*E16</f>
        <v>0</v>
      </c>
      <c r="E16" s="1730"/>
      <c r="F16" s="1714" t="s">
        <v>2108</v>
      </c>
      <c r="G16" s="1690"/>
      <c r="H16" s="1665"/>
      <c r="I16" s="1666"/>
      <c r="J16" s="3486"/>
      <c r="K16" s="3490"/>
      <c r="L16" s="1701" t="s">
        <v>2109</v>
      </c>
      <c r="M16" s="1702"/>
      <c r="N16" s="1702"/>
      <c r="O16" s="1703"/>
      <c r="P16" s="1704">
        <v>365</v>
      </c>
      <c r="Q16" s="1677"/>
      <c r="R16" s="1728">
        <f>ROUND(M16*N16*O16*P16/10000,0)</f>
        <v>0</v>
      </c>
      <c r="S16" s="1658"/>
      <c r="T16" s="1658"/>
      <c r="U16" s="1658"/>
      <c r="V16" s="1666"/>
    </row>
    <row r="17" spans="1:22" s="1643" customFormat="1" ht="13.2" customHeight="1">
      <c r="A17" s="1731">
        <v>4</v>
      </c>
      <c r="B17" s="3484" t="s">
        <v>2110</v>
      </c>
      <c r="C17" s="3485"/>
      <c r="D17" s="1732">
        <f>ROUND(D6*E17,0)</f>
        <v>0</v>
      </c>
      <c r="E17" s="1733"/>
      <c r="F17" s="1734" t="s">
        <v>2111</v>
      </c>
      <c r="G17" s="1690"/>
      <c r="H17" s="1665"/>
      <c r="I17" s="1666"/>
      <c r="J17" s="3486"/>
      <c r="K17" s="3490"/>
      <c r="L17" s="1701" t="s">
        <v>2112</v>
      </c>
      <c r="M17" s="1702"/>
      <c r="N17" s="1702"/>
      <c r="O17" s="1703"/>
      <c r="P17" s="1704">
        <v>365</v>
      </c>
      <c r="Q17" s="1677"/>
      <c r="R17" s="1728">
        <f>ROUND(M17*N17*O17*P17/10000,0)</f>
        <v>0</v>
      </c>
      <c r="S17" s="1658"/>
      <c r="T17" s="1658"/>
      <c r="U17" s="1658"/>
      <c r="V17" s="1666"/>
    </row>
    <row r="18" spans="1:22" s="1643" customFormat="1" ht="13.2" customHeight="1">
      <c r="A18" s="1694" t="s">
        <v>2113</v>
      </c>
      <c r="B18" s="1695"/>
      <c r="C18" s="1695"/>
      <c r="D18" s="1735">
        <f>ROUND(D6*E18,0)</f>
        <v>0</v>
      </c>
      <c r="E18" s="1736"/>
      <c r="F18" s="1737" t="s">
        <v>2114</v>
      </c>
      <c r="G18" s="1690"/>
      <c r="H18" s="1665"/>
      <c r="I18" s="1666"/>
      <c r="J18" s="3486"/>
      <c r="K18" s="3490"/>
      <c r="L18" s="1701" t="s">
        <v>2115</v>
      </c>
      <c r="M18" s="1702"/>
      <c r="N18" s="1702"/>
      <c r="O18" s="1703"/>
      <c r="P18" s="1704">
        <v>365</v>
      </c>
      <c r="Q18" s="1677"/>
      <c r="R18" s="1728">
        <f>ROUND(M18*N18*O18*P18/10000,0)</f>
        <v>0</v>
      </c>
      <c r="S18" s="1658"/>
      <c r="T18" s="1658"/>
      <c r="U18" s="1658"/>
      <c r="V18" s="1666"/>
    </row>
    <row r="19" spans="1:22" s="1643" customFormat="1" ht="13.2" customHeight="1">
      <c r="A19" s="1738" t="s">
        <v>2116</v>
      </c>
      <c r="B19" s="1688"/>
      <c r="C19" s="1688"/>
      <c r="D19" s="1688"/>
      <c r="E19" s="1688"/>
      <c r="F19" s="1689"/>
      <c r="G19" s="1712"/>
      <c r="H19" s="1665"/>
      <c r="I19" s="1666"/>
      <c r="J19" s="3486"/>
      <c r="K19" s="3491"/>
      <c r="L19" s="1724" t="s">
        <v>2097</v>
      </c>
      <c r="M19" s="1725"/>
      <c r="N19" s="1725">
        <f>SUM(N16:N18)</f>
        <v>0</v>
      </c>
      <c r="O19" s="1726"/>
      <c r="P19" s="1739" t="s">
        <v>2117</v>
      </c>
      <c r="Q19" s="1703">
        <v>0</v>
      </c>
      <c r="R19" s="1740">
        <f>ROUND(IF(P19="按比例",R14*Q19,SUM(R16:R18)),0)</f>
        <v>0</v>
      </c>
      <c r="S19" s="1658"/>
      <c r="T19" s="1658"/>
      <c r="U19" s="1658"/>
      <c r="V19" s="1666"/>
    </row>
    <row r="20" spans="1:22" s="1643" customFormat="1" ht="13.2" customHeight="1">
      <c r="A20" s="1694"/>
      <c r="B20" s="1695"/>
      <c r="C20" s="1695"/>
      <c r="D20" s="1695"/>
      <c r="E20" s="1695"/>
      <c r="F20" s="1741"/>
      <c r="G20" s="1712"/>
      <c r="H20" s="1665"/>
      <c r="I20" s="1666"/>
      <c r="J20" s="3486">
        <v>3</v>
      </c>
      <c r="K20" s="3489" t="s">
        <v>2118</v>
      </c>
      <c r="L20" s="1701" t="s">
        <v>2119</v>
      </c>
      <c r="M20" s="1702" t="s">
        <v>2120</v>
      </c>
      <c r="N20" s="1742" t="s">
        <v>2121</v>
      </c>
      <c r="O20" s="1703" t="s">
        <v>2122</v>
      </c>
      <c r="P20" s="1704" t="s">
        <v>2067</v>
      </c>
      <c r="Q20" s="1677" t="s">
        <v>124</v>
      </c>
      <c r="R20" s="1728" t="s">
        <v>2068</v>
      </c>
      <c r="S20" s="1658"/>
      <c r="T20" s="1658"/>
      <c r="U20" s="1658"/>
      <c r="V20" s="1666"/>
    </row>
    <row r="21" spans="1:22" s="1643" customFormat="1" ht="13.2" customHeight="1">
      <c r="A21" s="1694"/>
      <c r="B21" s="1695"/>
      <c r="C21" s="1707" t="s">
        <v>2123</v>
      </c>
      <c r="D21" s="1743" t="s">
        <v>2124</v>
      </c>
      <c r="E21" s="1708" t="s">
        <v>2125</v>
      </c>
      <c r="F21" s="1741"/>
      <c r="G21" s="1712"/>
      <c r="H21" s="1665"/>
      <c r="I21" s="1666"/>
      <c r="J21" s="3486"/>
      <c r="K21" s="3490"/>
      <c r="L21" s="1701" t="s">
        <v>2126</v>
      </c>
      <c r="M21" s="1702"/>
      <c r="N21" s="1702"/>
      <c r="O21" s="1703"/>
      <c r="P21" s="1704">
        <v>365</v>
      </c>
      <c r="Q21" s="1677"/>
      <c r="R21" s="1744">
        <f>ROUND(M21*N21*O21*P21/10000,0)</f>
        <v>0</v>
      </c>
      <c r="S21" s="1658"/>
      <c r="T21" s="1658"/>
      <c r="U21" s="1658"/>
      <c r="V21" s="1666"/>
    </row>
    <row r="22" spans="1:22" s="1643" customFormat="1" ht="13.2" customHeight="1">
      <c r="A22" s="1694"/>
      <c r="B22" s="1695"/>
      <c r="C22" s="1745" t="s">
        <v>2127</v>
      </c>
      <c r="D22" s="1746" t="s">
        <v>2128</v>
      </c>
      <c r="E22" s="1747" t="s">
        <v>2129</v>
      </c>
      <c r="F22" s="1741"/>
      <c r="G22" s="1658"/>
      <c r="H22" s="1665"/>
      <c r="I22" s="1666"/>
      <c r="J22" s="3486"/>
      <c r="K22" s="3490"/>
      <c r="L22" s="1701" t="s">
        <v>2130</v>
      </c>
      <c r="M22" s="1702"/>
      <c r="N22" s="1702"/>
      <c r="O22" s="1703"/>
      <c r="P22" s="1704">
        <v>365</v>
      </c>
      <c r="Q22" s="1677"/>
      <c r="R22" s="1744">
        <f>ROUND(M22*N22*O22*P22/10000,0)</f>
        <v>0</v>
      </c>
      <c r="S22" s="1658"/>
      <c r="T22" s="1658"/>
      <c r="U22" s="1658"/>
      <c r="V22" s="1666"/>
    </row>
    <row r="23" spans="1:22" s="1643" customFormat="1" ht="13.2" customHeight="1">
      <c r="A23" s="1748">
        <v>1</v>
      </c>
      <c r="B23" s="1749" t="s">
        <v>2131</v>
      </c>
      <c r="C23" s="1750">
        <f>D6</f>
        <v>0</v>
      </c>
      <c r="D23" s="1751">
        <f>C23*(1+D24)</f>
        <v>0</v>
      </c>
      <c r="E23" s="1752">
        <f>D23*(1+E24)</f>
        <v>0</v>
      </c>
      <c r="F23" s="1753"/>
      <c r="G23" s="1754"/>
      <c r="H23" s="1665"/>
      <c r="I23" s="1666"/>
      <c r="J23" s="3486"/>
      <c r="K23" s="3490"/>
      <c r="L23" s="1701" t="s">
        <v>2132</v>
      </c>
      <c r="M23" s="1702"/>
      <c r="N23" s="1702"/>
      <c r="O23" s="1703"/>
      <c r="P23" s="1704">
        <v>365</v>
      </c>
      <c r="Q23" s="1677"/>
      <c r="R23" s="1744">
        <f>ROUND(M23*N23*O23*P23/10000,0)</f>
        <v>0</v>
      </c>
      <c r="S23" s="1658"/>
      <c r="T23" s="1658"/>
      <c r="U23" s="1658"/>
      <c r="V23" s="1666"/>
    </row>
    <row r="24" spans="1:22" s="1643" customFormat="1" ht="13.2" customHeight="1">
      <c r="A24" s="1755"/>
      <c r="B24" s="1756" t="s">
        <v>2133</v>
      </c>
      <c r="C24" s="1757"/>
      <c r="D24" s="1758"/>
      <c r="E24" s="1759"/>
      <c r="F24" s="1760"/>
      <c r="G24" s="1754"/>
      <c r="H24" s="1665"/>
      <c r="I24" s="1666"/>
      <c r="J24" s="3486"/>
      <c r="K24" s="3491"/>
      <c r="L24" s="1724" t="s">
        <v>2097</v>
      </c>
      <c r="M24" s="1725">
        <f>SUM(M21:M23)</f>
        <v>0</v>
      </c>
      <c r="N24" s="1725"/>
      <c r="O24" s="1726"/>
      <c r="P24" s="1739" t="s">
        <v>2117</v>
      </c>
      <c r="Q24" s="1703">
        <v>0</v>
      </c>
      <c r="R24" s="1740">
        <f>ROUND(IF(P24="按比例",R14*Q24,SUM(R21:R23)),0)</f>
        <v>0</v>
      </c>
      <c r="S24" s="1658"/>
      <c r="T24" s="1658"/>
      <c r="U24" s="1658"/>
      <c r="V24" s="1666"/>
    </row>
    <row r="25" spans="1:22" s="1644" customFormat="1" ht="13.2" customHeight="1">
      <c r="A25" s="1755"/>
      <c r="B25" s="1756"/>
      <c r="C25" s="1757"/>
      <c r="D25" s="1758"/>
      <c r="E25" s="1759"/>
      <c r="F25" s="1760"/>
      <c r="G25" s="1658"/>
      <c r="H25" s="1665"/>
      <c r="I25" s="1666"/>
      <c r="J25" s="1691">
        <v>4</v>
      </c>
      <c r="K25" s="1761" t="s">
        <v>2134</v>
      </c>
      <c r="L25" s="1762"/>
      <c r="M25" s="1762"/>
      <c r="N25" s="1762"/>
      <c r="O25" s="1762"/>
      <c r="P25" s="1763"/>
      <c r="Q25" s="1764">
        <v>0</v>
      </c>
      <c r="R25" s="1740">
        <f>ROUND(R14*Q25,0)</f>
        <v>0</v>
      </c>
      <c r="S25" s="1658"/>
      <c r="T25" s="1658"/>
      <c r="U25" s="1658"/>
      <c r="V25" s="1765"/>
    </row>
    <row r="26" spans="1:22" s="1644" customFormat="1" ht="13.2" customHeight="1">
      <c r="A26" s="1748">
        <v>2</v>
      </c>
      <c r="B26" s="1749" t="s">
        <v>2135</v>
      </c>
      <c r="C26" s="1750">
        <f>D7</f>
        <v>0</v>
      </c>
      <c r="D26" s="1751">
        <f>D23*D27</f>
        <v>0</v>
      </c>
      <c r="E26" s="1752">
        <f>E23*E27</f>
        <v>0</v>
      </c>
      <c r="F26" s="1753"/>
      <c r="G26" s="1754"/>
      <c r="H26" s="1665"/>
      <c r="I26" s="1666"/>
      <c r="J26" s="3487">
        <v>5</v>
      </c>
      <c r="K26" s="1766" t="s">
        <v>2136</v>
      </c>
      <c r="L26" s="1767"/>
      <c r="M26" s="1768"/>
      <c r="N26" s="1769" t="s">
        <v>506</v>
      </c>
      <c r="O26" s="1769" t="s">
        <v>2137</v>
      </c>
      <c r="P26" s="1770" t="s">
        <v>2138</v>
      </c>
      <c r="Q26" s="1770" t="s">
        <v>2139</v>
      </c>
      <c r="R26" s="1675" t="s">
        <v>2068</v>
      </c>
      <c r="S26" s="1712"/>
      <c r="T26" s="1712"/>
      <c r="U26" s="1712"/>
      <c r="V26" s="1765"/>
    </row>
    <row r="27" spans="1:22" s="1643" customFormat="1" ht="13.2" customHeight="1">
      <c r="A27" s="1755"/>
      <c r="B27" s="1756" t="s">
        <v>2140</v>
      </c>
      <c r="C27" s="1771" t="e">
        <f>E7</f>
        <v>#DIV/0!</v>
      </c>
      <c r="D27" s="1758"/>
      <c r="E27" s="1759"/>
      <c r="F27" s="1760"/>
      <c r="G27" s="1754"/>
      <c r="H27" s="1772"/>
      <c r="I27" s="1765"/>
      <c r="J27" s="3488"/>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2141</v>
      </c>
      <c r="F28" s="1760"/>
      <c r="G28" s="1658"/>
      <c r="H28" s="1772"/>
      <c r="I28" s="1765"/>
      <c r="J28" s="1778">
        <v>6</v>
      </c>
      <c r="K28" s="1779" t="s">
        <v>2142</v>
      </c>
      <c r="L28" s="1780" t="s">
        <v>2143</v>
      </c>
      <c r="M28" s="1781"/>
      <c r="N28" s="1780" t="s">
        <v>2144</v>
      </c>
      <c r="O28" s="1782"/>
      <c r="P28" s="1780" t="s">
        <v>2145</v>
      </c>
      <c r="Q28" s="1783">
        <v>1.4999999999999999E-2</v>
      </c>
      <c r="R28" s="1784"/>
      <c r="S28" s="1658"/>
      <c r="T28" s="1658"/>
      <c r="U28" s="1658"/>
      <c r="V28" s="1765"/>
    </row>
    <row r="29" spans="1:22" s="1644" customFormat="1" ht="13.2" customHeight="1">
      <c r="A29" s="1748">
        <v>3</v>
      </c>
      <c r="B29" s="1749" t="s">
        <v>2146</v>
      </c>
      <c r="C29" s="1750">
        <f>C23*C30</f>
        <v>0</v>
      </c>
      <c r="D29" s="1751">
        <f>D23*C30</f>
        <v>0</v>
      </c>
      <c r="E29" s="1752">
        <f>E23*C30</f>
        <v>0</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2140</v>
      </c>
      <c r="C30" s="1771">
        <f>E18</f>
        <v>0</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2147</v>
      </c>
      <c r="K31" s="1656"/>
      <c r="L31" s="1656"/>
      <c r="M31" s="1656"/>
      <c r="N31" s="1656"/>
      <c r="O31" s="1656"/>
      <c r="P31" s="1656"/>
      <c r="Q31" s="1656"/>
      <c r="R31" s="1657"/>
      <c r="S31" s="1658"/>
      <c r="T31" s="1658"/>
      <c r="U31" s="1658"/>
      <c r="V31" s="1765"/>
    </row>
    <row r="32" spans="1:22" s="1644" customFormat="1" ht="13.2" customHeight="1">
      <c r="A32" s="1748">
        <v>4</v>
      </c>
      <c r="B32" s="1749" t="s">
        <v>2148</v>
      </c>
      <c r="C32" s="1750">
        <f>C23-C26-C29</f>
        <v>0</v>
      </c>
      <c r="D32" s="1751">
        <f>D23-D26-D29</f>
        <v>0</v>
      </c>
      <c r="E32" s="1752">
        <f>E23-E26-E29</f>
        <v>0</v>
      </c>
      <c r="F32" s="1753"/>
      <c r="G32" s="1658"/>
      <c r="H32" s="1665"/>
      <c r="I32" s="1666"/>
      <c r="J32" s="3473" t="s">
        <v>2048</v>
      </c>
      <c r="K32" s="3474"/>
      <c r="L32" s="1667" t="s">
        <v>2049</v>
      </c>
      <c r="M32" s="1667" t="s">
        <v>2050</v>
      </c>
      <c r="N32" s="1667" t="s">
        <v>2051</v>
      </c>
      <c r="O32" s="1667" t="s">
        <v>2052</v>
      </c>
      <c r="P32" s="1667" t="s">
        <v>2053</v>
      </c>
      <c r="Q32" s="1668" t="s">
        <v>2054</v>
      </c>
      <c r="R32" s="1787" t="s">
        <v>2055</v>
      </c>
      <c r="S32" s="1658"/>
      <c r="T32" s="1658"/>
      <c r="U32" s="1658"/>
      <c r="V32" s="1765"/>
    </row>
    <row r="33" spans="1:23" s="1643" customFormat="1" ht="13.2" customHeight="1">
      <c r="A33" s="1748"/>
      <c r="B33" s="1749"/>
      <c r="C33" s="1750"/>
      <c r="D33" s="1788"/>
      <c r="E33" s="1718"/>
      <c r="F33" s="1753"/>
      <c r="G33" s="1658"/>
      <c r="H33" s="1772"/>
      <c r="I33" s="1765"/>
      <c r="J33" s="3475" t="s">
        <v>2056</v>
      </c>
      <c r="K33" s="3476"/>
      <c r="L33" s="1673"/>
      <c r="M33" s="1673"/>
      <c r="N33" s="1673"/>
      <c r="O33" s="1673"/>
      <c r="P33" s="1673"/>
      <c r="Q33" s="1674"/>
      <c r="R33" s="1789">
        <f>SUM(L33:Q33)</f>
        <v>0</v>
      </c>
      <c r="S33" s="1658"/>
      <c r="T33" s="1658"/>
      <c r="U33" s="1658"/>
      <c r="V33" s="1666"/>
    </row>
    <row r="34" spans="1:23" s="1643" customFormat="1" ht="13.2" customHeight="1">
      <c r="A34" s="1748">
        <v>5</v>
      </c>
      <c r="B34" s="1749" t="s">
        <v>2149</v>
      </c>
      <c r="C34" s="1790"/>
      <c r="D34" s="1791"/>
      <c r="E34" s="1792"/>
      <c r="F34" s="1753"/>
      <c r="G34" s="1658"/>
      <c r="H34" s="1772"/>
      <c r="I34" s="1765"/>
      <c r="J34" s="3475" t="s">
        <v>2057</v>
      </c>
      <c r="K34" s="3476"/>
      <c r="L34" s="1678"/>
      <c r="M34" s="1678"/>
      <c r="N34" s="1678"/>
      <c r="O34" s="1678"/>
      <c r="P34" s="1678"/>
      <c r="Q34" s="1679"/>
      <c r="R34" s="1793">
        <f>SUM(L34:Q34)</f>
        <v>0</v>
      </c>
      <c r="S34" s="1658"/>
      <c r="T34" s="1658"/>
      <c r="U34" s="1658" t="e">
        <f>ROUND(R35*10000/365/R33,1)</f>
        <v>#DIV/0!</v>
      </c>
      <c r="V34" s="1666"/>
    </row>
    <row r="35" spans="1:23" s="1643" customFormat="1" ht="13.2" customHeight="1">
      <c r="A35" s="1748">
        <v>6</v>
      </c>
      <c r="B35" s="1749" t="s">
        <v>2150</v>
      </c>
      <c r="C35" s="1794"/>
      <c r="D35" s="1795"/>
      <c r="E35" s="1796"/>
      <c r="F35" s="1753"/>
      <c r="G35" s="1797"/>
      <c r="H35" s="1665"/>
      <c r="I35" s="1765"/>
      <c r="J35" s="1684" t="s">
        <v>2058</v>
      </c>
      <c r="K35" s="1685"/>
      <c r="L35" s="1685"/>
      <c r="M35" s="1686"/>
      <c r="N35" s="1686"/>
      <c r="O35" s="1686"/>
      <c r="P35" s="1686"/>
      <c r="Q35" s="1686"/>
      <c r="R35" s="1798">
        <f>R40+R41+R43</f>
        <v>0</v>
      </c>
      <c r="S35" s="1658"/>
      <c r="T35" s="1658" t="s">
        <v>2059</v>
      </c>
      <c r="U35" s="1658"/>
      <c r="V35" s="1666"/>
    </row>
    <row r="36" spans="1:23" s="1643" customFormat="1" ht="13.2" customHeight="1">
      <c r="A36" s="1748">
        <v>7</v>
      </c>
      <c r="B36" s="1799" t="s">
        <v>2151</v>
      </c>
      <c r="C36" s="1800"/>
      <c r="D36" s="1801"/>
      <c r="E36" s="1802"/>
      <c r="F36" s="1803">
        <f>C36+D36+E36</f>
        <v>0</v>
      </c>
      <c r="G36" s="1658"/>
      <c r="H36" s="1665"/>
      <c r="I36" s="1666"/>
      <c r="J36" s="3486">
        <v>1</v>
      </c>
      <c r="K36" s="3489" t="s">
        <v>2152</v>
      </c>
      <c r="L36" s="1692"/>
      <c r="M36" s="1693"/>
      <c r="N36" s="1693"/>
      <c r="O36" s="1693"/>
      <c r="P36" s="1693"/>
      <c r="Q36" s="1693"/>
      <c r="R36" s="1675" t="s">
        <v>2068</v>
      </c>
      <c r="S36" s="1658"/>
      <c r="T36" s="1658" t="s">
        <v>2069</v>
      </c>
      <c r="U36" s="1658"/>
      <c r="V36" s="1666"/>
    </row>
    <row r="37" spans="1:23" s="1643" customFormat="1" ht="13.2" customHeight="1">
      <c r="A37" s="1748"/>
      <c r="B37" s="1749"/>
      <c r="C37" s="1749"/>
      <c r="D37" s="1749"/>
      <c r="E37" s="1749"/>
      <c r="F37" s="1753"/>
      <c r="G37" s="1658"/>
      <c r="H37" s="1665"/>
      <c r="I37" s="1666"/>
      <c r="J37" s="3486"/>
      <c r="K37" s="3490"/>
      <c r="L37" s="1701"/>
      <c r="M37" s="1702"/>
      <c r="N37" s="1677"/>
      <c r="O37" s="1703"/>
      <c r="P37" s="1703"/>
      <c r="Q37" s="1704"/>
      <c r="R37" s="1705"/>
      <c r="S37" s="1658"/>
      <c r="T37" s="1658" t="s">
        <v>2072</v>
      </c>
      <c r="U37" s="1658"/>
      <c r="V37" s="1666"/>
    </row>
    <row r="38" spans="1:23" s="1643" customFormat="1" ht="13.2" customHeight="1">
      <c r="A38" s="1748">
        <v>8</v>
      </c>
      <c r="B38" s="1749"/>
      <c r="C38" s="1709" t="e">
        <f>ROUND(C32*(1-((1+C35)/(1+C34))^C36)/(C34-C35),0)</f>
        <v>#DIV/0!</v>
      </c>
      <c r="D38" s="1709">
        <f>IF(D23=0,0,ROUND(D32*(1-((1+D35)/(1+D34))^D36)/(D34-D35),0))</f>
        <v>0</v>
      </c>
      <c r="E38" s="1709">
        <f>IF(E23=0,0,ROUND(E32*(1-((1+E35)/(1+E34))^E36)/(E34-E35),0))</f>
        <v>0</v>
      </c>
      <c r="F38" s="1753"/>
      <c r="G38" s="1658"/>
      <c r="H38" s="1665"/>
      <c r="I38" s="1666"/>
      <c r="J38" s="3486"/>
      <c r="K38" s="3490"/>
      <c r="L38" s="1701"/>
      <c r="M38" s="1702"/>
      <c r="N38" s="1677"/>
      <c r="O38" s="1703"/>
      <c r="P38" s="1703"/>
      <c r="Q38" s="1704"/>
      <c r="R38" s="1705"/>
      <c r="S38" s="1658"/>
      <c r="T38" s="1658" t="s">
        <v>2079</v>
      </c>
      <c r="U38" s="1658"/>
      <c r="V38" s="1666"/>
    </row>
    <row r="39" spans="1:23" s="1643" customFormat="1" ht="13.2" customHeight="1">
      <c r="A39" s="1748">
        <v>9</v>
      </c>
      <c r="B39" s="1749" t="s">
        <v>2153</v>
      </c>
      <c r="C39" s="1719" t="e">
        <f>C38</f>
        <v>#DIV/0!</v>
      </c>
      <c r="D39" s="1749">
        <f>D38/(1+D34)^C36</f>
        <v>0</v>
      </c>
      <c r="E39" s="1749">
        <f>E38/(1+E34)^(C36+D36)</f>
        <v>0</v>
      </c>
      <c r="F39" s="1753"/>
      <c r="G39" s="1666"/>
      <c r="H39" s="1665"/>
      <c r="I39" s="1666"/>
      <c r="J39" s="3486"/>
      <c r="K39" s="3490"/>
      <c r="L39" s="1701"/>
      <c r="M39" s="1702"/>
      <c r="N39" s="1677"/>
      <c r="O39" s="1703"/>
      <c r="P39" s="1703"/>
      <c r="Q39" s="1704"/>
      <c r="R39" s="1705"/>
      <c r="S39" s="1658"/>
      <c r="T39" s="1658"/>
      <c r="U39" s="1658"/>
      <c r="V39" s="1666"/>
    </row>
    <row r="40" spans="1:23" s="1643" customFormat="1" ht="13.2" customHeight="1">
      <c r="A40" s="1804">
        <v>10</v>
      </c>
      <c r="B40" s="1749" t="s">
        <v>2154</v>
      </c>
      <c r="C40" s="1805" t="e">
        <f>C39+D39+E39</f>
        <v>#DIV/0!</v>
      </c>
      <c r="D40" s="1806"/>
      <c r="E40" s="1806"/>
      <c r="F40" s="1807"/>
      <c r="G40" s="1658"/>
      <c r="H40" s="1665"/>
      <c r="I40" s="1666"/>
      <c r="J40" s="3486"/>
      <c r="K40" s="3491"/>
      <c r="L40" s="1724" t="s">
        <v>2097</v>
      </c>
      <c r="M40" s="1725"/>
      <c r="N40" s="1725"/>
      <c r="O40" s="1726"/>
      <c r="P40" s="1726"/>
      <c r="Q40" s="1727"/>
      <c r="R40" s="1669">
        <f>SUM(R37:R39)</f>
        <v>0</v>
      </c>
      <c r="S40" s="1658"/>
      <c r="T40" s="1658"/>
      <c r="U40" s="1658"/>
      <c r="V40" s="1666"/>
    </row>
    <row r="41" spans="1:23" s="1643" customFormat="1" ht="13.2" customHeight="1">
      <c r="A41" s="1808">
        <v>11</v>
      </c>
      <c r="B41" s="1809" t="s">
        <v>2155</v>
      </c>
      <c r="C41" s="1809" t="e">
        <f>ROUND(C40*10000/B4,0)</f>
        <v>#DIV/0!</v>
      </c>
      <c r="D41" s="1810"/>
      <c r="E41" s="1810"/>
      <c r="F41" s="1811"/>
      <c r="G41" s="1665"/>
      <c r="H41" s="1665"/>
      <c r="I41" s="1666"/>
      <c r="J41" s="1691">
        <v>2</v>
      </c>
      <c r="K41" s="1761" t="s">
        <v>2134</v>
      </c>
      <c r="L41" s="1762"/>
      <c r="M41" s="1762"/>
      <c r="N41" s="1762"/>
      <c r="O41" s="1762"/>
      <c r="P41" s="1763"/>
      <c r="Q41" s="1764"/>
      <c r="R41" s="1740">
        <f>ROUND(R40*Q41,0)</f>
        <v>0</v>
      </c>
      <c r="S41" s="1658"/>
      <c r="T41" s="1658"/>
      <c r="U41" s="1712"/>
      <c r="V41" s="1666"/>
    </row>
    <row r="42" spans="1:23" s="1643" customFormat="1" ht="13.2" customHeight="1">
      <c r="G42" s="1665"/>
      <c r="H42" s="1665"/>
      <c r="I42" s="1666"/>
      <c r="J42" s="3487">
        <v>3</v>
      </c>
      <c r="K42" s="1766" t="s">
        <v>2136</v>
      </c>
      <c r="L42" s="1767"/>
      <c r="M42" s="1768"/>
      <c r="N42" s="1769" t="s">
        <v>506</v>
      </c>
      <c r="O42" s="1769" t="s">
        <v>2137</v>
      </c>
      <c r="P42" s="1770" t="s">
        <v>2138</v>
      </c>
      <c r="Q42" s="1770" t="s">
        <v>2139</v>
      </c>
      <c r="R42" s="1675" t="s">
        <v>2068</v>
      </c>
      <c r="S42" s="1712"/>
      <c r="T42" s="1712"/>
      <c r="U42" s="1658"/>
      <c r="V42" s="1666"/>
    </row>
    <row r="43" spans="1:23" ht="13.2" customHeight="1">
      <c r="A43" s="1643"/>
      <c r="B43" s="1643"/>
      <c r="C43" s="1643"/>
      <c r="D43" s="1643"/>
      <c r="E43" s="1643"/>
      <c r="F43" s="1643"/>
      <c r="I43" s="1646"/>
      <c r="J43" s="3488"/>
      <c r="K43" s="1773"/>
      <c r="L43" s="1774"/>
      <c r="M43" s="1775"/>
      <c r="N43" s="1702"/>
      <c r="O43" s="1702"/>
      <c r="P43" s="1702"/>
      <c r="Q43" s="1764"/>
      <c r="R43" s="1740">
        <f>ROUND(O43*N43*P43*(1-Q43)/10000,0)</f>
        <v>0</v>
      </c>
      <c r="S43" s="1658"/>
      <c r="T43" s="1658"/>
      <c r="V43" s="1648"/>
      <c r="W43" s="1812"/>
    </row>
    <row r="44" spans="1:23" ht="13.2" customHeight="1">
      <c r="J44" s="1778">
        <v>6</v>
      </c>
      <c r="K44" s="1779" t="s">
        <v>2142</v>
      </c>
      <c r="L44" s="1813" t="s">
        <v>2143</v>
      </c>
      <c r="M44" s="1781"/>
      <c r="N44" s="1813" t="s">
        <v>2144</v>
      </c>
      <c r="O44" s="1781"/>
      <c r="P44" s="1813" t="s">
        <v>2145</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2156</v>
      </c>
      <c r="B1" s="802"/>
      <c r="C1" s="802"/>
      <c r="D1" s="802"/>
      <c r="E1" s="1625"/>
      <c r="F1" s="1626"/>
      <c r="G1" s="1493"/>
      <c r="H1" s="1493"/>
      <c r="I1" s="1493"/>
      <c r="J1" s="1493"/>
      <c r="K1" s="1493"/>
      <c r="L1" s="1493"/>
      <c r="M1" s="1493"/>
      <c r="N1" s="1493"/>
      <c r="O1" s="1493"/>
      <c r="P1" s="1493"/>
      <c r="Q1" s="1493"/>
      <c r="R1" s="1493"/>
      <c r="S1" s="1493"/>
    </row>
    <row r="2" spans="1:22" ht="15.6">
      <c r="A2" s="1627" t="s">
        <v>1121</v>
      </c>
      <c r="B2" s="528">
        <f ca="1">SUMIF(B6:B13,"&lt;&gt;#ref!",B6:B13)</f>
        <v>345512</v>
      </c>
      <c r="C2" s="1628" t="s">
        <v>2157</v>
      </c>
      <c r="D2" s="1629" t="s">
        <v>2158</v>
      </c>
      <c r="E2" s="1630">
        <f>SUM(E6:E13)</f>
        <v>154306.03</v>
      </c>
      <c r="F2" s="1626"/>
      <c r="G2" s="1493"/>
      <c r="H2" s="1493"/>
      <c r="I2" s="1493"/>
      <c r="J2" s="1493"/>
      <c r="K2" s="1493"/>
      <c r="L2" s="1493"/>
      <c r="M2" s="1493"/>
      <c r="N2" s="1493"/>
      <c r="O2" s="1493"/>
      <c r="P2" s="1493"/>
      <c r="Q2" s="1493"/>
      <c r="R2" s="1493"/>
      <c r="S2" s="1493"/>
    </row>
    <row r="3" spans="1:22" ht="15.6">
      <c r="A3" s="1627" t="s">
        <v>1122</v>
      </c>
      <c r="B3" s="1631">
        <f ca="1">ROUND(B2*10000/E2,0)</f>
        <v>22391</v>
      </c>
      <c r="C3" s="1628" t="s">
        <v>2159</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2160</v>
      </c>
      <c r="B5" s="3492" t="s">
        <v>2161</v>
      </c>
      <c r="C5" s="3493"/>
      <c r="D5" s="1636"/>
      <c r="E5" s="1635" t="s">
        <v>2162</v>
      </c>
      <c r="F5" s="1595" t="s">
        <v>2163</v>
      </c>
      <c r="G5" s="1493"/>
      <c r="H5" s="1493"/>
      <c r="I5" s="1493"/>
      <c r="J5" s="1493"/>
      <c r="K5" s="1493"/>
      <c r="L5" s="1493"/>
      <c r="M5" s="1493"/>
      <c r="N5" s="1493"/>
      <c r="O5" s="1493"/>
      <c r="P5" s="1493"/>
      <c r="Q5" s="1493"/>
      <c r="R5" s="1493"/>
      <c r="S5" s="1493"/>
    </row>
    <row r="6" spans="1:22" ht="14.4">
      <c r="A6" s="1637" t="str">
        <f>'数据-取费表'!AN6</f>
        <v>收益法</v>
      </c>
      <c r="B6" s="887">
        <f ca="1">IF(F6="是",'数据-取费表'!AO6,0)</f>
        <v>345512</v>
      </c>
      <c r="C6" s="1628" t="s">
        <v>2157</v>
      </c>
      <c r="D6" s="1626"/>
      <c r="E6" s="1638">
        <f>IF(OR(A6=0,F6="否"),0,'数据-取费表'!K6+'数据-取费表'!S6)</f>
        <v>154306.03</v>
      </c>
      <c r="F6" s="1639" t="s">
        <v>2164</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2157</v>
      </c>
      <c r="D7" s="1626"/>
      <c r="E7" s="1638">
        <f>IF(OR(A7=0,F7="否"),0,'数据-取费表'!K7+'数据-取费表'!S7)</f>
        <v>0</v>
      </c>
      <c r="F7" s="1639" t="s">
        <v>2164</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2157</v>
      </c>
      <c r="D8" s="1626"/>
      <c r="E8" s="1638">
        <f>IF(OR(A8=0,F8="否"),0,'数据-取费表'!K8+'数据-取费表'!S8)</f>
        <v>0</v>
      </c>
      <c r="F8" s="1639" t="s">
        <v>2164</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2157</v>
      </c>
      <c r="D9" s="1626"/>
      <c r="E9" s="1638">
        <f>IF(OR(A9=0,F9="否"),0,'数据-取费表'!K9+'数据-取费表'!S9)</f>
        <v>0</v>
      </c>
      <c r="F9" s="1639" t="s">
        <v>2164</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2157</v>
      </c>
      <c r="D10" s="1626"/>
      <c r="E10" s="1638">
        <f>IF(OR(A10=0,F10="否"),0,'数据-取费表'!K10+'数据-取费表'!S10)</f>
        <v>0</v>
      </c>
      <c r="F10" s="1639" t="s">
        <v>2164</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2157</v>
      </c>
      <c r="D11" s="1626"/>
      <c r="E11" s="1638">
        <f>IF(OR(A11=0,F11="否"),0,'数据-取费表'!K11+'数据-取费表'!S11)</f>
        <v>0</v>
      </c>
      <c r="F11" s="1639" t="s">
        <v>2164</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2157</v>
      </c>
      <c r="D12" s="1626"/>
      <c r="E12" s="1638">
        <f>IF(OR(A12=0,F12="否"),0,'数据-取费表'!K12+'数据-取费表'!S12)</f>
        <v>0</v>
      </c>
      <c r="F12" s="1639" t="s">
        <v>2164</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2157</v>
      </c>
      <c r="D13" s="1642"/>
      <c r="E13" s="1638">
        <f>IF(OR(A13=0,F13="否"),0,'数据-取费表'!K13+'数据-取费表'!S13)</f>
        <v>0</v>
      </c>
      <c r="F13" s="1639" t="s">
        <v>2164</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2166</v>
      </c>
      <c r="C1" s="1352" t="s">
        <v>2167</v>
      </c>
      <c r="D1" s="1345"/>
      <c r="E1" s="1525"/>
      <c r="F1" s="1347"/>
      <c r="G1" s="1348" t="s">
        <v>1120</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1121</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1122</v>
      </c>
      <c r="B3" s="1361">
        <f>IF(C2="——",C49,ROUND(B2*10000/D3,0))</f>
        <v>0</v>
      </c>
      <c r="C3" s="1360" t="s">
        <v>1123</v>
      </c>
      <c r="D3" s="1361">
        <f>IF(D1="",'数据-汇总表'!E3,SUMIF('数据-汇总表'!$C19:$C33,D1,'数据-汇总表'!$E19:$E33))</f>
        <v>154306.03</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1124</v>
      </c>
      <c r="B4" s="1039"/>
      <c r="C4" s="3423" t="s">
        <v>1125</v>
      </c>
      <c r="D4" s="3424"/>
      <c r="E4" s="3425" t="s">
        <v>1126</v>
      </c>
      <c r="F4" s="3426"/>
      <c r="G4" s="3423" t="s">
        <v>1127</v>
      </c>
      <c r="H4" s="3424"/>
      <c r="I4" s="3423" t="s">
        <v>1128</v>
      </c>
      <c r="J4" s="3424"/>
      <c r="K4" s="1555"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48" t="s">
        <v>1127</v>
      </c>
      <c r="AC4" s="3448" t="s">
        <v>1128</v>
      </c>
    </row>
    <row r="5" spans="1:29">
      <c r="A5" s="1049"/>
      <c r="B5" s="1050"/>
      <c r="C5" s="3427" t="s">
        <v>1131</v>
      </c>
      <c r="D5" s="3428"/>
      <c r="E5" s="3429" t="s">
        <v>2168</v>
      </c>
      <c r="F5" s="3430"/>
      <c r="G5" s="3427" t="s">
        <v>2169</v>
      </c>
      <c r="H5" s="3428"/>
      <c r="I5" s="3427" t="s">
        <v>2170</v>
      </c>
      <c r="J5" s="3428"/>
      <c r="K5" s="1556"/>
      <c r="L5" s="1043"/>
      <c r="M5" s="1044"/>
      <c r="N5" s="1044"/>
      <c r="O5" s="1044"/>
      <c r="P5" s="3453"/>
      <c r="Q5" s="3454"/>
      <c r="R5" s="3459"/>
      <c r="S5" s="3460"/>
      <c r="T5" s="3459"/>
      <c r="U5" s="3460"/>
      <c r="V5" s="3439"/>
      <c r="W5" s="3439"/>
      <c r="X5" s="1048"/>
      <c r="Y5" s="3459"/>
      <c r="Z5" s="3460"/>
      <c r="AA5" s="3449"/>
      <c r="AB5" s="3449"/>
      <c r="AC5" s="3449"/>
    </row>
    <row r="6" spans="1:29" ht="14.4">
      <c r="A6" s="1052"/>
      <c r="B6" s="1053"/>
      <c r="C6" s="3431" t="s">
        <v>1132</v>
      </c>
      <c r="D6" s="3432"/>
      <c r="E6" s="3433" t="s">
        <v>1132</v>
      </c>
      <c r="F6" s="3434"/>
      <c r="G6" s="3431" t="s">
        <v>1132</v>
      </c>
      <c r="H6" s="3432"/>
      <c r="I6" s="3431" t="s">
        <v>1132</v>
      </c>
      <c r="J6" s="3432"/>
      <c r="K6" s="1556" t="s">
        <v>1133</v>
      </c>
      <c r="L6" s="1043"/>
      <c r="M6" s="1044"/>
      <c r="N6" s="1044"/>
      <c r="O6" s="1044"/>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19" si="3">D8/F8</f>
        <v>1</v>
      </c>
      <c r="AB8" s="1071">
        <f t="shared" ref="AB8:AB19" si="4">D8/H8</f>
        <v>1</v>
      </c>
      <c r="AC8" s="1071">
        <f t="shared" ref="AC8:AC19" si="5">D8/J8</f>
        <v>1</v>
      </c>
    </row>
    <row r="9" spans="1:29" s="1011" customFormat="1" ht="14.4">
      <c r="A9" s="1073" t="s">
        <v>1141</v>
      </c>
      <c r="B9" s="1074" t="s">
        <v>1142</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464" t="s">
        <v>1145</v>
      </c>
      <c r="Q9" s="811" t="str">
        <f t="shared" ref="Q9:Q15" si="6">B9</f>
        <v>用途</v>
      </c>
      <c r="R9" s="1067" t="s">
        <v>1136</v>
      </c>
      <c r="S9" s="1068">
        <f t="shared" si="0"/>
        <v>100</v>
      </c>
      <c r="T9" s="1067" t="s">
        <v>1136</v>
      </c>
      <c r="U9" s="1068">
        <f t="shared" si="1"/>
        <v>100</v>
      </c>
      <c r="V9" s="1067" t="s">
        <v>1136</v>
      </c>
      <c r="W9" s="1068">
        <f t="shared" si="2"/>
        <v>100</v>
      </c>
      <c r="X9" s="1069"/>
      <c r="Y9" s="3404"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464"/>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464"/>
      <c r="Q11" s="811" t="str">
        <f t="shared" si="6"/>
        <v>容积率</v>
      </c>
      <c r="R11" s="1067" t="s">
        <v>1136</v>
      </c>
      <c r="S11" s="1068" t="e">
        <f t="shared" si="0"/>
        <v>#N/A</v>
      </c>
      <c r="T11" s="1067" t="s">
        <v>1136</v>
      </c>
      <c r="U11" s="1068" t="e">
        <f t="shared" si="1"/>
        <v>#N/A</v>
      </c>
      <c r="V11" s="1067" t="s">
        <v>1136</v>
      </c>
      <c r="W11" s="1068" t="e">
        <f t="shared" si="2"/>
        <v>#N/A</v>
      </c>
      <c r="X11" s="1069"/>
      <c r="Y11" s="340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464"/>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464"/>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464"/>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071">
        <f t="shared" si="5"/>
        <v>1</v>
      </c>
    </row>
    <row r="15" spans="1:29" ht="15">
      <c r="A15" s="1103" t="s">
        <v>1153</v>
      </c>
      <c r="B15" s="1367" t="s">
        <v>1154</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495" t="s">
        <v>1155</v>
      </c>
      <c r="Q15" s="707" t="str">
        <f t="shared" si="6"/>
        <v>居住社区成熟度</v>
      </c>
      <c r="R15" s="1109" t="s">
        <v>1136</v>
      </c>
      <c r="S15" s="1110">
        <f t="shared" si="0"/>
        <v>100</v>
      </c>
      <c r="T15" s="1109" t="s">
        <v>1136</v>
      </c>
      <c r="U15" s="1110">
        <f t="shared" si="1"/>
        <v>100</v>
      </c>
      <c r="V15" s="1109" t="s">
        <v>1136</v>
      </c>
      <c r="W15" s="1110">
        <f t="shared" si="2"/>
        <v>100</v>
      </c>
      <c r="X15" s="1048"/>
      <c r="Y15" s="3444" t="s">
        <v>1155</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96"/>
      <c r="Q16" s="707"/>
      <c r="R16" s="1109"/>
      <c r="S16" s="1110"/>
      <c r="T16" s="1109"/>
      <c r="U16" s="1110"/>
      <c r="V16" s="1109"/>
      <c r="W16" s="1110"/>
      <c r="X16" s="1048"/>
      <c r="Y16" s="3445"/>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45"/>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96"/>
      <c r="Q18" s="707"/>
      <c r="R18" s="1109"/>
      <c r="S18" s="1110"/>
      <c r="T18" s="1109"/>
      <c r="U18" s="1110"/>
      <c r="V18" s="1109"/>
      <c r="W18" s="1110"/>
      <c r="X18" s="1048"/>
      <c r="Y18" s="3445"/>
      <c r="Z18" s="1047"/>
      <c r="AA18" s="1047">
        <v>1</v>
      </c>
      <c r="AB18" s="1047">
        <v>1</v>
      </c>
      <c r="AC18" s="1047">
        <v>1</v>
      </c>
    </row>
    <row r="19" spans="1:29" ht="41.4">
      <c r="A19" s="1086"/>
      <c r="B19" s="1371" t="s">
        <v>1163</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45"/>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96"/>
      <c r="Q20" s="707"/>
      <c r="R20" s="1109"/>
      <c r="S20" s="1110"/>
      <c r="T20" s="1109"/>
      <c r="U20" s="1110"/>
      <c r="V20" s="1109"/>
      <c r="W20" s="1110"/>
      <c r="X20" s="1048"/>
      <c r="Y20" s="3445"/>
      <c r="Z20" s="1047"/>
      <c r="AA20" s="1047">
        <v>1</v>
      </c>
      <c r="AB20" s="1047">
        <v>1</v>
      </c>
      <c r="AC20" s="1047">
        <v>1</v>
      </c>
    </row>
    <row r="21" spans="1:29" ht="27.6">
      <c r="A21" s="1086"/>
      <c r="B21" s="1375" t="s">
        <v>1164</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4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96"/>
      <c r="Q22" s="707"/>
      <c r="R22" s="1109"/>
      <c r="S22" s="1110"/>
      <c r="T22" s="1109"/>
      <c r="U22" s="1110"/>
      <c r="V22" s="1109"/>
      <c r="W22" s="1110"/>
      <c r="X22" s="1048"/>
      <c r="Y22" s="3445"/>
      <c r="Z22" s="1047"/>
      <c r="AA22" s="1047">
        <v>1</v>
      </c>
      <c r="AB22" s="1047">
        <v>1</v>
      </c>
      <c r="AC22" s="1047">
        <v>1</v>
      </c>
    </row>
    <row r="23" spans="1:29" ht="55.2">
      <c r="A23" s="1086"/>
      <c r="B23" s="1371" t="s">
        <v>2171</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96"/>
      <c r="Q23" s="707" t="str">
        <f>B23</f>
        <v>自然及人文环境</v>
      </c>
      <c r="R23" s="1109" t="s">
        <v>1136</v>
      </c>
      <c r="S23" s="1110">
        <f>F23</f>
        <v>100</v>
      </c>
      <c r="T23" s="1109" t="s">
        <v>1136</v>
      </c>
      <c r="U23" s="1110">
        <f>H23</f>
        <v>100</v>
      </c>
      <c r="V23" s="1109" t="s">
        <v>1136</v>
      </c>
      <c r="W23" s="1110">
        <f>J23</f>
        <v>100</v>
      </c>
      <c r="X23" s="1048"/>
      <c r="Y23" s="3445"/>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96"/>
      <c r="Q24" s="707"/>
      <c r="R24" s="1109"/>
      <c r="S24" s="1110"/>
      <c r="T24" s="1109"/>
      <c r="U24" s="1110"/>
      <c r="V24" s="1109"/>
      <c r="W24" s="1110"/>
      <c r="X24" s="1048"/>
      <c r="Y24" s="3445"/>
      <c r="Z24" s="1047"/>
      <c r="AA24" s="1047">
        <v>1</v>
      </c>
      <c r="AB24" s="1047">
        <v>1</v>
      </c>
      <c r="AC24" s="1047">
        <v>1</v>
      </c>
    </row>
    <row r="25" spans="1:29" ht="15">
      <c r="A25" s="1086"/>
      <c r="B25" s="1079" t="s">
        <v>2172</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96"/>
      <c r="Q25" s="707" t="str">
        <f t="shared" ref="Q25:Q46" si="11">B25</f>
        <v>楼层-1</v>
      </c>
      <c r="R25" s="1109" t="s">
        <v>1136</v>
      </c>
      <c r="S25" s="1110">
        <f t="shared" ref="S25:S46" si="12">F25</f>
        <v>100</v>
      </c>
      <c r="T25" s="1109" t="s">
        <v>1136</v>
      </c>
      <c r="U25" s="1110">
        <f t="shared" ref="U25:U46" si="13">H25</f>
        <v>100</v>
      </c>
      <c r="V25" s="1109" t="s">
        <v>1136</v>
      </c>
      <c r="W25" s="1110">
        <f t="shared" ref="W25:W46" si="14">J25</f>
        <v>100</v>
      </c>
      <c r="X25" s="1048"/>
      <c r="Y25" s="3445"/>
      <c r="Z25" s="1047" t="str">
        <f>Q25</f>
        <v>楼层-1</v>
      </c>
      <c r="AA25" s="1047">
        <f t="shared" ref="AA25:AA46" si="15">D25/F25</f>
        <v>1</v>
      </c>
      <c r="AB25" s="1047">
        <f t="shared" ref="AB25:AB46" si="16">D25/H25</f>
        <v>1</v>
      </c>
      <c r="AC25" s="1047">
        <f t="shared" ref="AC25:AC46" si="17">D25/J25</f>
        <v>1</v>
      </c>
    </row>
    <row r="26" spans="1:29" ht="15">
      <c r="A26" s="1086"/>
      <c r="B26" s="1079" t="s">
        <v>2173</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96"/>
      <c r="Q26" s="707" t="str">
        <f t="shared" si="11"/>
        <v>朝向</v>
      </c>
      <c r="R26" s="1109" t="s">
        <v>1136</v>
      </c>
      <c r="S26" s="1110">
        <f t="shared" si="12"/>
        <v>100</v>
      </c>
      <c r="T26" s="1109" t="s">
        <v>1136</v>
      </c>
      <c r="U26" s="1110">
        <f t="shared" si="13"/>
        <v>100</v>
      </c>
      <c r="V26" s="1109" t="s">
        <v>1136</v>
      </c>
      <c r="W26" s="1110">
        <f t="shared" si="14"/>
        <v>100</v>
      </c>
      <c r="X26" s="1048"/>
      <c r="Y26" s="3445"/>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96"/>
      <c r="Q27" s="811">
        <f t="shared" si="11"/>
        <v>111</v>
      </c>
      <c r="R27" s="1067" t="s">
        <v>1136</v>
      </c>
      <c r="S27" s="1068">
        <f t="shared" si="12"/>
        <v>100</v>
      </c>
      <c r="T27" s="1067" t="s">
        <v>1136</v>
      </c>
      <c r="U27" s="1068">
        <f t="shared" si="13"/>
        <v>100</v>
      </c>
      <c r="V27" s="1067" t="s">
        <v>1136</v>
      </c>
      <c r="W27" s="1068">
        <f t="shared" si="14"/>
        <v>100</v>
      </c>
      <c r="X27" s="1069"/>
      <c r="Y27" s="3445"/>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96"/>
      <c r="Q28" s="707">
        <f t="shared" si="11"/>
        <v>111</v>
      </c>
      <c r="R28" s="1109" t="s">
        <v>1136</v>
      </c>
      <c r="S28" s="1110">
        <f t="shared" si="12"/>
        <v>100</v>
      </c>
      <c r="T28" s="1109" t="s">
        <v>1136</v>
      </c>
      <c r="U28" s="1110">
        <f t="shared" si="13"/>
        <v>100</v>
      </c>
      <c r="V28" s="1109" t="s">
        <v>1136</v>
      </c>
      <c r="W28" s="1110">
        <f t="shared" si="14"/>
        <v>100</v>
      </c>
      <c r="X28" s="1048"/>
      <c r="Y28" s="3445"/>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96"/>
      <c r="Q29" s="707">
        <f t="shared" si="11"/>
        <v>111</v>
      </c>
      <c r="R29" s="1109" t="s">
        <v>1136</v>
      </c>
      <c r="S29" s="1110">
        <f t="shared" si="12"/>
        <v>100</v>
      </c>
      <c r="T29" s="1109" t="s">
        <v>1136</v>
      </c>
      <c r="U29" s="1110">
        <f t="shared" si="13"/>
        <v>100</v>
      </c>
      <c r="V29" s="1109" t="s">
        <v>1136</v>
      </c>
      <c r="W29" s="1110">
        <f t="shared" si="14"/>
        <v>100</v>
      </c>
      <c r="X29" s="1048"/>
      <c r="Y29" s="3445"/>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45"/>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45"/>
      <c r="Z31" s="1047">
        <f t="shared" si="18"/>
        <v>111</v>
      </c>
      <c r="AA31" s="1047">
        <f t="shared" si="15"/>
        <v>1</v>
      </c>
      <c r="AB31" s="1047">
        <f t="shared" si="16"/>
        <v>1</v>
      </c>
      <c r="AC31" s="1047">
        <f t="shared" si="17"/>
        <v>1</v>
      </c>
    </row>
    <row r="32" spans="1:29" ht="15">
      <c r="A32" s="1103" t="s">
        <v>1172</v>
      </c>
      <c r="B32" s="1074" t="s">
        <v>2174</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97" t="s">
        <v>1171</v>
      </c>
      <c r="Q32" s="707" t="str">
        <f t="shared" si="11"/>
        <v>建筑类型</v>
      </c>
      <c r="R32" s="1109" t="s">
        <v>1136</v>
      </c>
      <c r="S32" s="1110">
        <f t="shared" si="12"/>
        <v>100</v>
      </c>
      <c r="T32" s="1109" t="s">
        <v>1136</v>
      </c>
      <c r="U32" s="1110">
        <f t="shared" si="13"/>
        <v>100</v>
      </c>
      <c r="V32" s="1109" t="s">
        <v>1136</v>
      </c>
      <c r="W32" s="1110">
        <f t="shared" si="14"/>
        <v>100</v>
      </c>
      <c r="X32" s="1048"/>
      <c r="Y32" s="3447" t="s">
        <v>1171</v>
      </c>
      <c r="Z32" s="1047" t="str">
        <f t="shared" si="18"/>
        <v>建筑类型</v>
      </c>
      <c r="AA32" s="1047">
        <f t="shared" si="15"/>
        <v>1</v>
      </c>
      <c r="AB32" s="1047">
        <f t="shared" si="16"/>
        <v>1</v>
      </c>
      <c r="AC32" s="1047">
        <f t="shared" si="17"/>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98"/>
      <c r="Q33" s="1383" t="str">
        <f t="shared" si="11"/>
        <v>项目建筑规模</v>
      </c>
      <c r="R33" s="1147" t="s">
        <v>1136</v>
      </c>
      <c r="S33" s="1148" t="e">
        <f t="shared" si="12"/>
        <v>#N/A</v>
      </c>
      <c r="T33" s="1147" t="s">
        <v>1136</v>
      </c>
      <c r="U33" s="1148" t="e">
        <f t="shared" si="13"/>
        <v>#N/A</v>
      </c>
      <c r="V33" s="1147" t="s">
        <v>1136</v>
      </c>
      <c r="W33" s="1148" t="e">
        <f t="shared" si="14"/>
        <v>#N/A</v>
      </c>
      <c r="X33" s="1149"/>
      <c r="Y33" s="3447"/>
      <c r="Z33" s="1150" t="str">
        <f t="shared" si="18"/>
        <v>项目建筑规模</v>
      </c>
      <c r="AA33" s="1047" t="e">
        <f t="shared" si="15"/>
        <v>#N/A</v>
      </c>
      <c r="AB33" s="1047" t="e">
        <f t="shared" si="16"/>
        <v>#N/A</v>
      </c>
      <c r="AC33" s="1047" t="e">
        <f t="shared" si="17"/>
        <v>#N/A</v>
      </c>
    </row>
    <row r="34" spans="1:29" ht="15">
      <c r="A34" s="1154"/>
      <c r="B34" s="1079" t="s">
        <v>2176</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98"/>
      <c r="Q34" s="707" t="str">
        <f t="shared" si="11"/>
        <v>建筑结构</v>
      </c>
      <c r="R34" s="1109" t="s">
        <v>1136</v>
      </c>
      <c r="S34" s="1110">
        <f t="shared" si="12"/>
        <v>100</v>
      </c>
      <c r="T34" s="1109" t="s">
        <v>1136</v>
      </c>
      <c r="U34" s="1110">
        <f t="shared" si="13"/>
        <v>100</v>
      </c>
      <c r="V34" s="1109" t="s">
        <v>1136</v>
      </c>
      <c r="W34" s="1110">
        <f t="shared" si="14"/>
        <v>100</v>
      </c>
      <c r="X34" s="1048"/>
      <c r="Y34" s="3447"/>
      <c r="Z34" s="1047" t="str">
        <f t="shared" si="18"/>
        <v>建筑结构</v>
      </c>
      <c r="AA34" s="1047">
        <f t="shared" si="15"/>
        <v>1</v>
      </c>
      <c r="AB34" s="1047">
        <f t="shared" si="16"/>
        <v>1</v>
      </c>
      <c r="AC34" s="1047">
        <f t="shared" si="17"/>
        <v>1</v>
      </c>
    </row>
    <row r="35" spans="1:29" ht="15">
      <c r="A35" s="1154"/>
      <c r="B35" s="1079" t="s">
        <v>2177</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98"/>
      <c r="Q35" s="707" t="str">
        <f t="shared" si="11"/>
        <v>建筑品质</v>
      </c>
      <c r="R35" s="1109" t="s">
        <v>1136</v>
      </c>
      <c r="S35" s="1110">
        <f t="shared" si="12"/>
        <v>100</v>
      </c>
      <c r="T35" s="1109" t="s">
        <v>1136</v>
      </c>
      <c r="U35" s="1110">
        <f t="shared" si="13"/>
        <v>100</v>
      </c>
      <c r="V35" s="1109" t="s">
        <v>1136</v>
      </c>
      <c r="W35" s="1110">
        <f t="shared" si="14"/>
        <v>100</v>
      </c>
      <c r="X35" s="1048"/>
      <c r="Y35" s="3447"/>
      <c r="Z35" s="1047" t="str">
        <f t="shared" si="18"/>
        <v>建筑品质</v>
      </c>
      <c r="AA35" s="1047">
        <f t="shared" si="15"/>
        <v>1</v>
      </c>
      <c r="AB35" s="1047">
        <f t="shared" si="16"/>
        <v>1</v>
      </c>
      <c r="AC35" s="1047">
        <f t="shared" si="17"/>
        <v>1</v>
      </c>
    </row>
    <row r="36" spans="1:29" ht="15">
      <c r="A36" s="1154"/>
      <c r="B36" s="1079" t="s">
        <v>2178</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98"/>
      <c r="Q36" s="707" t="str">
        <f t="shared" si="11"/>
        <v>公共部分装修</v>
      </c>
      <c r="R36" s="1109" t="s">
        <v>1136</v>
      </c>
      <c r="S36" s="1110">
        <f t="shared" si="12"/>
        <v>100</v>
      </c>
      <c r="T36" s="1109" t="s">
        <v>1136</v>
      </c>
      <c r="U36" s="1110">
        <f t="shared" si="13"/>
        <v>100</v>
      </c>
      <c r="V36" s="1109" t="s">
        <v>1136</v>
      </c>
      <c r="W36" s="1110">
        <f t="shared" si="14"/>
        <v>100</v>
      </c>
      <c r="X36" s="1048"/>
      <c r="Y36" s="3447"/>
      <c r="Z36" s="1047" t="str">
        <f t="shared" si="18"/>
        <v>公共部分装修</v>
      </c>
      <c r="AA36" s="1047">
        <f t="shared" si="15"/>
        <v>1</v>
      </c>
      <c r="AB36" s="1047">
        <f t="shared" si="16"/>
        <v>1</v>
      </c>
      <c r="AC36" s="1047">
        <f t="shared" si="17"/>
        <v>1</v>
      </c>
    </row>
    <row r="37" spans="1:29" s="1011" customFormat="1" ht="15">
      <c r="A37" s="1156"/>
      <c r="B37" s="1079" t="s">
        <v>766</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98"/>
      <c r="Q37" s="811" t="str">
        <f t="shared" si="11"/>
        <v>成新度</v>
      </c>
      <c r="R37" s="1067" t="s">
        <v>1136</v>
      </c>
      <c r="S37" s="1068" t="e">
        <f t="shared" si="12"/>
        <v>#N/A</v>
      </c>
      <c r="T37" s="1067" t="s">
        <v>1136</v>
      </c>
      <c r="U37" s="1068" t="e">
        <f t="shared" si="13"/>
        <v>#N/A</v>
      </c>
      <c r="V37" s="1067" t="s">
        <v>1136</v>
      </c>
      <c r="W37" s="1068" t="e">
        <f t="shared" si="14"/>
        <v>#N/A</v>
      </c>
      <c r="X37" s="1069"/>
      <c r="Y37" s="3447"/>
      <c r="Z37" s="1071" t="str">
        <f t="shared" si="18"/>
        <v>成新度</v>
      </c>
      <c r="AA37" s="1071" t="e">
        <f t="shared" si="15"/>
        <v>#N/A</v>
      </c>
      <c r="AB37" s="1071" t="e">
        <f t="shared" si="16"/>
        <v>#N/A</v>
      </c>
      <c r="AC37" s="1071" t="e">
        <f t="shared" si="17"/>
        <v>#N/A</v>
      </c>
    </row>
    <row r="38" spans="1:29" ht="15">
      <c r="A38" s="1154"/>
      <c r="B38" s="1079" t="s">
        <v>2179</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98" t="s">
        <v>1171</v>
      </c>
      <c r="Q38" s="707" t="str">
        <f t="shared" si="11"/>
        <v>物业管理</v>
      </c>
      <c r="R38" s="1109" t="s">
        <v>1136</v>
      </c>
      <c r="S38" s="1110">
        <f t="shared" si="12"/>
        <v>100</v>
      </c>
      <c r="T38" s="1109" t="s">
        <v>1136</v>
      </c>
      <c r="U38" s="1110">
        <f t="shared" si="13"/>
        <v>100</v>
      </c>
      <c r="V38" s="1109" t="s">
        <v>1136</v>
      </c>
      <c r="W38" s="1110">
        <f t="shared" si="14"/>
        <v>100</v>
      </c>
      <c r="X38" s="1048"/>
      <c r="Y38" s="3447" t="s">
        <v>1171</v>
      </c>
      <c r="Z38" s="1047" t="str">
        <f t="shared" si="18"/>
        <v>物业管理</v>
      </c>
      <c r="AA38" s="1047">
        <f t="shared" si="15"/>
        <v>1</v>
      </c>
      <c r="AB38" s="1047">
        <f t="shared" si="16"/>
        <v>1</v>
      </c>
      <c r="AC38" s="1047">
        <f t="shared" si="17"/>
        <v>1</v>
      </c>
    </row>
    <row r="39" spans="1:29" ht="15">
      <c r="A39" s="1154"/>
      <c r="B39" s="1079" t="s">
        <v>2180</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98"/>
      <c r="Q39" s="707" t="str">
        <f t="shared" si="11"/>
        <v>市政基础设施</v>
      </c>
      <c r="R39" s="1109" t="s">
        <v>1136</v>
      </c>
      <c r="S39" s="1110">
        <f t="shared" si="12"/>
        <v>100</v>
      </c>
      <c r="T39" s="1109" t="s">
        <v>1136</v>
      </c>
      <c r="U39" s="1110">
        <f t="shared" si="13"/>
        <v>100</v>
      </c>
      <c r="V39" s="1109" t="s">
        <v>1136</v>
      </c>
      <c r="W39" s="1110">
        <f t="shared" si="14"/>
        <v>100</v>
      </c>
      <c r="X39" s="1048"/>
      <c r="Y39" s="3447"/>
      <c r="Z39" s="1047" t="str">
        <f t="shared" si="18"/>
        <v>市政基础设施</v>
      </c>
      <c r="AA39" s="1047">
        <f t="shared" si="15"/>
        <v>1</v>
      </c>
      <c r="AB39" s="1047">
        <f t="shared" si="16"/>
        <v>1</v>
      </c>
      <c r="AC39" s="1047">
        <f t="shared" si="17"/>
        <v>1</v>
      </c>
    </row>
    <row r="40" spans="1:29" ht="15">
      <c r="A40" s="1154"/>
      <c r="B40" s="1079" t="s">
        <v>2181</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98"/>
      <c r="Q40" s="707" t="str">
        <f t="shared" si="11"/>
        <v>房型</v>
      </c>
      <c r="R40" s="1109" t="s">
        <v>1136</v>
      </c>
      <c r="S40" s="1110">
        <f t="shared" si="12"/>
        <v>100</v>
      </c>
      <c r="T40" s="1109" t="s">
        <v>1136</v>
      </c>
      <c r="U40" s="1110">
        <f t="shared" si="13"/>
        <v>100</v>
      </c>
      <c r="V40" s="1109" t="s">
        <v>1136</v>
      </c>
      <c r="W40" s="1110">
        <f t="shared" si="14"/>
        <v>100</v>
      </c>
      <c r="X40" s="1048"/>
      <c r="Y40" s="3447"/>
      <c r="Z40" s="1047" t="str">
        <f t="shared" si="18"/>
        <v>房型</v>
      </c>
      <c r="AA40" s="1047">
        <f t="shared" si="15"/>
        <v>1</v>
      </c>
      <c r="AB40" s="1047">
        <f t="shared" si="16"/>
        <v>1</v>
      </c>
      <c r="AC40" s="1047">
        <f t="shared" si="17"/>
        <v>1</v>
      </c>
    </row>
    <row r="41" spans="1:29" s="1013" customFormat="1" ht="28.8">
      <c r="A41" s="1159"/>
      <c r="B41" s="1079" t="s">
        <v>2182</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98"/>
      <c r="Q41" s="1383" t="str">
        <f t="shared" si="11"/>
        <v>单套/主力户型建筑面积</v>
      </c>
      <c r="R41" s="1147" t="s">
        <v>1136</v>
      </c>
      <c r="S41" s="1148">
        <f t="shared" si="12"/>
        <v>100</v>
      </c>
      <c r="T41" s="1147" t="s">
        <v>1136</v>
      </c>
      <c r="U41" s="1148">
        <f t="shared" si="13"/>
        <v>100</v>
      </c>
      <c r="V41" s="1147" t="s">
        <v>1136</v>
      </c>
      <c r="W41" s="1148">
        <f t="shared" si="14"/>
        <v>100</v>
      </c>
      <c r="X41" s="1149"/>
      <c r="Y41" s="3447"/>
      <c r="Z41" s="1150" t="str">
        <f t="shared" si="18"/>
        <v>单套/主力户型建筑面积</v>
      </c>
      <c r="AA41" s="1047">
        <f t="shared" si="15"/>
        <v>1</v>
      </c>
      <c r="AB41" s="1047">
        <f t="shared" si="16"/>
        <v>1</v>
      </c>
      <c r="AC41" s="1047">
        <f t="shared" si="17"/>
        <v>1</v>
      </c>
    </row>
    <row r="42" spans="1:29" ht="15">
      <c r="A42" s="1154"/>
      <c r="B42" s="1079" t="s">
        <v>2183</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98"/>
      <c r="Q42" s="707" t="str">
        <f t="shared" si="11"/>
        <v>内部装修</v>
      </c>
      <c r="R42" s="1109" t="s">
        <v>1136</v>
      </c>
      <c r="S42" s="1110">
        <f t="shared" si="12"/>
        <v>100</v>
      </c>
      <c r="T42" s="1109" t="s">
        <v>1136</v>
      </c>
      <c r="U42" s="1110">
        <f t="shared" si="13"/>
        <v>100</v>
      </c>
      <c r="V42" s="1109" t="s">
        <v>1136</v>
      </c>
      <c r="W42" s="1110">
        <f t="shared" si="14"/>
        <v>100</v>
      </c>
      <c r="X42" s="1048"/>
      <c r="Y42" s="3447"/>
      <c r="Z42" s="1047" t="str">
        <f t="shared" si="18"/>
        <v>内部装修</v>
      </c>
      <c r="AA42" s="1047">
        <f t="shared" si="15"/>
        <v>1</v>
      </c>
      <c r="AB42" s="1047">
        <f t="shared" si="16"/>
        <v>1</v>
      </c>
      <c r="AC42" s="1047">
        <f t="shared" si="17"/>
        <v>1</v>
      </c>
    </row>
    <row r="43" spans="1:29" ht="28.8">
      <c r="A43" s="1154"/>
      <c r="B43" s="1079" t="s">
        <v>2184</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98"/>
      <c r="Q43" s="707" t="str">
        <f t="shared" si="11"/>
        <v>内部装修维护情况</v>
      </c>
      <c r="R43" s="1109" t="s">
        <v>1136</v>
      </c>
      <c r="S43" s="1110">
        <f t="shared" si="12"/>
        <v>100</v>
      </c>
      <c r="T43" s="1109" t="s">
        <v>1136</v>
      </c>
      <c r="U43" s="1110">
        <f t="shared" si="13"/>
        <v>100</v>
      </c>
      <c r="V43" s="1109" t="s">
        <v>1136</v>
      </c>
      <c r="W43" s="1110">
        <f t="shared" si="14"/>
        <v>100</v>
      </c>
      <c r="X43" s="1048"/>
      <c r="Y43" s="3447"/>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98"/>
      <c r="Q44" s="811">
        <f t="shared" si="11"/>
        <v>111</v>
      </c>
      <c r="R44" s="1067" t="s">
        <v>1136</v>
      </c>
      <c r="S44" s="1068">
        <f t="shared" si="12"/>
        <v>100</v>
      </c>
      <c r="T44" s="1067" t="s">
        <v>1136</v>
      </c>
      <c r="U44" s="1068">
        <f t="shared" si="13"/>
        <v>100</v>
      </c>
      <c r="V44" s="1067" t="s">
        <v>1136</v>
      </c>
      <c r="W44" s="1068">
        <f t="shared" si="14"/>
        <v>100</v>
      </c>
      <c r="X44" s="1069"/>
      <c r="Y44" s="3447"/>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98"/>
      <c r="Q45" s="707">
        <f t="shared" si="11"/>
        <v>111</v>
      </c>
      <c r="R45" s="1109" t="s">
        <v>1136</v>
      </c>
      <c r="S45" s="1110">
        <f t="shared" si="12"/>
        <v>100</v>
      </c>
      <c r="T45" s="1109" t="s">
        <v>1136</v>
      </c>
      <c r="U45" s="1110">
        <f t="shared" si="13"/>
        <v>100</v>
      </c>
      <c r="V45" s="1109" t="s">
        <v>1136</v>
      </c>
      <c r="W45" s="1110">
        <f t="shared" si="14"/>
        <v>100</v>
      </c>
      <c r="X45" s="1048"/>
      <c r="Y45" s="3447"/>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99"/>
      <c r="Q46" s="707">
        <f t="shared" si="11"/>
        <v>111</v>
      </c>
      <c r="R46" s="1109" t="s">
        <v>1136</v>
      </c>
      <c r="S46" s="1110">
        <f t="shared" si="12"/>
        <v>100</v>
      </c>
      <c r="T46" s="1109" t="s">
        <v>1136</v>
      </c>
      <c r="U46" s="1110">
        <f t="shared" si="13"/>
        <v>100</v>
      </c>
      <c r="V46" s="1109" t="s">
        <v>1136</v>
      </c>
      <c r="W46" s="1110">
        <f t="shared" si="14"/>
        <v>100</v>
      </c>
      <c r="X46" s="1048"/>
      <c r="Y46" s="3500"/>
      <c r="Z46" s="1047">
        <f t="shared" si="18"/>
        <v>111</v>
      </c>
      <c r="AA46" s="1047">
        <f t="shared" si="15"/>
        <v>1</v>
      </c>
      <c r="AB46" s="1047">
        <f t="shared" si="16"/>
        <v>1</v>
      </c>
      <c r="AC46" s="1047">
        <f t="shared" si="17"/>
        <v>1</v>
      </c>
    </row>
    <row r="47" spans="1:29" ht="14.4">
      <c r="A47" s="1162" t="s">
        <v>2185</v>
      </c>
      <c r="B47" s="1388"/>
      <c r="C47" s="1389" t="s">
        <v>124</v>
      </c>
      <c r="D47" s="1165"/>
      <c r="E47" s="1166"/>
      <c r="F47" s="1167"/>
      <c r="G47" s="1168"/>
      <c r="H47" s="1169"/>
      <c r="I47" s="1166"/>
      <c r="J47" s="1169"/>
      <c r="K47" s="1569"/>
      <c r="L47" s="1171"/>
      <c r="M47" s="1044"/>
      <c r="N47" s="1044"/>
      <c r="O47" s="1044"/>
      <c r="P47" s="3438" t="str">
        <f>A47</f>
        <v>成交单价（元/平方米）</v>
      </c>
      <c r="Q47" s="3438"/>
      <c r="R47" s="3439">
        <f>E47</f>
        <v>0</v>
      </c>
      <c r="S47" s="3439"/>
      <c r="T47" s="3439">
        <f>G47</f>
        <v>0</v>
      </c>
      <c r="U47" s="3439"/>
      <c r="V47" s="3439">
        <f>I47</f>
        <v>0</v>
      </c>
      <c r="W47" s="3439"/>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570">
        <f>F48+H48+J48</f>
        <v>0</v>
      </c>
      <c r="L48" s="1171"/>
      <c r="M48" s="1044"/>
      <c r="N48" s="1044"/>
      <c r="O48" s="104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172"/>
      <c r="Y48" s="1172"/>
      <c r="Z48" s="1172"/>
      <c r="AA48" s="1172"/>
      <c r="AB48" s="1172"/>
      <c r="AC48" s="1172"/>
    </row>
    <row r="49" spans="1:29" ht="14.4">
      <c r="A49" s="1181" t="s">
        <v>2186</v>
      </c>
      <c r="B49" s="1182"/>
      <c r="C49" s="1571" t="e">
        <f>R49</f>
        <v>#DIV/0!</v>
      </c>
      <c r="D49" s="1053"/>
      <c r="E49" s="1053"/>
      <c r="F49" s="1053"/>
      <c r="G49" s="1053"/>
      <c r="H49" s="1053"/>
      <c r="I49" s="1053"/>
      <c r="J49" s="1053"/>
      <c r="K49" s="1572"/>
      <c r="L49" s="1171"/>
      <c r="M49" s="1044"/>
      <c r="N49" s="1044"/>
      <c r="O49" s="1044"/>
      <c r="P49" s="3441" t="str">
        <f>A49</f>
        <v>估价对象XX用房的比较价值（楼面单价，元/平方米）</v>
      </c>
      <c r="Q49" s="3442"/>
      <c r="R49" s="3494" t="e">
        <f>IF(F1="售价",ROUND(IF(D48="简单平均",AVERAGE(R48:V48),R48*F48+T48*H48+V48*J48),0),ROUND(IF(D48="简单平均",AVERAGE(R48:V48),R48*F48+T48*H48+V48*J48),1))</f>
        <v>#DIV/0!</v>
      </c>
      <c r="S49" s="3494"/>
      <c r="T49" s="3494"/>
      <c r="U49" s="3494"/>
      <c r="V49" s="3494"/>
      <c r="W49" s="34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1213</v>
      </c>
      <c r="B57" s="1172"/>
      <c r="C57" s="1234"/>
      <c r="D57" s="1234"/>
      <c r="E57" s="1234"/>
      <c r="F57" s="1235"/>
      <c r="G57" s="1235"/>
      <c r="H57" s="1234"/>
      <c r="I57" s="1234"/>
      <c r="J57" s="1234"/>
      <c r="K57" s="1447"/>
      <c r="L57" s="1448"/>
      <c r="M57" s="1238"/>
      <c r="N57" s="1238"/>
      <c r="O57" s="1238"/>
      <c r="P57" s="1574"/>
      <c r="Q57" s="1489"/>
    </row>
    <row r="58" spans="1:29" s="1016" customFormat="1" ht="14.4">
      <c r="A58" s="1394" t="s">
        <v>1134</v>
      </c>
      <c r="B58" s="1395"/>
      <c r="C58" s="1575" t="str">
        <f>YEAR(C7)&amp;"-"&amp;MONTH(C7)</f>
        <v>2026-1</v>
      </c>
      <c r="D58" s="1397">
        <f>EDATE(C58,-1)</f>
        <v>45992</v>
      </c>
      <c r="E58" s="1397">
        <f>EDATE(D58,-1)</f>
        <v>45962</v>
      </c>
      <c r="F58" s="1397">
        <f t="shared" ref="F58:O58" si="19">EDATE(E58,-1)</f>
        <v>45931</v>
      </c>
      <c r="G58" s="1397">
        <f t="shared" si="19"/>
        <v>45901</v>
      </c>
      <c r="H58" s="1397">
        <f t="shared" si="19"/>
        <v>45870</v>
      </c>
      <c r="I58" s="1397">
        <f t="shared" si="19"/>
        <v>45839</v>
      </c>
      <c r="J58" s="1397">
        <f t="shared" si="19"/>
        <v>45809</v>
      </c>
      <c r="K58" s="1397">
        <f t="shared" si="19"/>
        <v>45778</v>
      </c>
      <c r="L58" s="1397">
        <f t="shared" si="19"/>
        <v>45748</v>
      </c>
      <c r="M58" s="1397">
        <f t="shared" si="19"/>
        <v>45717</v>
      </c>
      <c r="N58" s="1397">
        <f t="shared" si="19"/>
        <v>45689</v>
      </c>
      <c r="O58" s="1397">
        <f t="shared" si="19"/>
        <v>45658</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1216</v>
      </c>
      <c r="B60" s="1250"/>
      <c r="C60" s="1251"/>
      <c r="D60" s="1252"/>
      <c r="E60" s="1252"/>
      <c r="F60" s="1252"/>
      <c r="G60" s="1252"/>
      <c r="H60" s="1252"/>
      <c r="I60" s="1252"/>
      <c r="J60" s="1252"/>
      <c r="K60" s="1252"/>
      <c r="L60" s="1252"/>
      <c r="M60" s="1253"/>
      <c r="N60" s="1252"/>
      <c r="O60" s="1253"/>
      <c r="P60" s="1578"/>
      <c r="Q60" s="1489"/>
    </row>
    <row r="61" spans="1:29" s="1011" customFormat="1" ht="14.4">
      <c r="A61" s="1255" t="s">
        <v>1137</v>
      </c>
      <c r="B61" s="1256"/>
      <c r="C61" s="1257" t="s">
        <v>1138</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1217</v>
      </c>
      <c r="B63" s="1265" t="s">
        <v>1142</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1147</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1148</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1153</v>
      </c>
      <c r="B76" s="1265" t="s">
        <v>1154</v>
      </c>
      <c r="C76" s="1308" t="s">
        <v>1219</v>
      </c>
      <c r="D76" s="1308" t="s">
        <v>1220</v>
      </c>
      <c r="E76" s="1308" t="s">
        <v>1221</v>
      </c>
      <c r="F76" s="1308" t="s">
        <v>1222</v>
      </c>
      <c r="G76" s="1308" t="s">
        <v>1223</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1159</v>
      </c>
      <c r="C78" s="1313" t="s">
        <v>1219</v>
      </c>
      <c r="D78" s="1313" t="s">
        <v>1220</v>
      </c>
      <c r="E78" s="1313" t="s">
        <v>1221</v>
      </c>
      <c r="F78" s="1313" t="s">
        <v>1222</v>
      </c>
      <c r="G78" s="1313" t="s">
        <v>1223</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1163</v>
      </c>
      <c r="C80" s="1313" t="s">
        <v>1219</v>
      </c>
      <c r="D80" s="1313" t="s">
        <v>1220</v>
      </c>
      <c r="E80" s="1313" t="s">
        <v>1221</v>
      </c>
      <c r="F80" s="1313" t="s">
        <v>1222</v>
      </c>
      <c r="G80" s="1313" t="s">
        <v>1223</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1164</v>
      </c>
      <c r="C82" s="1275" t="s">
        <v>1224</v>
      </c>
      <c r="D82" s="1275" t="s">
        <v>1225</v>
      </c>
      <c r="E82" s="1275" t="s">
        <v>1226</v>
      </c>
      <c r="F82" s="1275" t="s">
        <v>1227</v>
      </c>
      <c r="G82" s="1275" t="s">
        <v>1228</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2171</v>
      </c>
      <c r="C84" s="1313" t="s">
        <v>1219</v>
      </c>
      <c r="D84" s="1313" t="s">
        <v>1220</v>
      </c>
      <c r="E84" s="1313" t="s">
        <v>1221</v>
      </c>
      <c r="F84" s="1313" t="s">
        <v>1222</v>
      </c>
      <c r="G84" s="1313" t="s">
        <v>1223</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2172</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2173</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1172</v>
      </c>
      <c r="B100" s="1265" t="s">
        <v>2174</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2175</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2176</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2177</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2178</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766</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2179</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2180</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2181</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2182</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2183</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2184</v>
      </c>
      <c r="C124" s="1313" t="s">
        <v>1219</v>
      </c>
      <c r="D124" s="1313" t="s">
        <v>1220</v>
      </c>
      <c r="E124" s="1313" t="s">
        <v>1221</v>
      </c>
      <c r="F124" s="1313" t="s">
        <v>1222</v>
      </c>
      <c r="G124" s="1313" t="s">
        <v>1223</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2187</v>
      </c>
    </row>
    <row r="137" spans="1:17" ht="15">
      <c r="B137" s="1588" t="s">
        <v>2188</v>
      </c>
      <c r="C137" s="1589"/>
      <c r="D137" s="1589"/>
      <c r="E137" s="1589"/>
      <c r="F137" s="1589"/>
      <c r="G137" s="1590"/>
      <c r="H137" s="1591"/>
      <c r="I137" s="1592" t="s">
        <v>2189</v>
      </c>
      <c r="J137" s="1589"/>
      <c r="K137" s="1593"/>
    </row>
    <row r="138" spans="1:17" ht="15">
      <c r="B138" s="1594"/>
      <c r="C138" s="1595" t="s">
        <v>2190</v>
      </c>
      <c r="D138" s="1595" t="s">
        <v>2191</v>
      </c>
      <c r="E138" s="1596" t="s">
        <v>2192</v>
      </c>
      <c r="F138" s="1597" t="s">
        <v>2193</v>
      </c>
      <c r="G138" s="1595" t="s">
        <v>2191</v>
      </c>
      <c r="H138" s="1598" t="s">
        <v>2192</v>
      </c>
      <c r="I138" s="1599"/>
      <c r="J138" s="1595" t="s">
        <v>2194</v>
      </c>
      <c r="K138" s="1598" t="s">
        <v>2195</v>
      </c>
    </row>
    <row r="139" spans="1:17" ht="15">
      <c r="B139" s="1600">
        <v>6</v>
      </c>
      <c r="C139" s="1601">
        <v>96</v>
      </c>
      <c r="D139" s="1602" t="s">
        <v>2196</v>
      </c>
      <c r="E139" s="1603">
        <v>100</v>
      </c>
      <c r="F139" s="1604">
        <v>102.5</v>
      </c>
      <c r="G139" s="1602" t="s">
        <v>2196</v>
      </c>
      <c r="H139" s="1605">
        <v>105</v>
      </c>
      <c r="I139" s="1606" t="s">
        <v>2197</v>
      </c>
      <c r="J139" s="1601">
        <v>20</v>
      </c>
      <c r="K139" s="1607">
        <f>C145/(J139-2)</f>
        <v>4.0555555555555596E-3</v>
      </c>
    </row>
    <row r="140" spans="1:17" ht="15">
      <c r="B140" s="1608">
        <v>5</v>
      </c>
      <c r="C140" s="1609">
        <v>100</v>
      </c>
      <c r="D140" s="1609"/>
      <c r="E140" s="1610"/>
      <c r="F140" s="1611">
        <v>102</v>
      </c>
      <c r="G140" s="1609"/>
      <c r="H140" s="1612"/>
      <c r="I140" s="1613" t="s">
        <v>2198</v>
      </c>
      <c r="J140" s="419">
        <f>ROUNDUP((J139-1)/2,0)</f>
        <v>10</v>
      </c>
      <c r="K140" s="1614">
        <v>100</v>
      </c>
    </row>
    <row r="141" spans="1:17" ht="15">
      <c r="B141" s="1608">
        <v>4</v>
      </c>
      <c r="C141" s="1609">
        <v>102</v>
      </c>
      <c r="D141" s="1609"/>
      <c r="E141" s="1610"/>
      <c r="F141" s="1611">
        <v>101.5</v>
      </c>
      <c r="G141" s="1609"/>
      <c r="H141" s="1612"/>
      <c r="I141" s="1613" t="s">
        <v>2199</v>
      </c>
      <c r="J141" s="419">
        <v>1</v>
      </c>
      <c r="K141" s="1615">
        <f>ROUND(100+(J141-J140)*K139*100,1)</f>
        <v>96.4</v>
      </c>
    </row>
    <row r="142" spans="1:17" ht="15">
      <c r="B142" s="1608">
        <v>3</v>
      </c>
      <c r="C142" s="1609">
        <v>103</v>
      </c>
      <c r="D142" s="1609"/>
      <c r="E142" s="1610"/>
      <c r="F142" s="1611">
        <v>101</v>
      </c>
      <c r="G142" s="1609"/>
      <c r="H142" s="1612"/>
      <c r="I142" s="1613" t="s">
        <v>2200</v>
      </c>
      <c r="J142" s="419">
        <f>J139</f>
        <v>20</v>
      </c>
      <c r="K142" s="1616">
        <v>95</v>
      </c>
    </row>
    <row r="143" spans="1:17" ht="15">
      <c r="B143" s="1608">
        <v>2</v>
      </c>
      <c r="C143" s="1609">
        <v>100</v>
      </c>
      <c r="D143" s="1609"/>
      <c r="E143" s="1610"/>
      <c r="F143" s="1611">
        <v>100.5</v>
      </c>
      <c r="G143" s="1609"/>
      <c r="H143" s="1612"/>
      <c r="I143" s="1613" t="s">
        <v>2201</v>
      </c>
      <c r="J143" s="1609">
        <v>15</v>
      </c>
      <c r="K143" s="1615">
        <f>ROUND(100+(J143-J140)*K139*100,1)</f>
        <v>102</v>
      </c>
    </row>
    <row r="144" spans="1:17" ht="15">
      <c r="B144" s="1608">
        <v>1</v>
      </c>
      <c r="C144" s="1609">
        <v>98</v>
      </c>
      <c r="D144" s="1617" t="s">
        <v>2202</v>
      </c>
      <c r="E144" s="1610">
        <v>102</v>
      </c>
      <c r="F144" s="1618">
        <v>100</v>
      </c>
      <c r="G144" s="1617" t="s">
        <v>2202</v>
      </c>
      <c r="H144" s="1612">
        <v>105</v>
      </c>
      <c r="I144" s="1613" t="s">
        <v>2201</v>
      </c>
      <c r="J144" s="1609">
        <v>18</v>
      </c>
      <c r="K144" s="1615">
        <f>ROUND(100+(J144-J140)*K139*100,1)</f>
        <v>103.2</v>
      </c>
    </row>
    <row r="145" spans="2:11" ht="15.6">
      <c r="B145" s="594" t="s">
        <v>2203</v>
      </c>
      <c r="C145" s="1619">
        <f>ROUND(MAX(C139:C144)/MIN(C139:C144)-1,3)</f>
        <v>7.2999999999999995E-2</v>
      </c>
      <c r="D145" s="1620"/>
      <c r="E145" s="1620"/>
      <c r="F145" s="1621" t="s">
        <v>2204</v>
      </c>
      <c r="G145" s="1516"/>
      <c r="H145" s="1517"/>
      <c r="I145" s="1622" t="s">
        <v>2201</v>
      </c>
      <c r="J145" s="1623">
        <v>8</v>
      </c>
      <c r="K145" s="1624">
        <f>ROUND(100+(J145-J140)*K139*100,1)</f>
        <v>99.2</v>
      </c>
    </row>
    <row r="147" spans="2:11" ht="14.4">
      <c r="B147" s="1587" t="s">
        <v>2205</v>
      </c>
    </row>
    <row r="148" spans="2:11" ht="14.4">
      <c r="B148" s="1587" t="s">
        <v>2206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208" t="s">
        <v>82</v>
      </c>
    </row>
    <row r="3" spans="1:1" ht="17.399999999999999">
      <c r="A3" s="3209" t="str">
        <f>项目基本情况!B5&amp;"："</f>
        <v>：</v>
      </c>
    </row>
    <row r="4" spans="1:1" ht="34.799999999999997">
      <c r="A4" s="3210" t="str">
        <f>"受贵公司委托，我公司对"&amp;项目基本情况!S1&amp;"进行了预评估。"</f>
        <v>受贵公司委托，我公司对北京市北京经济技术开发区兴海路1号院1号楼-3至6层商业、地下车库用房房地产抵押价值进行了预评估。</v>
      </c>
    </row>
    <row r="5" spans="1:1" ht="17.399999999999999">
      <c r="A5" s="3211" t="s">
        <v>83</v>
      </c>
    </row>
    <row r="6" spans="1:1" ht="17.399999999999999">
      <c r="A6" s="3212" t="s">
        <v>84</v>
      </c>
    </row>
    <row r="7" spans="1:1" ht="69.599999999999994">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4.6">
      <c r="A8" s="3213" t="s">
        <v>85</v>
      </c>
    </row>
    <row r="9" spans="1:1" ht="17.399999999999999">
      <c r="A9" s="3212" t="s">
        <v>86</v>
      </c>
    </row>
    <row r="10" spans="1:1" ht="69.599999999999994">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spans="1:1" ht="72">
      <c r="A11" s="3213" t="s">
        <v>87</v>
      </c>
    </row>
    <row r="12" spans="1:1" ht="17.399999999999999">
      <c r="A12" s="3211" t="s">
        <v>88</v>
      </c>
    </row>
    <row r="13" spans="1:1" ht="38.25" customHeight="1">
      <c r="A13" s="3210"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9" t="s">
        <v>89</v>
      </c>
    </row>
    <row r="15" spans="1:1" ht="17.399999999999999">
      <c r="A15" s="3214" t="str">
        <f>TEXT(项目基本情况!D3,"yyyy年m月d日;;")&amp;IF(项目基本情况!D3=项目基本情况!B3,"（评估专业人员实地查勘之日）","")</f>
        <v>2026年1月4日</v>
      </c>
    </row>
    <row r="16" spans="1:1" ht="17.399999999999999">
      <c r="A16" s="3209" t="s">
        <v>90</v>
      </c>
    </row>
    <row r="17" spans="1:1" ht="69.599999999999994">
      <c r="A17" s="3210" t="s">
        <v>91</v>
      </c>
    </row>
    <row r="18" spans="1:1" ht="69.599999999999994">
      <c r="A18" s="32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9" spans="1:1" ht="157.5" customHeight="1">
      <c r="A19" s="32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9" t="s">
        <v>92</v>
      </c>
    </row>
    <row r="24" spans="1:1" ht="17.399999999999999">
      <c r="A24" s="3184" t="str">
        <f>"本次评估采用的主估价方法为"&amp;结果表!K4&amp;"和"&amp;结果表!L4&amp;"。"</f>
        <v>本次评估采用的主估价方法为成本法和收益法。</v>
      </c>
    </row>
    <row r="25" spans="1:1" ht="17.399999999999999">
      <c r="A25" s="3184"/>
    </row>
    <row r="26" spans="1:1" ht="17.399999999999999">
      <c r="A26" s="321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2207</v>
      </c>
      <c r="C1" s="1352" t="s">
        <v>2167</v>
      </c>
      <c r="D1" s="1345"/>
      <c r="E1" s="1525"/>
      <c r="F1" s="1347"/>
      <c r="G1" s="1348" t="s">
        <v>1120</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1121</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1122</v>
      </c>
      <c r="B3" s="1035">
        <f>IF(C2="——",C49,ROUND(B2*10000/D3,0))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39" t="s">
        <v>1127</v>
      </c>
      <c r="AC4" s="3448" t="s">
        <v>1128</v>
      </c>
    </row>
    <row r="5" spans="1:29">
      <c r="A5" s="1049"/>
      <c r="B5" s="1050"/>
      <c r="C5" s="3427" t="s">
        <v>1131</v>
      </c>
      <c r="D5" s="3428"/>
      <c r="E5" s="3429" t="s">
        <v>2168</v>
      </c>
      <c r="F5" s="3430"/>
      <c r="G5" s="3427" t="s">
        <v>2169</v>
      </c>
      <c r="H5" s="3428"/>
      <c r="I5" s="3427" t="s">
        <v>2170</v>
      </c>
      <c r="J5" s="3428"/>
      <c r="K5" s="1042"/>
      <c r="L5" s="1043"/>
      <c r="M5" s="1044"/>
      <c r="N5" s="1044"/>
      <c r="O5" s="1044"/>
      <c r="P5" s="3453"/>
      <c r="Q5" s="3454"/>
      <c r="R5" s="3459"/>
      <c r="S5" s="3460"/>
      <c r="T5" s="3459"/>
      <c r="U5" s="3460"/>
      <c r="V5" s="3439"/>
      <c r="W5" s="3439"/>
      <c r="X5" s="1048"/>
      <c r="Y5" s="3459"/>
      <c r="Z5" s="3460"/>
      <c r="AA5" s="3449"/>
      <c r="AB5" s="3439"/>
      <c r="AC5" s="3449"/>
    </row>
    <row r="6" spans="1:29" ht="14.4">
      <c r="A6" s="1052"/>
      <c r="B6" s="1053"/>
      <c r="C6" s="3431" t="s">
        <v>1132</v>
      </c>
      <c r="D6" s="3432"/>
      <c r="E6" s="3433" t="s">
        <v>1132</v>
      </c>
      <c r="F6" s="3434"/>
      <c r="G6" s="3431" t="s">
        <v>1132</v>
      </c>
      <c r="H6" s="3432"/>
      <c r="I6" s="3431" t="s">
        <v>1132</v>
      </c>
      <c r="J6" s="3432"/>
      <c r="K6" s="1042" t="s">
        <v>1133</v>
      </c>
      <c r="L6" s="1043"/>
      <c r="M6" s="1044"/>
      <c r="N6" s="1044"/>
      <c r="O6" s="1044"/>
      <c r="P6" s="3455"/>
      <c r="Q6" s="3456"/>
      <c r="R6" s="3459"/>
      <c r="S6" s="3460"/>
      <c r="T6" s="3461"/>
      <c r="U6" s="3462"/>
      <c r="V6" s="3439"/>
      <c r="W6" s="3439"/>
      <c r="X6" s="1048"/>
      <c r="Y6" s="3461"/>
      <c r="Z6" s="3462"/>
      <c r="AA6" s="3450"/>
      <c r="AB6" s="3439"/>
      <c r="AC6" s="3450"/>
    </row>
    <row r="7" spans="1:29" s="1011" customFormat="1" ht="14.4">
      <c r="A7" s="1056" t="s">
        <v>1134</v>
      </c>
      <c r="B7" s="1057"/>
      <c r="C7" s="1058">
        <f>'数据-取费表'!B2</f>
        <v>46026</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6" si="3">D8/F8</f>
        <v>1</v>
      </c>
      <c r="AB8" s="1071">
        <f t="shared" ref="AB8:AB46" si="4">D8/H8</f>
        <v>1</v>
      </c>
      <c r="AC8" s="1071">
        <f t="shared" ref="AC8:AC46" si="5">D8/J8</f>
        <v>1</v>
      </c>
    </row>
    <row r="9" spans="1:29" s="1011" customFormat="1" ht="14.4">
      <c r="A9" s="1073" t="s">
        <v>1141</v>
      </c>
      <c r="B9" s="1074" t="s">
        <v>1142</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464" t="s">
        <v>1145</v>
      </c>
      <c r="Q9" s="811" t="str">
        <f t="shared" ref="Q9:Q15" si="6">B9</f>
        <v>用途</v>
      </c>
      <c r="R9" s="1067" t="s">
        <v>1136</v>
      </c>
      <c r="S9" s="1068">
        <f t="shared" si="0"/>
        <v>100</v>
      </c>
      <c r="T9" s="1067" t="s">
        <v>1136</v>
      </c>
      <c r="U9" s="1068">
        <f t="shared" si="1"/>
        <v>100</v>
      </c>
      <c r="V9" s="1067" t="s">
        <v>1136</v>
      </c>
      <c r="W9" s="1068">
        <f t="shared" si="2"/>
        <v>100</v>
      </c>
      <c r="X9" s="1069"/>
      <c r="Y9" s="3404"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464"/>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64"/>
      <c r="Q11" s="811" t="str">
        <f t="shared" si="6"/>
        <v>容积率</v>
      </c>
      <c r="R11" s="1067" t="s">
        <v>1136</v>
      </c>
      <c r="S11" s="1068" t="e">
        <f t="shared" si="0"/>
        <v>#N/A</v>
      </c>
      <c r="T11" s="1067" t="s">
        <v>1136</v>
      </c>
      <c r="U11" s="1068" t="e">
        <f t="shared" si="1"/>
        <v>#N/A</v>
      </c>
      <c r="V11" s="1067" t="s">
        <v>1136</v>
      </c>
      <c r="W11" s="1068" t="e">
        <f t="shared" si="2"/>
        <v>#N/A</v>
      </c>
      <c r="X11" s="1069"/>
      <c r="Y11" s="340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64"/>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64"/>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464"/>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071">
        <f t="shared" si="5"/>
        <v>1</v>
      </c>
    </row>
    <row r="15" spans="1:29" ht="69">
      <c r="A15" s="1103" t="s">
        <v>1153</v>
      </c>
      <c r="B15" s="1367" t="s">
        <v>1156</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95" t="s">
        <v>1155</v>
      </c>
      <c r="Q15" s="707" t="str">
        <f t="shared" si="6"/>
        <v>商业繁华度</v>
      </c>
      <c r="R15" s="1109" t="s">
        <v>1136</v>
      </c>
      <c r="S15" s="1110">
        <f t="shared" si="0"/>
        <v>100</v>
      </c>
      <c r="T15" s="1109" t="s">
        <v>1136</v>
      </c>
      <c r="U15" s="1110">
        <f t="shared" si="1"/>
        <v>100</v>
      </c>
      <c r="V15" s="1109" t="s">
        <v>1136</v>
      </c>
      <c r="W15" s="1110">
        <f t="shared" si="2"/>
        <v>100</v>
      </c>
      <c r="X15" s="1048"/>
      <c r="Y15" s="3444" t="s">
        <v>1155</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96"/>
      <c r="Q16" s="707"/>
      <c r="R16" s="1109"/>
      <c r="S16" s="1110"/>
      <c r="T16" s="1109"/>
      <c r="U16" s="1110"/>
      <c r="V16" s="1109"/>
      <c r="W16" s="1110"/>
      <c r="X16" s="1048"/>
      <c r="Y16" s="3445"/>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4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96"/>
      <c r="Q18" s="707"/>
      <c r="R18" s="1109"/>
      <c r="S18" s="1110"/>
      <c r="T18" s="1109"/>
      <c r="U18" s="1110"/>
      <c r="V18" s="1109"/>
      <c r="W18" s="1110"/>
      <c r="X18" s="1048"/>
      <c r="Y18" s="3445"/>
      <c r="Z18" s="1047"/>
      <c r="AA18" s="1047">
        <v>1</v>
      </c>
      <c r="AB18" s="1047">
        <v>1</v>
      </c>
      <c r="AC18" s="1047">
        <v>1</v>
      </c>
    </row>
    <row r="19" spans="1:29" ht="41.4">
      <c r="A19" s="1086"/>
      <c r="B19" s="1371" t="s">
        <v>1163</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4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96"/>
      <c r="Q20" s="707"/>
      <c r="R20" s="1109"/>
      <c r="S20" s="1110"/>
      <c r="T20" s="1109"/>
      <c r="U20" s="1110"/>
      <c r="V20" s="1109"/>
      <c r="W20" s="1110"/>
      <c r="X20" s="1048"/>
      <c r="Y20" s="3445"/>
      <c r="Z20" s="1047"/>
      <c r="AA20" s="1047">
        <v>1</v>
      </c>
      <c r="AB20" s="1047">
        <v>1</v>
      </c>
      <c r="AC20" s="1047">
        <v>1</v>
      </c>
    </row>
    <row r="21" spans="1:29" ht="27.6">
      <c r="A21" s="1086"/>
      <c r="B21" s="1375" t="s">
        <v>1164</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4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96"/>
      <c r="Q22" s="707"/>
      <c r="R22" s="1109"/>
      <c r="S22" s="1110"/>
      <c r="T22" s="1109"/>
      <c r="U22" s="1110"/>
      <c r="V22" s="1109"/>
      <c r="W22" s="1110"/>
      <c r="X22" s="1048"/>
      <c r="Y22" s="3445"/>
      <c r="Z22" s="1047"/>
      <c r="AA22" s="1047">
        <v>1</v>
      </c>
      <c r="AB22" s="1047">
        <v>1</v>
      </c>
      <c r="AC22" s="1047">
        <v>1</v>
      </c>
    </row>
    <row r="23" spans="1:29" ht="55.2">
      <c r="A23" s="1086"/>
      <c r="B23" s="1371" t="s">
        <v>2171</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96"/>
      <c r="Q23" s="707" t="str">
        <f>B23</f>
        <v>自然及人文环境</v>
      </c>
      <c r="R23" s="1109" t="s">
        <v>1136</v>
      </c>
      <c r="S23" s="1110">
        <f>F23</f>
        <v>100</v>
      </c>
      <c r="T23" s="1109" t="s">
        <v>1136</v>
      </c>
      <c r="U23" s="1110">
        <f>H23</f>
        <v>100</v>
      </c>
      <c r="V23" s="1109" t="s">
        <v>1136</v>
      </c>
      <c r="W23" s="1110">
        <f>J23</f>
        <v>100</v>
      </c>
      <c r="X23" s="1048"/>
      <c r="Y23" s="3445"/>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96"/>
      <c r="Q24" s="707"/>
      <c r="R24" s="1109"/>
      <c r="S24" s="1110"/>
      <c r="T24" s="1109"/>
      <c r="U24" s="1110"/>
      <c r="V24" s="1109"/>
      <c r="W24" s="1110"/>
      <c r="X24" s="1048"/>
      <c r="Y24" s="3445"/>
      <c r="Z24" s="1047"/>
      <c r="AA24" s="1047">
        <v>1</v>
      </c>
      <c r="AB24" s="1047">
        <v>1</v>
      </c>
      <c r="AC24" s="1047">
        <v>1</v>
      </c>
    </row>
    <row r="25" spans="1:29" ht="15">
      <c r="A25" s="1086"/>
      <c r="B25" s="1079" t="s">
        <v>1165</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96"/>
      <c r="Q25" s="707" t="str">
        <f t="shared" ref="Q25:Q46" si="11">B25</f>
        <v>临街状况</v>
      </c>
      <c r="R25" s="1109" t="s">
        <v>1136</v>
      </c>
      <c r="S25" s="1110">
        <f>F25</f>
        <v>100</v>
      </c>
      <c r="T25" s="1109" t="s">
        <v>1136</v>
      </c>
      <c r="U25" s="1110">
        <f>H25</f>
        <v>100</v>
      </c>
      <c r="V25" s="1109" t="s">
        <v>1136</v>
      </c>
      <c r="W25" s="1110">
        <f>J25</f>
        <v>100</v>
      </c>
      <c r="X25" s="1048"/>
      <c r="Y25" s="3445"/>
      <c r="Z25" s="1047" t="str">
        <f>Q25</f>
        <v>临街状况</v>
      </c>
      <c r="AA25" s="1047">
        <f t="shared" si="3"/>
        <v>1</v>
      </c>
      <c r="AB25" s="1047">
        <f t="shared" si="4"/>
        <v>1</v>
      </c>
      <c r="AC25" s="1047">
        <f t="shared" si="5"/>
        <v>1</v>
      </c>
    </row>
    <row r="26" spans="1:29" ht="15">
      <c r="A26" s="1086"/>
      <c r="B26" s="1248" t="s">
        <v>2208</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96"/>
      <c r="Q26" s="707" t="str">
        <f t="shared" si="11"/>
        <v>平面位置/可视性</v>
      </c>
      <c r="R26" s="1109" t="s">
        <v>1136</v>
      </c>
      <c r="S26" s="1110">
        <f>F26</f>
        <v>100</v>
      </c>
      <c r="T26" s="1109" t="s">
        <v>1136</v>
      </c>
      <c r="U26" s="1110">
        <f>H26</f>
        <v>100</v>
      </c>
      <c r="V26" s="1109" t="s">
        <v>1136</v>
      </c>
      <c r="W26" s="1110">
        <f>J26</f>
        <v>100</v>
      </c>
      <c r="X26" s="1048"/>
      <c r="Y26" s="3445"/>
      <c r="Z26" s="1047" t="str">
        <f>Q26</f>
        <v>平面位置/可视性</v>
      </c>
      <c r="AA26" s="1047">
        <f t="shared" si="3"/>
        <v>1</v>
      </c>
      <c r="AB26" s="1047">
        <f t="shared" si="4"/>
        <v>1</v>
      </c>
      <c r="AC26" s="1047">
        <f t="shared" si="5"/>
        <v>1</v>
      </c>
    </row>
    <row r="27" spans="1:29" s="1011" customFormat="1" ht="15">
      <c r="A27" s="1092"/>
      <c r="B27" s="1371" t="s">
        <v>2209</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96"/>
      <c r="Q27" s="811" t="str">
        <f t="shared" si="11"/>
        <v>人流量</v>
      </c>
      <c r="R27" s="1067" t="s">
        <v>1136</v>
      </c>
      <c r="S27" s="1068">
        <f>F27</f>
        <v>100</v>
      </c>
      <c r="T27" s="1067" t="s">
        <v>1136</v>
      </c>
      <c r="U27" s="1068">
        <f>H27</f>
        <v>100</v>
      </c>
      <c r="V27" s="1067" t="s">
        <v>1136</v>
      </c>
      <c r="W27" s="1068">
        <f>J27</f>
        <v>100</v>
      </c>
      <c r="X27" s="1069"/>
      <c r="Y27" s="3445"/>
      <c r="Z27" s="1071" t="str">
        <f>Q27</f>
        <v>人流量</v>
      </c>
      <c r="AA27" s="1047">
        <f t="shared" si="3"/>
        <v>1</v>
      </c>
      <c r="AB27" s="1047">
        <f t="shared" si="4"/>
        <v>1</v>
      </c>
      <c r="AC27" s="1047">
        <f t="shared" si="5"/>
        <v>1</v>
      </c>
    </row>
    <row r="28" spans="1:29" ht="15">
      <c r="A28" s="1086"/>
      <c r="B28" s="1079" t="s">
        <v>2210</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96"/>
      <c r="Q28" s="707" t="str">
        <f t="shared" si="11"/>
        <v>楼层</v>
      </c>
      <c r="R28" s="1109" t="s">
        <v>1136</v>
      </c>
      <c r="S28" s="1110">
        <f t="shared" ref="S28:S46" si="12">F28</f>
        <v>100</v>
      </c>
      <c r="T28" s="1109" t="s">
        <v>1136</v>
      </c>
      <c r="U28" s="1110">
        <f t="shared" ref="U28:U46" si="13">H28</f>
        <v>100</v>
      </c>
      <c r="V28" s="1109" t="s">
        <v>1136</v>
      </c>
      <c r="W28" s="1110">
        <f t="shared" ref="W28:W46" si="14">J28</f>
        <v>100</v>
      </c>
      <c r="X28" s="1048"/>
      <c r="Y28" s="3445"/>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96"/>
      <c r="Q29" s="707">
        <f t="shared" si="11"/>
        <v>111</v>
      </c>
      <c r="R29" s="1109" t="s">
        <v>1136</v>
      </c>
      <c r="S29" s="1110">
        <f t="shared" si="12"/>
        <v>100</v>
      </c>
      <c r="T29" s="1109" t="s">
        <v>1136</v>
      </c>
      <c r="U29" s="1110">
        <f t="shared" si="13"/>
        <v>100</v>
      </c>
      <c r="V29" s="1109" t="s">
        <v>1136</v>
      </c>
      <c r="W29" s="1110">
        <f t="shared" si="14"/>
        <v>100</v>
      </c>
      <c r="X29" s="1048"/>
      <c r="Y29" s="3445"/>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45"/>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45"/>
      <c r="Z31" s="1047">
        <f t="shared" si="15"/>
        <v>111</v>
      </c>
      <c r="AA31" s="1047">
        <f t="shared" si="3"/>
        <v>1</v>
      </c>
      <c r="AB31" s="1047">
        <f t="shared" si="4"/>
        <v>1</v>
      </c>
      <c r="AC31" s="1047">
        <f t="shared" si="5"/>
        <v>1</v>
      </c>
    </row>
    <row r="32" spans="1:29" ht="15">
      <c r="A32" s="1103" t="s">
        <v>1172</v>
      </c>
      <c r="B32" s="1074" t="s">
        <v>2211</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97" t="s">
        <v>1171</v>
      </c>
      <c r="Q32" s="707" t="str">
        <f t="shared" si="11"/>
        <v>商业类型</v>
      </c>
      <c r="R32" s="1109" t="s">
        <v>1136</v>
      </c>
      <c r="S32" s="1110">
        <f t="shared" si="12"/>
        <v>100</v>
      </c>
      <c r="T32" s="1109" t="s">
        <v>1136</v>
      </c>
      <c r="U32" s="1110">
        <f t="shared" si="13"/>
        <v>100</v>
      </c>
      <c r="V32" s="1109" t="s">
        <v>1136</v>
      </c>
      <c r="W32" s="1110">
        <f t="shared" si="14"/>
        <v>100</v>
      </c>
      <c r="X32" s="1048"/>
      <c r="Y32" s="3447" t="s">
        <v>1171</v>
      </c>
      <c r="Z32" s="1047" t="str">
        <f t="shared" si="15"/>
        <v>商业类型</v>
      </c>
      <c r="AA32" s="1047">
        <f t="shared" si="3"/>
        <v>1</v>
      </c>
      <c r="AB32" s="1047">
        <f t="shared" si="4"/>
        <v>1</v>
      </c>
      <c r="AC32" s="1047">
        <f t="shared" si="5"/>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98"/>
      <c r="Q33" s="1383" t="str">
        <f t="shared" si="11"/>
        <v>项目建筑规模</v>
      </c>
      <c r="R33" s="1147" t="s">
        <v>1136</v>
      </c>
      <c r="S33" s="1148" t="e">
        <f t="shared" si="12"/>
        <v>#N/A</v>
      </c>
      <c r="T33" s="1147" t="s">
        <v>1136</v>
      </c>
      <c r="U33" s="1148" t="e">
        <f t="shared" si="13"/>
        <v>#N/A</v>
      </c>
      <c r="V33" s="1147" t="s">
        <v>1136</v>
      </c>
      <c r="W33" s="1148" t="e">
        <f t="shared" si="14"/>
        <v>#N/A</v>
      </c>
      <c r="X33" s="1149"/>
      <c r="Y33" s="3447"/>
      <c r="Z33" s="1150" t="str">
        <f t="shared" si="15"/>
        <v>项目建筑规模</v>
      </c>
      <c r="AA33" s="1047" t="e">
        <f t="shared" si="3"/>
        <v>#N/A</v>
      </c>
      <c r="AB33" s="1047" t="e">
        <f t="shared" si="4"/>
        <v>#N/A</v>
      </c>
      <c r="AC33" s="1047" t="e">
        <f t="shared" si="5"/>
        <v>#N/A</v>
      </c>
    </row>
    <row r="34" spans="1:29" ht="15">
      <c r="A34" s="1154"/>
      <c r="B34" s="1079" t="s">
        <v>2176</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98"/>
      <c r="Q34" s="707" t="str">
        <f t="shared" si="11"/>
        <v>建筑结构</v>
      </c>
      <c r="R34" s="1109" t="s">
        <v>1136</v>
      </c>
      <c r="S34" s="1110">
        <f t="shared" si="12"/>
        <v>100</v>
      </c>
      <c r="T34" s="1109" t="s">
        <v>1136</v>
      </c>
      <c r="U34" s="1110">
        <f t="shared" si="13"/>
        <v>100</v>
      </c>
      <c r="V34" s="1109" t="s">
        <v>1136</v>
      </c>
      <c r="W34" s="1110">
        <f t="shared" si="14"/>
        <v>100</v>
      </c>
      <c r="X34" s="1048"/>
      <c r="Y34" s="3447"/>
      <c r="Z34" s="1047" t="str">
        <f t="shared" si="15"/>
        <v>建筑结构</v>
      </c>
      <c r="AA34" s="1047">
        <f t="shared" si="3"/>
        <v>1</v>
      </c>
      <c r="AB34" s="1047">
        <f t="shared" si="4"/>
        <v>1</v>
      </c>
      <c r="AC34" s="1047">
        <f t="shared" si="5"/>
        <v>1</v>
      </c>
    </row>
    <row r="35" spans="1:29" ht="15">
      <c r="A35" s="1154"/>
      <c r="B35" s="1079" t="s">
        <v>2178</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98"/>
      <c r="Q35" s="707" t="str">
        <f t="shared" si="11"/>
        <v>公共部分装修</v>
      </c>
      <c r="R35" s="1109" t="s">
        <v>1136</v>
      </c>
      <c r="S35" s="1110">
        <f t="shared" si="12"/>
        <v>100</v>
      </c>
      <c r="T35" s="1109" t="s">
        <v>1136</v>
      </c>
      <c r="U35" s="1110">
        <f t="shared" si="13"/>
        <v>100</v>
      </c>
      <c r="V35" s="1109" t="s">
        <v>1136</v>
      </c>
      <c r="W35" s="1110">
        <f t="shared" si="14"/>
        <v>100</v>
      </c>
      <c r="X35" s="1048"/>
      <c r="Y35" s="3447"/>
      <c r="Z35" s="1047" t="str">
        <f t="shared" si="15"/>
        <v>公共部分装修</v>
      </c>
      <c r="AA35" s="1047">
        <f t="shared" si="3"/>
        <v>1</v>
      </c>
      <c r="AB35" s="1047">
        <f t="shared" si="4"/>
        <v>1</v>
      </c>
      <c r="AC35" s="1047">
        <f t="shared" si="5"/>
        <v>1</v>
      </c>
    </row>
    <row r="36" spans="1:29" ht="15">
      <c r="A36" s="1154"/>
      <c r="B36" s="1079" t="s">
        <v>766</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98"/>
      <c r="Q36" s="707" t="str">
        <f t="shared" si="11"/>
        <v>成新度</v>
      </c>
      <c r="R36" s="1109" t="s">
        <v>1136</v>
      </c>
      <c r="S36" s="1110" t="e">
        <f t="shared" si="12"/>
        <v>#N/A</v>
      </c>
      <c r="T36" s="1109" t="s">
        <v>1136</v>
      </c>
      <c r="U36" s="1110" t="e">
        <f t="shared" si="13"/>
        <v>#N/A</v>
      </c>
      <c r="V36" s="1109" t="s">
        <v>1136</v>
      </c>
      <c r="W36" s="1110" t="e">
        <f t="shared" si="14"/>
        <v>#N/A</v>
      </c>
      <c r="X36" s="1048"/>
      <c r="Y36" s="3447"/>
      <c r="Z36" s="1047" t="str">
        <f t="shared" si="15"/>
        <v>成新度</v>
      </c>
      <c r="AA36" s="1047" t="e">
        <f t="shared" si="3"/>
        <v>#N/A</v>
      </c>
      <c r="AB36" s="1047" t="e">
        <f t="shared" si="4"/>
        <v>#N/A</v>
      </c>
      <c r="AC36" s="1047" t="e">
        <f t="shared" si="5"/>
        <v>#N/A</v>
      </c>
    </row>
    <row r="37" spans="1:29" s="1011" customFormat="1" ht="15">
      <c r="A37" s="1156"/>
      <c r="B37" s="1079" t="s">
        <v>2180</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98"/>
      <c r="Q37" s="811" t="str">
        <f t="shared" si="11"/>
        <v>市政基础设施</v>
      </c>
      <c r="R37" s="1067" t="s">
        <v>1136</v>
      </c>
      <c r="S37" s="1068">
        <f t="shared" si="12"/>
        <v>100</v>
      </c>
      <c r="T37" s="1067" t="s">
        <v>1136</v>
      </c>
      <c r="U37" s="1068">
        <f t="shared" si="13"/>
        <v>100</v>
      </c>
      <c r="V37" s="1067" t="s">
        <v>1136</v>
      </c>
      <c r="W37" s="1068">
        <f t="shared" si="14"/>
        <v>100</v>
      </c>
      <c r="X37" s="1069"/>
      <c r="Y37" s="3447"/>
      <c r="Z37" s="1071" t="str">
        <f t="shared" si="15"/>
        <v>市政基础设施</v>
      </c>
      <c r="AA37" s="1071">
        <f t="shared" si="3"/>
        <v>1</v>
      </c>
      <c r="AB37" s="1071">
        <f t="shared" si="4"/>
        <v>1</v>
      </c>
      <c r="AC37" s="1071">
        <f t="shared" si="5"/>
        <v>1</v>
      </c>
    </row>
    <row r="38" spans="1:29" ht="15">
      <c r="A38" s="1154"/>
      <c r="B38" s="1079" t="s">
        <v>2212</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98" t="s">
        <v>1171</v>
      </c>
      <c r="Q38" s="707" t="str">
        <f t="shared" si="11"/>
        <v>业态</v>
      </c>
      <c r="R38" s="1109" t="s">
        <v>1136</v>
      </c>
      <c r="S38" s="1110">
        <f t="shared" si="12"/>
        <v>100</v>
      </c>
      <c r="T38" s="1109" t="s">
        <v>1136</v>
      </c>
      <c r="U38" s="1110">
        <f t="shared" si="13"/>
        <v>100</v>
      </c>
      <c r="V38" s="1109" t="s">
        <v>1136</v>
      </c>
      <c r="W38" s="1110">
        <f t="shared" si="14"/>
        <v>100</v>
      </c>
      <c r="X38" s="1048"/>
      <c r="Y38" s="3447" t="s">
        <v>1171</v>
      </c>
      <c r="Z38" s="1047" t="str">
        <f t="shared" si="15"/>
        <v>业态</v>
      </c>
      <c r="AA38" s="1047">
        <f t="shared" si="3"/>
        <v>1</v>
      </c>
      <c r="AB38" s="1047">
        <f t="shared" si="4"/>
        <v>1</v>
      </c>
      <c r="AC38" s="1047">
        <f t="shared" si="5"/>
        <v>1</v>
      </c>
    </row>
    <row r="39" spans="1:29" ht="15">
      <c r="A39" s="1154"/>
      <c r="B39" s="1079" t="s">
        <v>2213</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98"/>
      <c r="Q39" s="707" t="str">
        <f t="shared" si="11"/>
        <v>层高</v>
      </c>
      <c r="R39" s="1109" t="s">
        <v>1136</v>
      </c>
      <c r="S39" s="1110">
        <f t="shared" si="12"/>
        <v>100</v>
      </c>
      <c r="T39" s="1109" t="s">
        <v>1136</v>
      </c>
      <c r="U39" s="1110">
        <f t="shared" si="13"/>
        <v>100</v>
      </c>
      <c r="V39" s="1109" t="s">
        <v>1136</v>
      </c>
      <c r="W39" s="1110">
        <f t="shared" si="14"/>
        <v>100</v>
      </c>
      <c r="X39" s="1048"/>
      <c r="Y39" s="3447"/>
      <c r="Z39" s="1047" t="str">
        <f t="shared" si="15"/>
        <v>层高</v>
      </c>
      <c r="AA39" s="1047">
        <f t="shared" si="3"/>
        <v>1</v>
      </c>
      <c r="AB39" s="1047">
        <f t="shared" si="4"/>
        <v>1</v>
      </c>
      <c r="AC39" s="1047">
        <f t="shared" si="5"/>
        <v>1</v>
      </c>
    </row>
    <row r="40" spans="1:29" ht="15">
      <c r="A40" s="1154"/>
      <c r="B40" s="1079" t="s">
        <v>2214</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98"/>
      <c r="Q40" s="707" t="str">
        <f t="shared" si="11"/>
        <v>单套建筑面积</v>
      </c>
      <c r="R40" s="1109" t="s">
        <v>1136</v>
      </c>
      <c r="S40" s="1110">
        <f t="shared" si="12"/>
        <v>100</v>
      </c>
      <c r="T40" s="1109" t="s">
        <v>1136</v>
      </c>
      <c r="U40" s="1110">
        <f t="shared" si="13"/>
        <v>100</v>
      </c>
      <c r="V40" s="1109" t="s">
        <v>1136</v>
      </c>
      <c r="W40" s="1110">
        <f t="shared" si="14"/>
        <v>100</v>
      </c>
      <c r="X40" s="1048"/>
      <c r="Y40" s="3447"/>
      <c r="Z40" s="1047" t="str">
        <f t="shared" si="15"/>
        <v>单套建筑面积</v>
      </c>
      <c r="AA40" s="1047">
        <f t="shared" si="3"/>
        <v>1</v>
      </c>
      <c r="AB40" s="1047">
        <f t="shared" si="4"/>
        <v>1</v>
      </c>
      <c r="AC40" s="1047">
        <f t="shared" si="5"/>
        <v>1</v>
      </c>
    </row>
    <row r="41" spans="1:29" s="1013" customFormat="1" ht="15">
      <c r="A41" s="1159"/>
      <c r="B41" s="1185" t="s">
        <v>2215</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98"/>
      <c r="Q41" s="1383" t="str">
        <f t="shared" si="11"/>
        <v>进深比</v>
      </c>
      <c r="R41" s="1147" t="s">
        <v>1136</v>
      </c>
      <c r="S41" s="1148">
        <f t="shared" si="12"/>
        <v>100</v>
      </c>
      <c r="T41" s="1147" t="s">
        <v>1136</v>
      </c>
      <c r="U41" s="1148">
        <f t="shared" si="13"/>
        <v>100</v>
      </c>
      <c r="V41" s="1147" t="s">
        <v>1136</v>
      </c>
      <c r="W41" s="1148">
        <f t="shared" si="14"/>
        <v>100</v>
      </c>
      <c r="X41" s="1149"/>
      <c r="Y41" s="3447"/>
      <c r="Z41" s="1150" t="str">
        <f t="shared" si="15"/>
        <v>进深比</v>
      </c>
      <c r="AA41" s="1047">
        <f t="shared" si="3"/>
        <v>1</v>
      </c>
      <c r="AB41" s="1047">
        <f t="shared" si="4"/>
        <v>1</v>
      </c>
      <c r="AC41" s="1047">
        <f t="shared" si="5"/>
        <v>1</v>
      </c>
    </row>
    <row r="42" spans="1:29" ht="15">
      <c r="A42" s="1154"/>
      <c r="B42" s="1079" t="s">
        <v>2183</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98"/>
      <c r="Q42" s="707" t="str">
        <f t="shared" si="11"/>
        <v>内部装修</v>
      </c>
      <c r="R42" s="1109" t="s">
        <v>1136</v>
      </c>
      <c r="S42" s="1110">
        <f t="shared" si="12"/>
        <v>100</v>
      </c>
      <c r="T42" s="1109" t="s">
        <v>1136</v>
      </c>
      <c r="U42" s="1110">
        <f t="shared" si="13"/>
        <v>100</v>
      </c>
      <c r="V42" s="1109" t="s">
        <v>1136</v>
      </c>
      <c r="W42" s="1110">
        <f t="shared" si="14"/>
        <v>100</v>
      </c>
      <c r="X42" s="1048"/>
      <c r="Y42" s="3447"/>
      <c r="Z42" s="1047" t="str">
        <f t="shared" si="15"/>
        <v>内部装修</v>
      </c>
      <c r="AA42" s="1047">
        <f t="shared" si="3"/>
        <v>1</v>
      </c>
      <c r="AB42" s="1047">
        <f t="shared" si="4"/>
        <v>1</v>
      </c>
      <c r="AC42" s="1047">
        <f t="shared" si="5"/>
        <v>1</v>
      </c>
    </row>
    <row r="43" spans="1:29" ht="28.8">
      <c r="A43" s="1154"/>
      <c r="B43" s="1079" t="s">
        <v>2184</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98"/>
      <c r="Q43" s="707" t="str">
        <f t="shared" si="11"/>
        <v>内部装修维护情况</v>
      </c>
      <c r="R43" s="1109" t="s">
        <v>1136</v>
      </c>
      <c r="S43" s="1110">
        <f t="shared" si="12"/>
        <v>100</v>
      </c>
      <c r="T43" s="1109" t="s">
        <v>1136</v>
      </c>
      <c r="U43" s="1110">
        <f t="shared" si="13"/>
        <v>100</v>
      </c>
      <c r="V43" s="1109" t="s">
        <v>1136</v>
      </c>
      <c r="W43" s="1110">
        <f t="shared" si="14"/>
        <v>100</v>
      </c>
      <c r="X43" s="1048"/>
      <c r="Y43" s="3447"/>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98"/>
      <c r="Q44" s="811">
        <f t="shared" si="11"/>
        <v>111</v>
      </c>
      <c r="R44" s="1067" t="s">
        <v>1136</v>
      </c>
      <c r="S44" s="1068">
        <f t="shared" si="12"/>
        <v>100</v>
      </c>
      <c r="T44" s="1067" t="s">
        <v>1136</v>
      </c>
      <c r="U44" s="1068">
        <f t="shared" si="13"/>
        <v>100</v>
      </c>
      <c r="V44" s="1067" t="s">
        <v>1136</v>
      </c>
      <c r="W44" s="1068">
        <f t="shared" si="14"/>
        <v>100</v>
      </c>
      <c r="X44" s="1069"/>
      <c r="Y44" s="3447"/>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98"/>
      <c r="Q45" s="707">
        <f t="shared" si="11"/>
        <v>111</v>
      </c>
      <c r="R45" s="1109" t="s">
        <v>1136</v>
      </c>
      <c r="S45" s="1110">
        <f t="shared" si="12"/>
        <v>100</v>
      </c>
      <c r="T45" s="1109" t="s">
        <v>1136</v>
      </c>
      <c r="U45" s="1110">
        <f t="shared" si="13"/>
        <v>100</v>
      </c>
      <c r="V45" s="1109" t="s">
        <v>1136</v>
      </c>
      <c r="W45" s="1110">
        <f t="shared" si="14"/>
        <v>100</v>
      </c>
      <c r="X45" s="1048"/>
      <c r="Y45" s="3447"/>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99"/>
      <c r="Q46" s="707">
        <f t="shared" si="11"/>
        <v>111</v>
      </c>
      <c r="R46" s="1109" t="s">
        <v>1136</v>
      </c>
      <c r="S46" s="1110">
        <f t="shared" si="12"/>
        <v>100</v>
      </c>
      <c r="T46" s="1109" t="s">
        <v>1136</v>
      </c>
      <c r="U46" s="1110">
        <f t="shared" si="13"/>
        <v>100</v>
      </c>
      <c r="V46" s="1109" t="s">
        <v>1136</v>
      </c>
      <c r="W46" s="1110">
        <f t="shared" si="14"/>
        <v>100</v>
      </c>
      <c r="X46" s="1048"/>
      <c r="Y46" s="3500"/>
      <c r="Z46" s="1047">
        <f t="shared" si="15"/>
        <v>111</v>
      </c>
      <c r="AA46" s="1047">
        <f t="shared" si="3"/>
        <v>1</v>
      </c>
      <c r="AB46" s="1047">
        <f t="shared" si="4"/>
        <v>1</v>
      </c>
      <c r="AC46" s="1047">
        <f t="shared" si="5"/>
        <v>1</v>
      </c>
    </row>
    <row r="47" spans="1:29" ht="14.4">
      <c r="A47" s="1162" t="s">
        <v>2185</v>
      </c>
      <c r="B47" s="1388"/>
      <c r="C47" s="1389" t="s">
        <v>124</v>
      </c>
      <c r="D47" s="1165"/>
      <c r="E47" s="1166"/>
      <c r="F47" s="1167"/>
      <c r="G47" s="1168"/>
      <c r="H47" s="1169"/>
      <c r="I47" s="1166"/>
      <c r="J47" s="1169"/>
      <c r="K47" s="1170"/>
      <c r="L47" s="1171"/>
      <c r="M47" s="1044"/>
      <c r="N47" s="1044"/>
      <c r="O47" s="1044"/>
      <c r="P47" s="3438" t="str">
        <f>A47</f>
        <v>成交单价（元/平方米）</v>
      </c>
      <c r="Q47" s="3438"/>
      <c r="R47" s="3439">
        <f>E47</f>
        <v>0</v>
      </c>
      <c r="S47" s="3439"/>
      <c r="T47" s="3439">
        <f>G47</f>
        <v>0</v>
      </c>
      <c r="U47" s="3439"/>
      <c r="V47" s="3439">
        <f>I47</f>
        <v>0</v>
      </c>
      <c r="W47" s="3439"/>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180">
        <f>F48+H48+J48</f>
        <v>0</v>
      </c>
      <c r="L48" s="1171"/>
      <c r="M48" s="1044"/>
      <c r="N48" s="1044"/>
      <c r="O48" s="104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172"/>
      <c r="Y48" s="1172"/>
      <c r="Z48" s="1172"/>
      <c r="AA48" s="1172"/>
      <c r="AB48" s="1172"/>
      <c r="AC48" s="1172"/>
    </row>
    <row r="49" spans="1:29" ht="14.4">
      <c r="A49" s="1181" t="s">
        <v>2186</v>
      </c>
      <c r="B49" s="1182"/>
      <c r="C49" s="1053" t="e">
        <f>R49</f>
        <v>#DIV/0!</v>
      </c>
      <c r="D49" s="1053"/>
      <c r="E49" s="1053"/>
      <c r="F49" s="1053"/>
      <c r="G49" s="1053"/>
      <c r="H49" s="1053"/>
      <c r="I49" s="1053"/>
      <c r="J49" s="1053"/>
      <c r="K49" s="1184"/>
      <c r="L49" s="1171"/>
      <c r="M49" s="1044"/>
      <c r="N49" s="1044"/>
      <c r="O49" s="1044"/>
      <c r="P49" s="3441" t="str">
        <f>A49</f>
        <v>估价对象XX用房的比较价值（楼面单价，元/平方米）</v>
      </c>
      <c r="Q49" s="3442"/>
      <c r="R49" s="3494" t="e">
        <f>IF(F1="售价",ROUND(IF(D48="简单平均",AVERAGE(R48:V48),R48*F48+T48*H48+V48*J48),0),ROUND(IF(D48="简单平均",AVERAGE(R48:V48),R48*F48+T48*H48+V48*J48),1))</f>
        <v>#DIV/0!</v>
      </c>
      <c r="S49" s="3494"/>
      <c r="T49" s="3494"/>
      <c r="U49" s="3494"/>
      <c r="V49" s="3494"/>
      <c r="W49" s="34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1213</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1134</v>
      </c>
      <c r="B58" s="1395"/>
      <c r="C58" s="1396" t="str">
        <f>YEAR(C7)&amp;"-"&amp;MONTH(C7)</f>
        <v>2026-1</v>
      </c>
      <c r="D58" s="1397">
        <f>EDATE(C58,-1)</f>
        <v>45992</v>
      </c>
      <c r="E58" s="1397">
        <f t="shared" ref="E58:O58" si="16">EDATE(D58,-1)</f>
        <v>45962</v>
      </c>
      <c r="F58" s="1397">
        <f t="shared" si="16"/>
        <v>45931</v>
      </c>
      <c r="G58" s="1397">
        <f t="shared" si="16"/>
        <v>45901</v>
      </c>
      <c r="H58" s="1397">
        <f t="shared" si="16"/>
        <v>45870</v>
      </c>
      <c r="I58" s="1397">
        <f t="shared" si="16"/>
        <v>45839</v>
      </c>
      <c r="J58" s="1397">
        <f t="shared" si="16"/>
        <v>45809</v>
      </c>
      <c r="K58" s="1397">
        <f t="shared" si="16"/>
        <v>45778</v>
      </c>
      <c r="L58" s="1397">
        <f t="shared" si="16"/>
        <v>45748</v>
      </c>
      <c r="M58" s="1397">
        <f t="shared" si="16"/>
        <v>45717</v>
      </c>
      <c r="N58" s="1397">
        <f t="shared" si="16"/>
        <v>45689</v>
      </c>
      <c r="O58" s="1397">
        <f t="shared" si="16"/>
        <v>45658</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1216</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1137</v>
      </c>
      <c r="B61" s="1256"/>
      <c r="C61" s="1257" t="s">
        <v>1138</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1217</v>
      </c>
      <c r="B63" s="1265" t="s">
        <v>1142</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1147</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1148</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1153</v>
      </c>
      <c r="B76" s="1265" t="s">
        <v>1154</v>
      </c>
      <c r="C76" s="1308" t="s">
        <v>1219</v>
      </c>
      <c r="D76" s="1308" t="s">
        <v>1220</v>
      </c>
      <c r="E76" s="1308" t="s">
        <v>1221</v>
      </c>
      <c r="F76" s="1308" t="s">
        <v>1222</v>
      </c>
      <c r="G76" s="1308" t="s">
        <v>1223</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1159</v>
      </c>
      <c r="C78" s="1313" t="s">
        <v>1219</v>
      </c>
      <c r="D78" s="1313" t="s">
        <v>1220</v>
      </c>
      <c r="E78" s="1313" t="s">
        <v>1221</v>
      </c>
      <c r="F78" s="1313" t="s">
        <v>1222</v>
      </c>
      <c r="G78" s="1313" t="s">
        <v>1223</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1163</v>
      </c>
      <c r="C80" s="1313" t="s">
        <v>1219</v>
      </c>
      <c r="D80" s="1313" t="s">
        <v>1220</v>
      </c>
      <c r="E80" s="1313" t="s">
        <v>1221</v>
      </c>
      <c r="F80" s="1313" t="s">
        <v>1222</v>
      </c>
      <c r="G80" s="1313" t="s">
        <v>1223</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1164</v>
      </c>
      <c r="C82" s="1116" t="s">
        <v>1224</v>
      </c>
      <c r="D82" s="1116" t="s">
        <v>1225</v>
      </c>
      <c r="E82" s="1116" t="s">
        <v>1226</v>
      </c>
      <c r="F82" s="1116" t="s">
        <v>1227</v>
      </c>
      <c r="G82" s="1116" t="s">
        <v>1228</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2171</v>
      </c>
      <c r="C84" s="1313" t="s">
        <v>1219</v>
      </c>
      <c r="D84" s="1313" t="s">
        <v>1220</v>
      </c>
      <c r="E84" s="1313" t="s">
        <v>1221</v>
      </c>
      <c r="F84" s="1313" t="s">
        <v>1222</v>
      </c>
      <c r="G84" s="1313" t="s">
        <v>1223</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1165</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1172</v>
      </c>
      <c r="B100" s="1265" t="s">
        <v>2211</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2175</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2176</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2178</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766</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2180</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2212</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2213</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2214</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2216</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2183</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2184</v>
      </c>
      <c r="C124" s="1313" t="s">
        <v>1219</v>
      </c>
      <c r="D124" s="1313" t="s">
        <v>1220</v>
      </c>
      <c r="E124" s="1313" t="s">
        <v>1221</v>
      </c>
      <c r="F124" s="1313" t="s">
        <v>1222</v>
      </c>
      <c r="G124" s="1313" t="s">
        <v>1223</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2217</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IF(C2="——",C50,ROUND(B2*10000/D3,0))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509" t="s">
        <v>1130</v>
      </c>
      <c r="Q4" s="3510"/>
      <c r="R4" s="3513" t="s">
        <v>1126</v>
      </c>
      <c r="S4" s="3514"/>
      <c r="T4" s="3513" t="s">
        <v>1127</v>
      </c>
      <c r="U4" s="3514"/>
      <c r="V4" s="3515" t="s">
        <v>1128</v>
      </c>
      <c r="W4" s="3515"/>
      <c r="X4" s="1506"/>
      <c r="Y4" s="3513" t="s">
        <v>1130</v>
      </c>
      <c r="Z4" s="3514"/>
      <c r="AA4" s="3505" t="s">
        <v>1126</v>
      </c>
      <c r="AB4" s="3505" t="s">
        <v>1127</v>
      </c>
      <c r="AC4" s="3506" t="s">
        <v>1128</v>
      </c>
    </row>
    <row r="5" spans="1:29">
      <c r="A5" s="1049"/>
      <c r="B5" s="1050"/>
      <c r="C5" s="3427" t="s">
        <v>1131</v>
      </c>
      <c r="D5" s="3428"/>
      <c r="E5" s="3429" t="s">
        <v>2168</v>
      </c>
      <c r="F5" s="3430"/>
      <c r="G5" s="3427" t="s">
        <v>2169</v>
      </c>
      <c r="H5" s="3428"/>
      <c r="I5" s="3427" t="s">
        <v>2170</v>
      </c>
      <c r="J5" s="3428"/>
      <c r="K5" s="1042"/>
      <c r="L5" s="1043"/>
      <c r="M5" s="1044"/>
      <c r="N5" s="1044"/>
      <c r="O5" s="1044"/>
      <c r="P5" s="3511"/>
      <c r="Q5" s="3454"/>
      <c r="R5" s="3459"/>
      <c r="S5" s="3460"/>
      <c r="T5" s="3459"/>
      <c r="U5" s="3460"/>
      <c r="V5" s="3439"/>
      <c r="W5" s="3439"/>
      <c r="X5" s="1048"/>
      <c r="Y5" s="3459"/>
      <c r="Z5" s="3460"/>
      <c r="AA5" s="3449"/>
      <c r="AB5" s="3449"/>
      <c r="AC5" s="3507"/>
    </row>
    <row r="6" spans="1:29" ht="14.4">
      <c r="A6" s="1052"/>
      <c r="B6" s="1053"/>
      <c r="C6" s="3431" t="s">
        <v>1132</v>
      </c>
      <c r="D6" s="3432"/>
      <c r="E6" s="3433" t="s">
        <v>1132</v>
      </c>
      <c r="F6" s="3434"/>
      <c r="G6" s="3431" t="s">
        <v>1132</v>
      </c>
      <c r="H6" s="3432"/>
      <c r="I6" s="3431" t="s">
        <v>1132</v>
      </c>
      <c r="J6" s="3432"/>
      <c r="K6" s="1042" t="s">
        <v>1133</v>
      </c>
      <c r="L6" s="1043"/>
      <c r="M6" s="1044"/>
      <c r="N6" s="1044"/>
      <c r="O6" s="1044"/>
      <c r="P6" s="3512"/>
      <c r="Q6" s="3456"/>
      <c r="R6" s="3459"/>
      <c r="S6" s="3460"/>
      <c r="T6" s="3461"/>
      <c r="U6" s="3462"/>
      <c r="V6" s="3439"/>
      <c r="W6" s="3439"/>
      <c r="X6" s="1048"/>
      <c r="Y6" s="3461"/>
      <c r="Z6" s="3462"/>
      <c r="AA6" s="3450"/>
      <c r="AB6" s="3450"/>
      <c r="AC6" s="3508"/>
    </row>
    <row r="7" spans="1:29" s="1011" customFormat="1" ht="14.4">
      <c r="A7" s="1056" t="s">
        <v>1134</v>
      </c>
      <c r="B7" s="1057"/>
      <c r="C7" s="1058">
        <f>'数据-取费表'!B2</f>
        <v>46026</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501"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507" t="e">
        <f>D7/J7</f>
        <v>#DIV/0!</v>
      </c>
    </row>
    <row r="8" spans="1:29" s="1011" customFormat="1" ht="14.4">
      <c r="A8" s="1056" t="s">
        <v>1137</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501" t="s">
        <v>1140</v>
      </c>
      <c r="Q8" s="3437"/>
      <c r="R8" s="1067" t="s">
        <v>1136</v>
      </c>
      <c r="S8" s="1068">
        <f t="shared" si="0"/>
        <v>100</v>
      </c>
      <c r="T8" s="1067" t="s">
        <v>1136</v>
      </c>
      <c r="U8" s="1068">
        <f t="shared" si="1"/>
        <v>100</v>
      </c>
      <c r="V8" s="1067" t="s">
        <v>1136</v>
      </c>
      <c r="W8" s="1068">
        <f t="shared" si="2"/>
        <v>100</v>
      </c>
      <c r="X8" s="1069"/>
      <c r="Y8" s="3435" t="s">
        <v>1140</v>
      </c>
      <c r="Z8" s="3437"/>
      <c r="AA8" s="1071">
        <f t="shared" ref="AA8:AA47" si="3">D8/F8</f>
        <v>1</v>
      </c>
      <c r="AB8" s="1071">
        <f t="shared" ref="AB8:AB47" si="4">D8/H8</f>
        <v>1</v>
      </c>
      <c r="AC8" s="1507">
        <f t="shared" ref="AC8:AC47" si="5">D8/J8</f>
        <v>1</v>
      </c>
    </row>
    <row r="9" spans="1:29" s="1011" customFormat="1" ht="14.4">
      <c r="A9" s="1073" t="s">
        <v>1141</v>
      </c>
      <c r="B9" s="1074" t="s">
        <v>1142</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464" t="s">
        <v>1145</v>
      </c>
      <c r="Q9" s="811" t="str">
        <f t="shared" ref="Q9:Q15" si="6">B9</f>
        <v>用途</v>
      </c>
      <c r="R9" s="1067" t="s">
        <v>1136</v>
      </c>
      <c r="S9" s="1068">
        <f t="shared" si="0"/>
        <v>100</v>
      </c>
      <c r="T9" s="1067" t="s">
        <v>1136</v>
      </c>
      <c r="U9" s="1068">
        <f t="shared" si="1"/>
        <v>100</v>
      </c>
      <c r="V9" s="1067" t="s">
        <v>1136</v>
      </c>
      <c r="W9" s="1068">
        <f t="shared" si="2"/>
        <v>100</v>
      </c>
      <c r="X9" s="1069"/>
      <c r="Y9" s="3404" t="s">
        <v>1146</v>
      </c>
      <c r="Z9" s="1071" t="str">
        <f t="shared" ref="Z9:Z15" si="7">Q9</f>
        <v>用途</v>
      </c>
      <c r="AA9" s="1071">
        <f t="shared" si="3"/>
        <v>1</v>
      </c>
      <c r="AB9" s="1071">
        <f t="shared" si="4"/>
        <v>1</v>
      </c>
      <c r="AC9" s="1507">
        <f t="shared" si="5"/>
        <v>1</v>
      </c>
    </row>
    <row r="10" spans="1:29" s="1012" customFormat="1" ht="28.8">
      <c r="A10" s="1078"/>
      <c r="B10" s="1079" t="s">
        <v>1147</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464"/>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507">
        <f t="shared" si="5"/>
        <v>1</v>
      </c>
    </row>
    <row r="11" spans="1:29" ht="15">
      <c r="A11" s="1086"/>
      <c r="B11" s="1079" t="s">
        <v>1148</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64"/>
      <c r="Q11" s="811" t="str">
        <f t="shared" si="6"/>
        <v>容积率</v>
      </c>
      <c r="R11" s="1067" t="s">
        <v>1136</v>
      </c>
      <c r="S11" s="1068">
        <f t="shared" si="0"/>
        <v>100</v>
      </c>
      <c r="T11" s="1067" t="s">
        <v>1136</v>
      </c>
      <c r="U11" s="1068">
        <f t="shared" si="1"/>
        <v>100</v>
      </c>
      <c r="V11" s="1067" t="s">
        <v>1136</v>
      </c>
      <c r="W11" s="1068">
        <f t="shared" si="2"/>
        <v>100</v>
      </c>
      <c r="X11" s="1069"/>
      <c r="Y11" s="3404"/>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464"/>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464"/>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464"/>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507">
        <f t="shared" si="5"/>
        <v>1</v>
      </c>
    </row>
    <row r="15" spans="1:29" ht="15">
      <c r="A15" s="1103" t="s">
        <v>1153</v>
      </c>
      <c r="B15" s="1104" t="s">
        <v>1158</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95" t="s">
        <v>1155</v>
      </c>
      <c r="Q15" s="707" t="str">
        <f t="shared" si="6"/>
        <v>办公集聚程度</v>
      </c>
      <c r="R15" s="1109" t="s">
        <v>1136</v>
      </c>
      <c r="S15" s="1110">
        <f t="shared" si="0"/>
        <v>100</v>
      </c>
      <c r="T15" s="1109" t="s">
        <v>1136</v>
      </c>
      <c r="U15" s="1110">
        <f t="shared" si="1"/>
        <v>100</v>
      </c>
      <c r="V15" s="1109" t="s">
        <v>1136</v>
      </c>
      <c r="W15" s="1110">
        <f t="shared" si="2"/>
        <v>100</v>
      </c>
      <c r="X15" s="1048"/>
      <c r="Y15" s="3444" t="s">
        <v>1155</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96"/>
      <c r="Q16" s="707"/>
      <c r="R16" s="1109"/>
      <c r="S16" s="1110"/>
      <c r="T16" s="1109"/>
      <c r="U16" s="1110"/>
      <c r="V16" s="1109"/>
      <c r="W16" s="1110"/>
      <c r="X16" s="1048"/>
      <c r="Y16" s="3445"/>
      <c r="Z16" s="1047"/>
      <c r="AA16" s="1047">
        <v>1</v>
      </c>
      <c r="AB16" s="1047">
        <v>1</v>
      </c>
      <c r="AC16" s="1510">
        <v>1</v>
      </c>
    </row>
    <row r="17" spans="1:29" ht="82.8">
      <c r="A17" s="1086"/>
      <c r="B17" s="1117" t="s">
        <v>1159</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45"/>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96"/>
      <c r="Q18" s="707"/>
      <c r="R18" s="1109"/>
      <c r="S18" s="1110"/>
      <c r="T18" s="1109"/>
      <c r="U18" s="1110"/>
      <c r="V18" s="1109"/>
      <c r="W18" s="1110"/>
      <c r="X18" s="1048"/>
      <c r="Y18" s="3445"/>
      <c r="Z18" s="1047"/>
      <c r="AA18" s="1047">
        <v>1</v>
      </c>
      <c r="AB18" s="1047">
        <v>1</v>
      </c>
      <c r="AC18" s="1510">
        <v>1</v>
      </c>
    </row>
    <row r="19" spans="1:29" ht="41.4">
      <c r="A19" s="1086"/>
      <c r="B19" s="1117" t="s">
        <v>1163</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45"/>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96"/>
      <c r="Q20" s="707"/>
      <c r="R20" s="1109"/>
      <c r="S20" s="1110"/>
      <c r="T20" s="1109"/>
      <c r="U20" s="1110"/>
      <c r="V20" s="1109"/>
      <c r="W20" s="1110"/>
      <c r="X20" s="1048"/>
      <c r="Y20" s="3445"/>
      <c r="Z20" s="1047"/>
      <c r="AA20" s="1047">
        <v>1</v>
      </c>
      <c r="AB20" s="1047">
        <v>1</v>
      </c>
      <c r="AC20" s="1510">
        <v>1</v>
      </c>
    </row>
    <row r="21" spans="1:29" ht="27.6">
      <c r="A21" s="1086"/>
      <c r="B21" s="1127" t="s">
        <v>1164</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45"/>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96"/>
      <c r="Q22" s="707"/>
      <c r="R22" s="1109"/>
      <c r="S22" s="1110"/>
      <c r="T22" s="1109"/>
      <c r="U22" s="1110"/>
      <c r="V22" s="1109"/>
      <c r="W22" s="1110"/>
      <c r="X22" s="1048"/>
      <c r="Y22" s="3445"/>
      <c r="Z22" s="1047"/>
      <c r="AA22" s="1047">
        <v>1</v>
      </c>
      <c r="AB22" s="1047">
        <v>1</v>
      </c>
      <c r="AC22" s="1510">
        <v>1</v>
      </c>
    </row>
    <row r="23" spans="1:29" ht="55.2">
      <c r="A23" s="1086"/>
      <c r="B23" s="1117" t="s">
        <v>2218</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96"/>
      <c r="Q23" s="707" t="str">
        <f>B23</f>
        <v>环境质量</v>
      </c>
      <c r="R23" s="1109" t="s">
        <v>1136</v>
      </c>
      <c r="S23" s="1110">
        <f>F23</f>
        <v>100</v>
      </c>
      <c r="T23" s="1109" t="s">
        <v>1136</v>
      </c>
      <c r="U23" s="1110">
        <f>H23</f>
        <v>100</v>
      </c>
      <c r="V23" s="1109" t="s">
        <v>1136</v>
      </c>
      <c r="W23" s="1110">
        <f>J23</f>
        <v>100</v>
      </c>
      <c r="X23" s="1048"/>
      <c r="Y23" s="3445"/>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96"/>
      <c r="Q24" s="707"/>
      <c r="R24" s="1109"/>
      <c r="S24" s="1110"/>
      <c r="T24" s="1109"/>
      <c r="U24" s="1110"/>
      <c r="V24" s="1109"/>
      <c r="W24" s="1110"/>
      <c r="X24" s="1048"/>
      <c r="Y24" s="3445"/>
      <c r="Z24" s="1047"/>
      <c r="AA24" s="1047">
        <v>1</v>
      </c>
      <c r="AB24" s="1047">
        <v>1</v>
      </c>
      <c r="AC24" s="1510">
        <v>1</v>
      </c>
    </row>
    <row r="25" spans="1:29" ht="28.8">
      <c r="A25" s="1049"/>
      <c r="B25" s="1117" t="s">
        <v>1168</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96"/>
      <c r="Q25" s="707" t="str">
        <f>B25</f>
        <v>毗邻道路的类型与等级</v>
      </c>
      <c r="R25" s="1109" t="s">
        <v>1136</v>
      </c>
      <c r="S25" s="1110">
        <f>F25</f>
        <v>100</v>
      </c>
      <c r="T25" s="1109" t="s">
        <v>1136</v>
      </c>
      <c r="U25" s="1110">
        <f>H25</f>
        <v>100</v>
      </c>
      <c r="V25" s="1109" t="s">
        <v>1136</v>
      </c>
      <c r="W25" s="1110">
        <f>J25</f>
        <v>100</v>
      </c>
      <c r="X25" s="1048"/>
      <c r="Y25" s="3445"/>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96"/>
      <c r="Q26" s="707"/>
      <c r="R26" s="1109"/>
      <c r="S26" s="1110"/>
      <c r="T26" s="1109"/>
      <c r="U26" s="1110"/>
      <c r="V26" s="1109"/>
      <c r="W26" s="1110"/>
      <c r="X26" s="1048"/>
      <c r="Y26" s="3445"/>
      <c r="Z26" s="1047"/>
      <c r="AA26" s="1047">
        <v>1</v>
      </c>
      <c r="AB26" s="1047">
        <v>1</v>
      </c>
      <c r="AC26" s="1510">
        <v>1</v>
      </c>
    </row>
    <row r="27" spans="1:29" ht="15">
      <c r="A27" s="1086"/>
      <c r="B27" s="1122" t="s">
        <v>2210</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96"/>
      <c r="Q27" s="707" t="str">
        <f t="shared" ref="Q27:Q47" si="11">B27</f>
        <v>楼层</v>
      </c>
      <c r="R27" s="1109" t="s">
        <v>1136</v>
      </c>
      <c r="S27" s="1110">
        <f>F27</f>
        <v>100</v>
      </c>
      <c r="T27" s="1109" t="s">
        <v>1136</v>
      </c>
      <c r="U27" s="1110">
        <f>H27</f>
        <v>100</v>
      </c>
      <c r="V27" s="1109" t="s">
        <v>1136</v>
      </c>
      <c r="W27" s="1110">
        <f>J27</f>
        <v>100</v>
      </c>
      <c r="X27" s="1048"/>
      <c r="Y27" s="3445"/>
      <c r="Z27" s="1047" t="str">
        <f>Q27</f>
        <v>楼层</v>
      </c>
      <c r="AA27" s="1047">
        <f t="shared" si="3"/>
        <v>1</v>
      </c>
      <c r="AB27" s="1047">
        <f t="shared" si="4"/>
        <v>1</v>
      </c>
      <c r="AC27" s="1510">
        <f t="shared" si="5"/>
        <v>1</v>
      </c>
    </row>
    <row r="28" spans="1:29" s="1011" customFormat="1" ht="15">
      <c r="A28" s="1092"/>
      <c r="B28" s="1117" t="s">
        <v>2173</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96"/>
      <c r="Q28" s="811" t="str">
        <f t="shared" si="11"/>
        <v>朝向</v>
      </c>
      <c r="R28" s="1067" t="s">
        <v>1136</v>
      </c>
      <c r="S28" s="1068">
        <f>F28</f>
        <v>100</v>
      </c>
      <c r="T28" s="1067" t="s">
        <v>1136</v>
      </c>
      <c r="U28" s="1068">
        <f>H28</f>
        <v>100</v>
      </c>
      <c r="V28" s="1067" t="s">
        <v>1136</v>
      </c>
      <c r="W28" s="1068">
        <f>J28</f>
        <v>100</v>
      </c>
      <c r="X28" s="1069"/>
      <c r="Y28" s="3445"/>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96"/>
      <c r="Q29" s="707">
        <f t="shared" si="11"/>
        <v>111</v>
      </c>
      <c r="R29" s="1109" t="s">
        <v>1136</v>
      </c>
      <c r="S29" s="1110">
        <f t="shared" ref="S29:S47" si="12">F29</f>
        <v>100</v>
      </c>
      <c r="T29" s="1109" t="s">
        <v>1136</v>
      </c>
      <c r="U29" s="1110">
        <f t="shared" ref="U29:U47" si="13">H29</f>
        <v>100</v>
      </c>
      <c r="V29" s="1109" t="s">
        <v>1136</v>
      </c>
      <c r="W29" s="1110">
        <f t="shared" ref="W29:W47" si="14">J29</f>
        <v>100</v>
      </c>
      <c r="X29" s="1048"/>
      <c r="Y29" s="3445"/>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45"/>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45"/>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96"/>
      <c r="Q32" s="707">
        <f t="shared" si="11"/>
        <v>111</v>
      </c>
      <c r="R32" s="1109" t="s">
        <v>1136</v>
      </c>
      <c r="S32" s="1110">
        <f t="shared" si="12"/>
        <v>100</v>
      </c>
      <c r="T32" s="1109" t="s">
        <v>1136</v>
      </c>
      <c r="U32" s="1110">
        <f t="shared" si="13"/>
        <v>100</v>
      </c>
      <c r="V32" s="1109" t="s">
        <v>1136</v>
      </c>
      <c r="W32" s="1110">
        <f t="shared" si="14"/>
        <v>100</v>
      </c>
      <c r="X32" s="1048"/>
      <c r="Y32" s="3445"/>
      <c r="Z32" s="1047">
        <f t="shared" si="15"/>
        <v>111</v>
      </c>
      <c r="AA32" s="1047">
        <f t="shared" si="3"/>
        <v>1</v>
      </c>
      <c r="AB32" s="1047">
        <f t="shared" si="4"/>
        <v>1</v>
      </c>
      <c r="AC32" s="1510">
        <f t="shared" si="5"/>
        <v>1</v>
      </c>
    </row>
    <row r="33" spans="1:29" ht="15">
      <c r="A33" s="1103" t="s">
        <v>1172</v>
      </c>
      <c r="B33" s="1074" t="s">
        <v>2174</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97" t="s">
        <v>1171</v>
      </c>
      <c r="Q33" s="707" t="str">
        <f t="shared" si="11"/>
        <v>建筑类型</v>
      </c>
      <c r="R33" s="1109" t="s">
        <v>1136</v>
      </c>
      <c r="S33" s="1110">
        <f t="shared" si="12"/>
        <v>100</v>
      </c>
      <c r="T33" s="1109" t="s">
        <v>1136</v>
      </c>
      <c r="U33" s="1110">
        <f t="shared" si="13"/>
        <v>100</v>
      </c>
      <c r="V33" s="1109" t="s">
        <v>1136</v>
      </c>
      <c r="W33" s="1110">
        <f t="shared" si="14"/>
        <v>100</v>
      </c>
      <c r="X33" s="1048"/>
      <c r="Y33" s="3447" t="s">
        <v>1171</v>
      </c>
      <c r="Z33" s="1047" t="str">
        <f t="shared" si="15"/>
        <v>建筑类型</v>
      </c>
      <c r="AA33" s="1047">
        <f t="shared" si="3"/>
        <v>1</v>
      </c>
      <c r="AB33" s="1047">
        <f t="shared" si="4"/>
        <v>1</v>
      </c>
      <c r="AC33" s="1510">
        <f t="shared" si="5"/>
        <v>1</v>
      </c>
    </row>
    <row r="34" spans="1:29" s="1013" customFormat="1" ht="15">
      <c r="A34" s="1159"/>
      <c r="B34" s="1079" t="s">
        <v>2175</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98"/>
      <c r="Q34" s="1383" t="str">
        <f t="shared" si="11"/>
        <v>项目建筑规模</v>
      </c>
      <c r="R34" s="1147" t="s">
        <v>1136</v>
      </c>
      <c r="S34" s="1148" t="e">
        <f t="shared" si="12"/>
        <v>#N/A</v>
      </c>
      <c r="T34" s="1147" t="s">
        <v>1136</v>
      </c>
      <c r="U34" s="1148" t="e">
        <f t="shared" si="13"/>
        <v>#N/A</v>
      </c>
      <c r="V34" s="1147" t="s">
        <v>1136</v>
      </c>
      <c r="W34" s="1148" t="e">
        <f t="shared" si="14"/>
        <v>#N/A</v>
      </c>
      <c r="X34" s="1149"/>
      <c r="Y34" s="3447"/>
      <c r="Z34" s="1150" t="str">
        <f t="shared" si="15"/>
        <v>项目建筑规模</v>
      </c>
      <c r="AA34" s="1047" t="e">
        <f t="shared" si="3"/>
        <v>#N/A</v>
      </c>
      <c r="AB34" s="1047" t="e">
        <f t="shared" si="4"/>
        <v>#N/A</v>
      </c>
      <c r="AC34" s="1510" t="e">
        <f t="shared" si="5"/>
        <v>#N/A</v>
      </c>
    </row>
    <row r="35" spans="1:29" ht="15">
      <c r="A35" s="1154"/>
      <c r="B35" s="1079" t="s">
        <v>2176</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98"/>
      <c r="Q35" s="707" t="str">
        <f t="shared" si="11"/>
        <v>建筑结构</v>
      </c>
      <c r="R35" s="1109" t="s">
        <v>1136</v>
      </c>
      <c r="S35" s="1110">
        <f t="shared" si="12"/>
        <v>100</v>
      </c>
      <c r="T35" s="1109" t="s">
        <v>1136</v>
      </c>
      <c r="U35" s="1110">
        <f t="shared" si="13"/>
        <v>100</v>
      </c>
      <c r="V35" s="1109" t="s">
        <v>1136</v>
      </c>
      <c r="W35" s="1110">
        <f t="shared" si="14"/>
        <v>100</v>
      </c>
      <c r="X35" s="1048"/>
      <c r="Y35" s="3447"/>
      <c r="Z35" s="1047" t="str">
        <f t="shared" si="15"/>
        <v>建筑结构</v>
      </c>
      <c r="AA35" s="1047">
        <f t="shared" si="3"/>
        <v>1</v>
      </c>
      <c r="AB35" s="1047">
        <f t="shared" si="4"/>
        <v>1</v>
      </c>
      <c r="AC35" s="1510">
        <f t="shared" si="5"/>
        <v>1</v>
      </c>
    </row>
    <row r="36" spans="1:29" ht="15">
      <c r="A36" s="1154"/>
      <c r="B36" s="1079" t="s">
        <v>2178</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98"/>
      <c r="Q36" s="707" t="str">
        <f t="shared" si="11"/>
        <v>公共部分装修</v>
      </c>
      <c r="R36" s="1109" t="s">
        <v>1136</v>
      </c>
      <c r="S36" s="1110">
        <f t="shared" si="12"/>
        <v>100</v>
      </c>
      <c r="T36" s="1109" t="s">
        <v>1136</v>
      </c>
      <c r="U36" s="1110">
        <f t="shared" si="13"/>
        <v>100</v>
      </c>
      <c r="V36" s="1109" t="s">
        <v>1136</v>
      </c>
      <c r="W36" s="1110">
        <f t="shared" si="14"/>
        <v>100</v>
      </c>
      <c r="X36" s="1048"/>
      <c r="Y36" s="3447"/>
      <c r="Z36" s="1047" t="str">
        <f t="shared" si="15"/>
        <v>公共部分装修</v>
      </c>
      <c r="AA36" s="1047">
        <f t="shared" si="3"/>
        <v>1</v>
      </c>
      <c r="AB36" s="1047">
        <f t="shared" si="4"/>
        <v>1</v>
      </c>
      <c r="AC36" s="1510">
        <f t="shared" si="5"/>
        <v>1</v>
      </c>
    </row>
    <row r="37" spans="1:29" ht="15">
      <c r="A37" s="1154"/>
      <c r="B37" s="1079" t="s">
        <v>766</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98"/>
      <c r="Q37" s="707" t="str">
        <f t="shared" si="11"/>
        <v>成新度</v>
      </c>
      <c r="R37" s="1109" t="s">
        <v>1136</v>
      </c>
      <c r="S37" s="1110" t="e">
        <f t="shared" si="12"/>
        <v>#N/A</v>
      </c>
      <c r="T37" s="1109" t="s">
        <v>1136</v>
      </c>
      <c r="U37" s="1110" t="e">
        <f t="shared" si="13"/>
        <v>#N/A</v>
      </c>
      <c r="V37" s="1109" t="s">
        <v>1136</v>
      </c>
      <c r="W37" s="1110" t="e">
        <f t="shared" si="14"/>
        <v>#N/A</v>
      </c>
      <c r="X37" s="1048"/>
      <c r="Y37" s="3447"/>
      <c r="Z37" s="1047" t="str">
        <f t="shared" si="15"/>
        <v>成新度</v>
      </c>
      <c r="AA37" s="1047" t="e">
        <f t="shared" si="3"/>
        <v>#N/A</v>
      </c>
      <c r="AB37" s="1047" t="e">
        <f t="shared" si="4"/>
        <v>#N/A</v>
      </c>
      <c r="AC37" s="1510" t="e">
        <f t="shared" si="5"/>
        <v>#N/A</v>
      </c>
    </row>
    <row r="38" spans="1:29" s="1011" customFormat="1" ht="15">
      <c r="A38" s="1156"/>
      <c r="B38" s="1079" t="s">
        <v>2219</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98"/>
      <c r="Q38" s="811" t="str">
        <f t="shared" si="11"/>
        <v>写字楼等级</v>
      </c>
      <c r="R38" s="1067" t="s">
        <v>1136</v>
      </c>
      <c r="S38" s="1068">
        <f t="shared" si="12"/>
        <v>100</v>
      </c>
      <c r="T38" s="1067" t="s">
        <v>1136</v>
      </c>
      <c r="U38" s="1068">
        <f t="shared" si="13"/>
        <v>100</v>
      </c>
      <c r="V38" s="1067" t="s">
        <v>1136</v>
      </c>
      <c r="W38" s="1068">
        <f t="shared" si="14"/>
        <v>100</v>
      </c>
      <c r="X38" s="1069"/>
      <c r="Y38" s="3447"/>
      <c r="Z38" s="1071" t="str">
        <f t="shared" si="15"/>
        <v>写字楼等级</v>
      </c>
      <c r="AA38" s="1071">
        <f t="shared" si="3"/>
        <v>1</v>
      </c>
      <c r="AB38" s="1071">
        <f t="shared" si="4"/>
        <v>1</v>
      </c>
      <c r="AC38" s="1507">
        <f t="shared" si="5"/>
        <v>1</v>
      </c>
    </row>
    <row r="39" spans="1:29" ht="15">
      <c r="A39" s="1154"/>
      <c r="B39" s="1079" t="s">
        <v>2179</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98" t="s">
        <v>1171</v>
      </c>
      <c r="Q39" s="707" t="str">
        <f t="shared" si="11"/>
        <v>物业管理</v>
      </c>
      <c r="R39" s="1109" t="s">
        <v>1136</v>
      </c>
      <c r="S39" s="1110">
        <f t="shared" si="12"/>
        <v>100</v>
      </c>
      <c r="T39" s="1109" t="s">
        <v>1136</v>
      </c>
      <c r="U39" s="1110">
        <f t="shared" si="13"/>
        <v>100</v>
      </c>
      <c r="V39" s="1109" t="s">
        <v>1136</v>
      </c>
      <c r="W39" s="1110">
        <f t="shared" si="14"/>
        <v>100</v>
      </c>
      <c r="X39" s="1048"/>
      <c r="Y39" s="3447" t="s">
        <v>1171</v>
      </c>
      <c r="Z39" s="1047" t="str">
        <f t="shared" si="15"/>
        <v>物业管理</v>
      </c>
      <c r="AA39" s="1047">
        <f t="shared" si="3"/>
        <v>1</v>
      </c>
      <c r="AB39" s="1047">
        <f t="shared" si="4"/>
        <v>1</v>
      </c>
      <c r="AC39" s="1510">
        <f t="shared" si="5"/>
        <v>1</v>
      </c>
    </row>
    <row r="40" spans="1:29" ht="15">
      <c r="A40" s="1154"/>
      <c r="B40" s="1079" t="s">
        <v>2180</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98"/>
      <c r="Q40" s="707" t="str">
        <f t="shared" si="11"/>
        <v>市政基础设施</v>
      </c>
      <c r="R40" s="1109" t="s">
        <v>1136</v>
      </c>
      <c r="S40" s="1110">
        <f t="shared" si="12"/>
        <v>100</v>
      </c>
      <c r="T40" s="1109" t="s">
        <v>1136</v>
      </c>
      <c r="U40" s="1110">
        <f t="shared" si="13"/>
        <v>100</v>
      </c>
      <c r="V40" s="1109" t="s">
        <v>1136</v>
      </c>
      <c r="W40" s="1110">
        <f t="shared" si="14"/>
        <v>100</v>
      </c>
      <c r="X40" s="1048"/>
      <c r="Y40" s="3447"/>
      <c r="Z40" s="1047" t="str">
        <f t="shared" si="15"/>
        <v>市政基础设施</v>
      </c>
      <c r="AA40" s="1047">
        <f t="shared" si="3"/>
        <v>1</v>
      </c>
      <c r="AB40" s="1047">
        <f t="shared" si="4"/>
        <v>1</v>
      </c>
      <c r="AC40" s="1510">
        <f t="shared" si="5"/>
        <v>1</v>
      </c>
    </row>
    <row r="41" spans="1:29" ht="15">
      <c r="A41" s="1154"/>
      <c r="B41" s="1079" t="s">
        <v>2213</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98"/>
      <c r="Q41" s="707" t="str">
        <f t="shared" si="11"/>
        <v>层高</v>
      </c>
      <c r="R41" s="1109" t="s">
        <v>1136</v>
      </c>
      <c r="S41" s="1110">
        <f t="shared" si="12"/>
        <v>100</v>
      </c>
      <c r="T41" s="1109" t="s">
        <v>1136</v>
      </c>
      <c r="U41" s="1110">
        <f t="shared" si="13"/>
        <v>100</v>
      </c>
      <c r="V41" s="1109" t="s">
        <v>1136</v>
      </c>
      <c r="W41" s="1110">
        <f t="shared" si="14"/>
        <v>100</v>
      </c>
      <c r="X41" s="1048"/>
      <c r="Y41" s="3447"/>
      <c r="Z41" s="1047" t="str">
        <f t="shared" si="15"/>
        <v>层高</v>
      </c>
      <c r="AA41" s="1047">
        <f t="shared" si="3"/>
        <v>1</v>
      </c>
      <c r="AB41" s="1047">
        <f t="shared" si="4"/>
        <v>1</v>
      </c>
      <c r="AC41" s="1510">
        <f t="shared" si="5"/>
        <v>1</v>
      </c>
    </row>
    <row r="42" spans="1:29" s="1013" customFormat="1" ht="15">
      <c r="A42" s="1159"/>
      <c r="B42" s="1185" t="s">
        <v>2220</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98"/>
      <c r="Q42" s="1383" t="str">
        <f t="shared" si="11"/>
        <v>单套建筑面积</v>
      </c>
      <c r="R42" s="1147" t="s">
        <v>1136</v>
      </c>
      <c r="S42" s="1148">
        <f t="shared" si="12"/>
        <v>100</v>
      </c>
      <c r="T42" s="1147" t="s">
        <v>1136</v>
      </c>
      <c r="U42" s="1148">
        <f t="shared" si="13"/>
        <v>100</v>
      </c>
      <c r="V42" s="1147" t="s">
        <v>1136</v>
      </c>
      <c r="W42" s="1148">
        <f t="shared" si="14"/>
        <v>100</v>
      </c>
      <c r="X42" s="1149"/>
      <c r="Y42" s="3447"/>
      <c r="Z42" s="1150" t="str">
        <f t="shared" si="15"/>
        <v>单套建筑面积</v>
      </c>
      <c r="AA42" s="1047">
        <f t="shared" si="3"/>
        <v>1</v>
      </c>
      <c r="AB42" s="1047">
        <f t="shared" si="4"/>
        <v>1</v>
      </c>
      <c r="AC42" s="1510">
        <f t="shared" si="5"/>
        <v>1</v>
      </c>
    </row>
    <row r="43" spans="1:29" ht="15">
      <c r="A43" s="1154"/>
      <c r="B43" s="1079" t="s">
        <v>2183</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98"/>
      <c r="Q43" s="707" t="str">
        <f t="shared" si="11"/>
        <v>内部装修</v>
      </c>
      <c r="R43" s="1109" t="s">
        <v>1136</v>
      </c>
      <c r="S43" s="1110">
        <f t="shared" si="12"/>
        <v>100</v>
      </c>
      <c r="T43" s="1109" t="s">
        <v>1136</v>
      </c>
      <c r="U43" s="1110">
        <f t="shared" si="13"/>
        <v>100</v>
      </c>
      <c r="V43" s="1109" t="s">
        <v>1136</v>
      </c>
      <c r="W43" s="1110">
        <f t="shared" si="14"/>
        <v>100</v>
      </c>
      <c r="X43" s="1048"/>
      <c r="Y43" s="3447"/>
      <c r="Z43" s="1047" t="str">
        <f t="shared" si="15"/>
        <v>内部装修</v>
      </c>
      <c r="AA43" s="1047">
        <f t="shared" si="3"/>
        <v>1</v>
      </c>
      <c r="AB43" s="1047">
        <f t="shared" si="4"/>
        <v>1</v>
      </c>
      <c r="AC43" s="1510">
        <f t="shared" si="5"/>
        <v>1</v>
      </c>
    </row>
    <row r="44" spans="1:29" ht="28.8">
      <c r="A44" s="1154"/>
      <c r="B44" s="1079" t="s">
        <v>2184</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98"/>
      <c r="Q44" s="707" t="str">
        <f t="shared" si="11"/>
        <v>内部装修维护情况</v>
      </c>
      <c r="R44" s="1109" t="s">
        <v>1136</v>
      </c>
      <c r="S44" s="1110">
        <f t="shared" si="12"/>
        <v>100</v>
      </c>
      <c r="T44" s="1109" t="s">
        <v>1136</v>
      </c>
      <c r="U44" s="1110">
        <f t="shared" si="13"/>
        <v>100</v>
      </c>
      <c r="V44" s="1109" t="s">
        <v>1136</v>
      </c>
      <c r="W44" s="1110">
        <f t="shared" si="14"/>
        <v>100</v>
      </c>
      <c r="X44" s="1048"/>
      <c r="Y44" s="3447"/>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98"/>
      <c r="Q45" s="811">
        <f t="shared" si="11"/>
        <v>111</v>
      </c>
      <c r="R45" s="1067" t="s">
        <v>1136</v>
      </c>
      <c r="S45" s="1068">
        <f t="shared" si="12"/>
        <v>100</v>
      </c>
      <c r="T45" s="1067" t="s">
        <v>1136</v>
      </c>
      <c r="U45" s="1068">
        <f t="shared" si="13"/>
        <v>100</v>
      </c>
      <c r="V45" s="1067" t="s">
        <v>1136</v>
      </c>
      <c r="W45" s="1068">
        <f t="shared" si="14"/>
        <v>100</v>
      </c>
      <c r="X45" s="1069"/>
      <c r="Y45" s="3447"/>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98"/>
      <c r="Q46" s="707">
        <f t="shared" si="11"/>
        <v>111</v>
      </c>
      <c r="R46" s="1109" t="s">
        <v>1136</v>
      </c>
      <c r="S46" s="1110">
        <f t="shared" si="12"/>
        <v>100</v>
      </c>
      <c r="T46" s="1109" t="s">
        <v>1136</v>
      </c>
      <c r="U46" s="1110">
        <f t="shared" si="13"/>
        <v>100</v>
      </c>
      <c r="V46" s="1109" t="s">
        <v>1136</v>
      </c>
      <c r="W46" s="1110">
        <f t="shared" si="14"/>
        <v>100</v>
      </c>
      <c r="X46" s="1048"/>
      <c r="Y46" s="3447"/>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99"/>
      <c r="Q47" s="707">
        <f t="shared" si="11"/>
        <v>111</v>
      </c>
      <c r="R47" s="1109" t="s">
        <v>1136</v>
      </c>
      <c r="S47" s="1110">
        <f t="shared" si="12"/>
        <v>100</v>
      </c>
      <c r="T47" s="1109" t="s">
        <v>1136</v>
      </c>
      <c r="U47" s="1110">
        <f t="shared" si="13"/>
        <v>100</v>
      </c>
      <c r="V47" s="1109" t="s">
        <v>1136</v>
      </c>
      <c r="W47" s="1110">
        <f t="shared" si="14"/>
        <v>100</v>
      </c>
      <c r="X47" s="1048"/>
      <c r="Y47" s="3500"/>
      <c r="Z47" s="1047">
        <f t="shared" si="15"/>
        <v>111</v>
      </c>
      <c r="AA47" s="1047">
        <f t="shared" si="3"/>
        <v>1</v>
      </c>
      <c r="AB47" s="1047">
        <f t="shared" si="4"/>
        <v>1</v>
      </c>
      <c r="AC47" s="1510">
        <f t="shared" si="5"/>
        <v>1</v>
      </c>
    </row>
    <row r="48" spans="1:29" ht="14.4">
      <c r="A48" s="1162" t="s">
        <v>2185</v>
      </c>
      <c r="B48" s="1388"/>
      <c r="C48" s="1389" t="s">
        <v>124</v>
      </c>
      <c r="D48" s="1165"/>
      <c r="E48" s="1166"/>
      <c r="F48" s="1167"/>
      <c r="G48" s="1168"/>
      <c r="H48" s="1169"/>
      <c r="I48" s="1166"/>
      <c r="J48" s="1169"/>
      <c r="K48" s="1170"/>
      <c r="L48" s="1171"/>
      <c r="M48" s="1044"/>
      <c r="N48" s="1044"/>
      <c r="O48" s="1044"/>
      <c r="P48" s="3464" t="str">
        <f>A48</f>
        <v>成交单价（元/平方米）</v>
      </c>
      <c r="Q48" s="3438"/>
      <c r="R48" s="3439">
        <f>E48</f>
        <v>0</v>
      </c>
      <c r="S48" s="3439"/>
      <c r="T48" s="3439">
        <f>G48</f>
        <v>0</v>
      </c>
      <c r="U48" s="3439"/>
      <c r="V48" s="3439">
        <f>I48</f>
        <v>0</v>
      </c>
      <c r="W48" s="3439"/>
      <c r="X48" s="1172"/>
      <c r="Y48" s="1173"/>
      <c r="Z48" s="1172"/>
      <c r="AA48" s="1172"/>
      <c r="AB48" s="1172"/>
      <c r="AC48" s="1111"/>
    </row>
    <row r="49" spans="1:29" ht="14.4">
      <c r="A49" s="1174" t="s">
        <v>1183</v>
      </c>
      <c r="B49" s="1390"/>
      <c r="C49" s="1391" t="e">
        <f>R50</f>
        <v>#DIV/0!</v>
      </c>
      <c r="D49" s="1177" t="s">
        <v>1184</v>
      </c>
      <c r="E49" s="1392" t="e">
        <f>R49</f>
        <v>#DIV/0!</v>
      </c>
      <c r="F49" s="1178"/>
      <c r="G49" s="1391" t="e">
        <f>T49</f>
        <v>#DIV/0!</v>
      </c>
      <c r="H49" s="1178"/>
      <c r="I49" s="1392" t="e">
        <f>V49</f>
        <v>#DIV/0!</v>
      </c>
      <c r="J49" s="1178"/>
      <c r="K49" s="1180">
        <f>F49+H49+J49</f>
        <v>0</v>
      </c>
      <c r="L49" s="1171"/>
      <c r="M49" s="1044"/>
      <c r="N49" s="1044"/>
      <c r="O49" s="1044"/>
      <c r="P49" s="3464"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172"/>
      <c r="Y49" s="1172"/>
      <c r="Z49" s="1172"/>
      <c r="AA49" s="1172"/>
      <c r="AB49" s="1172"/>
      <c r="AC49" s="1111"/>
    </row>
    <row r="50" spans="1:29" ht="14.4">
      <c r="A50" s="1181" t="s">
        <v>2186</v>
      </c>
      <c r="B50" s="1182"/>
      <c r="C50" s="1053" t="e">
        <f>R50</f>
        <v>#DIV/0!</v>
      </c>
      <c r="D50" s="1053"/>
      <c r="E50" s="1053"/>
      <c r="F50" s="1053"/>
      <c r="G50" s="1053"/>
      <c r="H50" s="1053"/>
      <c r="I50" s="1053"/>
      <c r="J50" s="1183"/>
      <c r="K50" s="1184"/>
      <c r="L50" s="1171"/>
      <c r="M50" s="1044"/>
      <c r="N50" s="1044"/>
      <c r="O50" s="1044"/>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1186</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1187</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1188</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1213</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1134</v>
      </c>
      <c r="B59" s="1395"/>
      <c r="C59" s="1396" t="str">
        <f>YEAR(C7)&amp;"-"&amp;MONTH(C7)</f>
        <v>2026-1</v>
      </c>
      <c r="D59" s="1397">
        <f>EDATE(C59,-1)</f>
        <v>45992</v>
      </c>
      <c r="E59" s="1397">
        <f>EDATE(D59,-1)</f>
        <v>45962</v>
      </c>
      <c r="F59" s="1397">
        <f t="shared" ref="F59:O59" si="16">EDATE(E59,-1)</f>
        <v>45931</v>
      </c>
      <c r="G59" s="1397">
        <f t="shared" si="16"/>
        <v>45901</v>
      </c>
      <c r="H59" s="1397">
        <f t="shared" si="16"/>
        <v>45870</v>
      </c>
      <c r="I59" s="1397">
        <f t="shared" si="16"/>
        <v>45839</v>
      </c>
      <c r="J59" s="1397">
        <f t="shared" si="16"/>
        <v>45809</v>
      </c>
      <c r="K59" s="1397">
        <f t="shared" si="16"/>
        <v>45778</v>
      </c>
      <c r="L59" s="1397">
        <f t="shared" si="16"/>
        <v>45748</v>
      </c>
      <c r="M59" s="1397">
        <f t="shared" si="16"/>
        <v>45717</v>
      </c>
      <c r="N59" s="1397">
        <f t="shared" si="16"/>
        <v>45689</v>
      </c>
      <c r="O59" s="1397">
        <f t="shared" si="16"/>
        <v>45658</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1216</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1137</v>
      </c>
      <c r="B62" s="1256"/>
      <c r="C62" s="1257" t="s">
        <v>1138</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1217</v>
      </c>
      <c r="B64" s="1265" t="s">
        <v>1142</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1147</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1148</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1153</v>
      </c>
      <c r="B77" s="1265" t="s">
        <v>1158</v>
      </c>
      <c r="C77" s="1308" t="s">
        <v>1219</v>
      </c>
      <c r="D77" s="1308" t="s">
        <v>1220</v>
      </c>
      <c r="E77" s="1308" t="s">
        <v>1221</v>
      </c>
      <c r="F77" s="1308" t="s">
        <v>1222</v>
      </c>
      <c r="G77" s="1308" t="s">
        <v>1223</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1159</v>
      </c>
      <c r="C79" s="1313" t="s">
        <v>1219</v>
      </c>
      <c r="D79" s="1313" t="s">
        <v>1220</v>
      </c>
      <c r="E79" s="1313" t="s">
        <v>1221</v>
      </c>
      <c r="F79" s="1313" t="s">
        <v>1222</v>
      </c>
      <c r="G79" s="1313" t="s">
        <v>1223</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1163</v>
      </c>
      <c r="C81" s="1313" t="s">
        <v>1219</v>
      </c>
      <c r="D81" s="1313" t="s">
        <v>1220</v>
      </c>
      <c r="E81" s="1313" t="s">
        <v>1221</v>
      </c>
      <c r="F81" s="1313" t="s">
        <v>1222</v>
      </c>
      <c r="G81" s="1313" t="s">
        <v>1223</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1164</v>
      </c>
      <c r="C83" s="1116" t="s">
        <v>1224</v>
      </c>
      <c r="D83" s="1116" t="s">
        <v>1225</v>
      </c>
      <c r="E83" s="1116" t="s">
        <v>1226</v>
      </c>
      <c r="F83" s="1116" t="s">
        <v>1227</v>
      </c>
      <c r="G83" s="1116" t="s">
        <v>1228</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2218</v>
      </c>
      <c r="C85" s="1313" t="s">
        <v>1219</v>
      </c>
      <c r="D85" s="1313" t="s">
        <v>1220</v>
      </c>
      <c r="E85" s="1313" t="s">
        <v>1221</v>
      </c>
      <c r="F85" s="1313" t="s">
        <v>1222</v>
      </c>
      <c r="G85" s="1313" t="s">
        <v>1223</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1168</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1172</v>
      </c>
      <c r="B101" s="1265" t="s">
        <v>2174</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2175</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2176</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2178</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766</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2219</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2179</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2180</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2221</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2214</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2183</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2184</v>
      </c>
      <c r="C125" s="1313" t="s">
        <v>1219</v>
      </c>
      <c r="D125" s="1313" t="s">
        <v>1220</v>
      </c>
      <c r="E125" s="1313" t="s">
        <v>1221</v>
      </c>
      <c r="F125" s="1313" t="s">
        <v>1222</v>
      </c>
      <c r="G125" s="1313" t="s">
        <v>1223</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2222</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1122</v>
      </c>
      <c r="B3" s="1035">
        <f>IF(C2="——",C43,ROUND(B2*10000/D3,0))</f>
        <v>0</v>
      </c>
      <c r="C3" s="1360" t="s">
        <v>1123</v>
      </c>
      <c r="D3" s="1361">
        <f>IF(D1="",'数据-汇总表'!E3,SUMIF('数据-汇总表'!$C19:$C33,D1,'数据-汇总表'!$E19:$E33))</f>
        <v>154306.03</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470"/>
      <c r="M4" s="1227"/>
      <c r="N4" s="1227"/>
      <c r="O4" s="1227"/>
      <c r="P4" s="3451" t="s">
        <v>1130</v>
      </c>
      <c r="Q4" s="3452"/>
      <c r="R4" s="3457" t="s">
        <v>1126</v>
      </c>
      <c r="S4" s="3458"/>
      <c r="T4" s="3457" t="s">
        <v>1127</v>
      </c>
      <c r="U4" s="3458"/>
      <c r="V4" s="3439" t="s">
        <v>1128</v>
      </c>
      <c r="W4" s="3439"/>
      <c r="X4" s="1048"/>
      <c r="Y4" s="3457" t="s">
        <v>1130</v>
      </c>
      <c r="Z4" s="3458"/>
      <c r="AA4" s="3448" t="s">
        <v>1126</v>
      </c>
      <c r="AB4" s="3449" t="s">
        <v>1127</v>
      </c>
      <c r="AC4" s="3448" t="s">
        <v>1128</v>
      </c>
    </row>
    <row r="5" spans="1:29">
      <c r="A5" s="1049"/>
      <c r="B5" s="1050"/>
      <c r="C5" s="3427" t="s">
        <v>1131</v>
      </c>
      <c r="D5" s="3428"/>
      <c r="E5" s="3429" t="s">
        <v>2168</v>
      </c>
      <c r="F5" s="3430"/>
      <c r="G5" s="3427" t="s">
        <v>2169</v>
      </c>
      <c r="H5" s="3428"/>
      <c r="I5" s="3427" t="s">
        <v>2170</v>
      </c>
      <c r="J5" s="3428"/>
      <c r="K5" s="1042"/>
      <c r="L5" s="1470"/>
      <c r="M5" s="1227"/>
      <c r="N5" s="1227"/>
      <c r="O5" s="1227"/>
      <c r="P5" s="3453"/>
      <c r="Q5" s="3454"/>
      <c r="R5" s="3459"/>
      <c r="S5" s="3460"/>
      <c r="T5" s="3459"/>
      <c r="U5" s="3460"/>
      <c r="V5" s="3439"/>
      <c r="W5" s="3439"/>
      <c r="X5" s="1048"/>
      <c r="Y5" s="3459"/>
      <c r="Z5" s="3460"/>
      <c r="AA5" s="3449"/>
      <c r="AB5" s="3449"/>
      <c r="AC5" s="3449"/>
    </row>
    <row r="6" spans="1:29" ht="14.4">
      <c r="A6" s="1052"/>
      <c r="B6" s="1053"/>
      <c r="C6" s="3431" t="s">
        <v>1132</v>
      </c>
      <c r="D6" s="3432"/>
      <c r="E6" s="3433" t="s">
        <v>1132</v>
      </c>
      <c r="F6" s="3434"/>
      <c r="G6" s="3431" t="s">
        <v>1132</v>
      </c>
      <c r="H6" s="3432"/>
      <c r="I6" s="3431" t="s">
        <v>1132</v>
      </c>
      <c r="J6" s="3432"/>
      <c r="K6" s="1042" t="s">
        <v>1133</v>
      </c>
      <c r="L6" s="1470"/>
      <c r="M6" s="1227"/>
      <c r="N6" s="1227"/>
      <c r="O6" s="1227"/>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0" si="3">D8/F8</f>
        <v>1</v>
      </c>
      <c r="AB8" s="1071">
        <f t="shared" ref="AB8:AB40" si="4">D8/H8</f>
        <v>1</v>
      </c>
      <c r="AC8" s="1071">
        <f t="shared" ref="AC8:AC40" si="5">D8/J8</f>
        <v>1</v>
      </c>
    </row>
    <row r="9" spans="1:29" s="1011" customFormat="1" ht="14.4">
      <c r="A9" s="1073" t="s">
        <v>1141</v>
      </c>
      <c r="B9" s="1074" t="s">
        <v>1142</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438" t="s">
        <v>1145</v>
      </c>
      <c r="Q9" s="811" t="str">
        <f t="shared" ref="Q9:Q15" si="6">B9</f>
        <v>用途</v>
      </c>
      <c r="R9" s="1067" t="s">
        <v>1136</v>
      </c>
      <c r="S9" s="1068">
        <f t="shared" si="0"/>
        <v>100</v>
      </c>
      <c r="T9" s="1067" t="s">
        <v>1136</v>
      </c>
      <c r="U9" s="1068">
        <f t="shared" si="1"/>
        <v>100</v>
      </c>
      <c r="V9" s="1067" t="s">
        <v>1136</v>
      </c>
      <c r="W9" s="1068">
        <f t="shared" si="2"/>
        <v>100</v>
      </c>
      <c r="X9" s="1069"/>
      <c r="Y9" s="3404"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438"/>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071">
        <f t="shared" si="5"/>
        <v>1</v>
      </c>
    </row>
    <row r="11" spans="1:29" ht="15">
      <c r="A11" s="1086"/>
      <c r="B11" s="1079" t="s">
        <v>1148</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438"/>
      <c r="Q11" s="811" t="str">
        <f t="shared" si="6"/>
        <v>容积率</v>
      </c>
      <c r="R11" s="1067" t="s">
        <v>1136</v>
      </c>
      <c r="S11" s="1068">
        <f t="shared" si="0"/>
        <v>100</v>
      </c>
      <c r="T11" s="1067" t="s">
        <v>1136</v>
      </c>
      <c r="U11" s="1068">
        <f t="shared" si="1"/>
        <v>100</v>
      </c>
      <c r="V11" s="1067" t="s">
        <v>1136</v>
      </c>
      <c r="W11" s="1068">
        <f t="shared" si="2"/>
        <v>100</v>
      </c>
      <c r="X11" s="1069"/>
      <c r="Y11" s="3404"/>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438"/>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438"/>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438"/>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071">
        <f t="shared" si="5"/>
        <v>1</v>
      </c>
    </row>
    <row r="15" spans="1:29" ht="69">
      <c r="A15" s="1103" t="s">
        <v>1153</v>
      </c>
      <c r="B15" s="1367" t="s">
        <v>2223</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444" t="s">
        <v>1155</v>
      </c>
      <c r="Q15" s="707" t="str">
        <f t="shared" si="6"/>
        <v>产业集聚程度</v>
      </c>
      <c r="R15" s="1109" t="s">
        <v>1136</v>
      </c>
      <c r="S15" s="1110">
        <f t="shared" si="0"/>
        <v>100</v>
      </c>
      <c r="T15" s="1109" t="s">
        <v>1136</v>
      </c>
      <c r="U15" s="1110">
        <f t="shared" si="1"/>
        <v>100</v>
      </c>
      <c r="V15" s="1109" t="s">
        <v>1136</v>
      </c>
      <c r="W15" s="1110">
        <f t="shared" si="2"/>
        <v>100</v>
      </c>
      <c r="X15" s="1048"/>
      <c r="Y15" s="3444" t="s">
        <v>1155</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445"/>
      <c r="Q16" s="707"/>
      <c r="R16" s="1109"/>
      <c r="S16" s="1110"/>
      <c r="T16" s="1109"/>
      <c r="U16" s="1110"/>
      <c r="V16" s="1109"/>
      <c r="W16" s="1110"/>
      <c r="X16" s="1048"/>
      <c r="Y16" s="3445"/>
      <c r="Z16" s="1047"/>
      <c r="AA16" s="1047">
        <v>1</v>
      </c>
      <c r="AB16" s="1047">
        <v>1</v>
      </c>
      <c r="AC16" s="1047">
        <v>1</v>
      </c>
    </row>
    <row r="17" spans="1:29" ht="96.6">
      <c r="A17" s="1086"/>
      <c r="B17" s="1371" t="s">
        <v>1159</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445"/>
      <c r="Q17" s="707" t="str">
        <f>B17</f>
        <v>交通便捷度</v>
      </c>
      <c r="R17" s="1109" t="s">
        <v>1136</v>
      </c>
      <c r="S17" s="1110">
        <f>F17</f>
        <v>100</v>
      </c>
      <c r="T17" s="1109" t="s">
        <v>1136</v>
      </c>
      <c r="U17" s="1110">
        <f>H17</f>
        <v>100</v>
      </c>
      <c r="V17" s="1109" t="s">
        <v>1136</v>
      </c>
      <c r="W17" s="1110">
        <f>J17</f>
        <v>100</v>
      </c>
      <c r="X17" s="1048"/>
      <c r="Y17" s="344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445"/>
      <c r="Q18" s="707"/>
      <c r="R18" s="1109"/>
      <c r="S18" s="1110"/>
      <c r="T18" s="1109"/>
      <c r="U18" s="1110"/>
      <c r="V18" s="1109"/>
      <c r="W18" s="1110"/>
      <c r="X18" s="1048"/>
      <c r="Y18" s="3445"/>
      <c r="Z18" s="1047"/>
      <c r="AA18" s="1047">
        <v>1</v>
      </c>
      <c r="AB18" s="1047">
        <v>1</v>
      </c>
      <c r="AC18" s="1047">
        <v>1</v>
      </c>
    </row>
    <row r="19" spans="1:29" ht="41.4">
      <c r="A19" s="1086"/>
      <c r="B19" s="1371" t="s">
        <v>1163</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445"/>
      <c r="Q19" s="707" t="str">
        <f>B19</f>
        <v>公共配套设施</v>
      </c>
      <c r="R19" s="1109" t="s">
        <v>1136</v>
      </c>
      <c r="S19" s="1110">
        <f>F19</f>
        <v>100</v>
      </c>
      <c r="T19" s="1109" t="s">
        <v>1136</v>
      </c>
      <c r="U19" s="1110">
        <f>H19</f>
        <v>100</v>
      </c>
      <c r="V19" s="1109" t="s">
        <v>1136</v>
      </c>
      <c r="W19" s="1110">
        <f>J19</f>
        <v>100</v>
      </c>
      <c r="X19" s="1048"/>
      <c r="Y19" s="344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445"/>
      <c r="Q20" s="707"/>
      <c r="R20" s="1109"/>
      <c r="S20" s="1110"/>
      <c r="T20" s="1109"/>
      <c r="U20" s="1110"/>
      <c r="V20" s="1109"/>
      <c r="W20" s="1110"/>
      <c r="X20" s="1048"/>
      <c r="Y20" s="3445"/>
      <c r="Z20" s="1047"/>
      <c r="AA20" s="1047">
        <v>1</v>
      </c>
      <c r="AB20" s="1047">
        <v>1</v>
      </c>
      <c r="AC20" s="1047">
        <v>1</v>
      </c>
    </row>
    <row r="21" spans="1:29" ht="41.4">
      <c r="A21" s="1086"/>
      <c r="B21" s="1375" t="s">
        <v>1164</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445"/>
      <c r="Q21" s="707" t="str">
        <f>B21</f>
        <v>基础设施水平</v>
      </c>
      <c r="R21" s="1109" t="s">
        <v>1136</v>
      </c>
      <c r="S21" s="1110">
        <f>F21</f>
        <v>100</v>
      </c>
      <c r="T21" s="1109" t="s">
        <v>1136</v>
      </c>
      <c r="U21" s="1110">
        <f>H21</f>
        <v>100</v>
      </c>
      <c r="V21" s="1109" t="s">
        <v>1136</v>
      </c>
      <c r="W21" s="1110">
        <f>J21</f>
        <v>100</v>
      </c>
      <c r="X21" s="1048"/>
      <c r="Y21" s="344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445"/>
      <c r="Q22" s="707"/>
      <c r="R22" s="1109"/>
      <c r="S22" s="1110"/>
      <c r="T22" s="1109"/>
      <c r="U22" s="1110"/>
      <c r="V22" s="1109"/>
      <c r="W22" s="1110"/>
      <c r="X22" s="1048"/>
      <c r="Y22" s="3445"/>
      <c r="Z22" s="1047"/>
      <c r="AA22" s="1047">
        <v>1</v>
      </c>
      <c r="AB22" s="1047">
        <v>1</v>
      </c>
      <c r="AC22" s="1047">
        <v>1</v>
      </c>
    </row>
    <row r="23" spans="1:29" ht="82.8">
      <c r="A23" s="1086"/>
      <c r="B23" s="1371" t="s">
        <v>2218</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445"/>
      <c r="Q23" s="707" t="str">
        <f>B23</f>
        <v>环境质量</v>
      </c>
      <c r="R23" s="1109" t="s">
        <v>1136</v>
      </c>
      <c r="S23" s="1110">
        <f>F23</f>
        <v>100</v>
      </c>
      <c r="T23" s="1109" t="s">
        <v>1136</v>
      </c>
      <c r="U23" s="1110">
        <f>H23</f>
        <v>100</v>
      </c>
      <c r="V23" s="1109" t="s">
        <v>1136</v>
      </c>
      <c r="W23" s="1110">
        <f>J23</f>
        <v>100</v>
      </c>
      <c r="X23" s="1048"/>
      <c r="Y23" s="3445"/>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445"/>
      <c r="Q24" s="707"/>
      <c r="R24" s="1109"/>
      <c r="S24" s="1110"/>
      <c r="T24" s="1109"/>
      <c r="U24" s="1110"/>
      <c r="V24" s="1109"/>
      <c r="W24" s="1110"/>
      <c r="X24" s="1048"/>
      <c r="Y24" s="3445"/>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445"/>
      <c r="Q25" s="707">
        <f>B25</f>
        <v>111</v>
      </c>
      <c r="R25" s="1109" t="s">
        <v>1136</v>
      </c>
      <c r="S25" s="1110">
        <f>F25</f>
        <v>100</v>
      </c>
      <c r="T25" s="1109" t="s">
        <v>1136</v>
      </c>
      <c r="U25" s="1110">
        <f>H25</f>
        <v>100</v>
      </c>
      <c r="V25" s="1109" t="s">
        <v>1136</v>
      </c>
      <c r="W25" s="1110">
        <f>J25</f>
        <v>100</v>
      </c>
      <c r="X25" s="1048"/>
      <c r="Y25" s="3445"/>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445"/>
      <c r="Q26" s="707">
        <f t="shared" ref="Q26:Q40" si="11">B26</f>
        <v>111</v>
      </c>
      <c r="R26" s="1109" t="s">
        <v>1136</v>
      </c>
      <c r="S26" s="1110">
        <f>F26</f>
        <v>100</v>
      </c>
      <c r="T26" s="1109" t="s">
        <v>1136</v>
      </c>
      <c r="U26" s="1110">
        <f>H26</f>
        <v>100</v>
      </c>
      <c r="V26" s="1109" t="s">
        <v>1136</v>
      </c>
      <c r="W26" s="1110">
        <f>J26</f>
        <v>100</v>
      </c>
      <c r="X26" s="1048"/>
      <c r="Y26" s="3445"/>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445"/>
      <c r="Q27" s="811">
        <f t="shared" si="11"/>
        <v>111</v>
      </c>
      <c r="R27" s="1067" t="s">
        <v>1136</v>
      </c>
      <c r="S27" s="1068">
        <f>F27</f>
        <v>100</v>
      </c>
      <c r="T27" s="1067" t="s">
        <v>1136</v>
      </c>
      <c r="U27" s="1068">
        <f>H27</f>
        <v>100</v>
      </c>
      <c r="V27" s="1067" t="s">
        <v>1136</v>
      </c>
      <c r="W27" s="1068">
        <f>J27</f>
        <v>100</v>
      </c>
      <c r="X27" s="1069"/>
      <c r="Y27" s="3445"/>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445"/>
      <c r="Q28" s="707">
        <f t="shared" si="11"/>
        <v>111</v>
      </c>
      <c r="R28" s="1109" t="s">
        <v>1136</v>
      </c>
      <c r="S28" s="1110">
        <f t="shared" ref="S28:S40" si="12">F28</f>
        <v>100</v>
      </c>
      <c r="T28" s="1109" t="s">
        <v>1136</v>
      </c>
      <c r="U28" s="1110">
        <f t="shared" ref="U28:U40" si="13">H28</f>
        <v>100</v>
      </c>
      <c r="V28" s="1109" t="s">
        <v>1136</v>
      </c>
      <c r="W28" s="1110">
        <f t="shared" ref="W28:W40" si="14">J28</f>
        <v>100</v>
      </c>
      <c r="X28" s="1048"/>
      <c r="Y28" s="3445"/>
      <c r="Z28" s="1047">
        <f t="shared" ref="Z28:Z40" si="15">Q28</f>
        <v>111</v>
      </c>
      <c r="AA28" s="1047">
        <f t="shared" si="3"/>
        <v>1</v>
      </c>
      <c r="AB28" s="1047">
        <f t="shared" si="4"/>
        <v>1</v>
      </c>
      <c r="AC28" s="1047">
        <f t="shared" si="5"/>
        <v>1</v>
      </c>
    </row>
    <row r="29" spans="1:29" ht="30">
      <c r="A29" s="1378" t="s">
        <v>1172</v>
      </c>
      <c r="B29" s="1074" t="s">
        <v>2174</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446" t="s">
        <v>1171</v>
      </c>
      <c r="Q29" s="707" t="str">
        <f t="shared" si="11"/>
        <v>建筑类型</v>
      </c>
      <c r="R29" s="1109" t="s">
        <v>1136</v>
      </c>
      <c r="S29" s="1110">
        <f t="shared" si="12"/>
        <v>100</v>
      </c>
      <c r="T29" s="1109" t="s">
        <v>1136</v>
      </c>
      <c r="U29" s="1110">
        <f t="shared" si="13"/>
        <v>100</v>
      </c>
      <c r="V29" s="1109" t="s">
        <v>1136</v>
      </c>
      <c r="W29" s="1110">
        <f t="shared" si="14"/>
        <v>100</v>
      </c>
      <c r="X29" s="1048"/>
      <c r="Y29" s="3447" t="s">
        <v>1171</v>
      </c>
      <c r="Z29" s="1047" t="str">
        <f t="shared" si="15"/>
        <v>建筑类型</v>
      </c>
      <c r="AA29" s="1047">
        <f t="shared" si="3"/>
        <v>1</v>
      </c>
      <c r="AB29" s="1047">
        <f t="shared" si="4"/>
        <v>1</v>
      </c>
      <c r="AC29" s="1047">
        <f t="shared" si="5"/>
        <v>1</v>
      </c>
    </row>
    <row r="30" spans="1:29" s="1013" customFormat="1" ht="15">
      <c r="A30" s="1159"/>
      <c r="B30" s="1079" t="s">
        <v>2175</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447"/>
      <c r="Q30" s="1383" t="str">
        <f t="shared" si="11"/>
        <v>项目建筑规模</v>
      </c>
      <c r="R30" s="1147" t="s">
        <v>1136</v>
      </c>
      <c r="S30" s="1148" t="e">
        <f t="shared" si="12"/>
        <v>#N/A</v>
      </c>
      <c r="T30" s="1147" t="s">
        <v>1136</v>
      </c>
      <c r="U30" s="1148" t="e">
        <f t="shared" si="13"/>
        <v>#N/A</v>
      </c>
      <c r="V30" s="1147" t="s">
        <v>1136</v>
      </c>
      <c r="W30" s="1148" t="e">
        <f t="shared" si="14"/>
        <v>#N/A</v>
      </c>
      <c r="X30" s="1149"/>
      <c r="Y30" s="3447"/>
      <c r="Z30" s="1150" t="str">
        <f t="shared" si="15"/>
        <v>项目建筑规模</v>
      </c>
      <c r="AA30" s="1047" t="e">
        <f t="shared" si="3"/>
        <v>#N/A</v>
      </c>
      <c r="AB30" s="1047" t="e">
        <f t="shared" si="4"/>
        <v>#N/A</v>
      </c>
      <c r="AC30" s="1047" t="e">
        <f t="shared" si="5"/>
        <v>#N/A</v>
      </c>
    </row>
    <row r="31" spans="1:29" ht="15">
      <c r="A31" s="1154"/>
      <c r="B31" s="1079" t="s">
        <v>2176</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447"/>
      <c r="Q31" s="707" t="str">
        <f t="shared" si="11"/>
        <v>建筑结构</v>
      </c>
      <c r="R31" s="1109" t="s">
        <v>1136</v>
      </c>
      <c r="S31" s="1110">
        <f t="shared" si="12"/>
        <v>100</v>
      </c>
      <c r="T31" s="1109" t="s">
        <v>1136</v>
      </c>
      <c r="U31" s="1110">
        <f t="shared" si="13"/>
        <v>100</v>
      </c>
      <c r="V31" s="1109" t="s">
        <v>1136</v>
      </c>
      <c r="W31" s="1110">
        <f t="shared" si="14"/>
        <v>100</v>
      </c>
      <c r="X31" s="1048"/>
      <c r="Y31" s="3447"/>
      <c r="Z31" s="1047" t="str">
        <f t="shared" si="15"/>
        <v>建筑结构</v>
      </c>
      <c r="AA31" s="1047">
        <f t="shared" si="3"/>
        <v>1</v>
      </c>
      <c r="AB31" s="1047">
        <f t="shared" si="4"/>
        <v>1</v>
      </c>
      <c r="AC31" s="1047">
        <f t="shared" si="5"/>
        <v>1</v>
      </c>
    </row>
    <row r="32" spans="1:29" ht="15">
      <c r="A32" s="1154"/>
      <c r="B32" s="1079" t="s">
        <v>2178</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447"/>
      <c r="Q32" s="707" t="str">
        <f t="shared" si="11"/>
        <v>公共部分装修</v>
      </c>
      <c r="R32" s="1109" t="s">
        <v>1136</v>
      </c>
      <c r="S32" s="1110">
        <f t="shared" si="12"/>
        <v>100</v>
      </c>
      <c r="T32" s="1109" t="s">
        <v>1136</v>
      </c>
      <c r="U32" s="1110">
        <f t="shared" si="13"/>
        <v>100</v>
      </c>
      <c r="V32" s="1109" t="s">
        <v>1136</v>
      </c>
      <c r="W32" s="1110">
        <f t="shared" si="14"/>
        <v>100</v>
      </c>
      <c r="X32" s="1048"/>
      <c r="Y32" s="3447"/>
      <c r="Z32" s="1047" t="str">
        <f t="shared" si="15"/>
        <v>公共部分装修</v>
      </c>
      <c r="AA32" s="1047">
        <f t="shared" si="3"/>
        <v>1</v>
      </c>
      <c r="AB32" s="1047">
        <f t="shared" si="4"/>
        <v>1</v>
      </c>
      <c r="AC32" s="1047">
        <f t="shared" si="5"/>
        <v>1</v>
      </c>
    </row>
    <row r="33" spans="1:29" ht="15">
      <c r="A33" s="1154"/>
      <c r="B33" s="1079" t="s">
        <v>766</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447"/>
      <c r="Q33" s="707" t="str">
        <f t="shared" si="11"/>
        <v>成新度</v>
      </c>
      <c r="R33" s="1109" t="s">
        <v>1136</v>
      </c>
      <c r="S33" s="1110" t="e">
        <f t="shared" si="12"/>
        <v>#N/A</v>
      </c>
      <c r="T33" s="1109" t="s">
        <v>1136</v>
      </c>
      <c r="U33" s="1110" t="e">
        <f t="shared" si="13"/>
        <v>#N/A</v>
      </c>
      <c r="V33" s="1109" t="s">
        <v>1136</v>
      </c>
      <c r="W33" s="1110" t="e">
        <f t="shared" si="14"/>
        <v>#N/A</v>
      </c>
      <c r="X33" s="1048"/>
      <c r="Y33" s="3447"/>
      <c r="Z33" s="1047" t="str">
        <f t="shared" si="15"/>
        <v>成新度</v>
      </c>
      <c r="AA33" s="1047" t="e">
        <f t="shared" si="3"/>
        <v>#N/A</v>
      </c>
      <c r="AB33" s="1047" t="e">
        <f t="shared" si="4"/>
        <v>#N/A</v>
      </c>
      <c r="AC33" s="1047" t="e">
        <f t="shared" si="5"/>
        <v>#N/A</v>
      </c>
    </row>
    <row r="34" spans="1:29" s="1011" customFormat="1" ht="15">
      <c r="A34" s="1156"/>
      <c r="B34" s="1079" t="s">
        <v>2179</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447"/>
      <c r="Q34" s="811" t="str">
        <f t="shared" si="11"/>
        <v>物业管理</v>
      </c>
      <c r="R34" s="1067" t="s">
        <v>1136</v>
      </c>
      <c r="S34" s="1068">
        <f t="shared" si="12"/>
        <v>100</v>
      </c>
      <c r="T34" s="1067" t="s">
        <v>1136</v>
      </c>
      <c r="U34" s="1068">
        <f t="shared" si="13"/>
        <v>100</v>
      </c>
      <c r="V34" s="1067" t="s">
        <v>1136</v>
      </c>
      <c r="W34" s="1068">
        <f t="shared" si="14"/>
        <v>100</v>
      </c>
      <c r="X34" s="1069"/>
      <c r="Y34" s="3447"/>
      <c r="Z34" s="1071" t="str">
        <f t="shared" si="15"/>
        <v>物业管理</v>
      </c>
      <c r="AA34" s="1071">
        <f t="shared" si="3"/>
        <v>1</v>
      </c>
      <c r="AB34" s="1071">
        <f t="shared" si="4"/>
        <v>1</v>
      </c>
      <c r="AC34" s="1071">
        <f t="shared" si="5"/>
        <v>1</v>
      </c>
    </row>
    <row r="35" spans="1:29" ht="15">
      <c r="A35" s="1154"/>
      <c r="B35" s="1079" t="s">
        <v>2180</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447" t="s">
        <v>1171</v>
      </c>
      <c r="Q35" s="707" t="str">
        <f t="shared" si="11"/>
        <v>市政基础设施</v>
      </c>
      <c r="R35" s="1109" t="s">
        <v>1136</v>
      </c>
      <c r="S35" s="1110">
        <f t="shared" si="12"/>
        <v>100</v>
      </c>
      <c r="T35" s="1109" t="s">
        <v>1136</v>
      </c>
      <c r="U35" s="1110">
        <f t="shared" si="13"/>
        <v>100</v>
      </c>
      <c r="V35" s="1109" t="s">
        <v>1136</v>
      </c>
      <c r="W35" s="1110">
        <f t="shared" si="14"/>
        <v>100</v>
      </c>
      <c r="X35" s="1048"/>
      <c r="Y35" s="3447" t="s">
        <v>1171</v>
      </c>
      <c r="Z35" s="1047" t="str">
        <f t="shared" si="15"/>
        <v>市政基础设施</v>
      </c>
      <c r="AA35" s="1047">
        <f t="shared" si="3"/>
        <v>1</v>
      </c>
      <c r="AB35" s="1047">
        <f t="shared" si="4"/>
        <v>1</v>
      </c>
      <c r="AC35" s="1047">
        <f t="shared" si="5"/>
        <v>1</v>
      </c>
    </row>
    <row r="36" spans="1:29" ht="15">
      <c r="A36" s="1154"/>
      <c r="B36" s="1079" t="s">
        <v>2183</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447"/>
      <c r="Q36" s="707" t="str">
        <f t="shared" si="11"/>
        <v>内部装修</v>
      </c>
      <c r="R36" s="1109" t="s">
        <v>1136</v>
      </c>
      <c r="S36" s="1110">
        <f t="shared" si="12"/>
        <v>100</v>
      </c>
      <c r="T36" s="1109" t="s">
        <v>1136</v>
      </c>
      <c r="U36" s="1110">
        <f t="shared" si="13"/>
        <v>100</v>
      </c>
      <c r="V36" s="1109" t="s">
        <v>1136</v>
      </c>
      <c r="W36" s="1110">
        <f t="shared" si="14"/>
        <v>100</v>
      </c>
      <c r="X36" s="1048"/>
      <c r="Y36" s="3447"/>
      <c r="Z36" s="1047" t="str">
        <f t="shared" si="15"/>
        <v>内部装修</v>
      </c>
      <c r="AA36" s="1047">
        <f t="shared" si="3"/>
        <v>1</v>
      </c>
      <c r="AB36" s="1047">
        <f t="shared" si="4"/>
        <v>1</v>
      </c>
      <c r="AC36" s="1047">
        <f t="shared" si="5"/>
        <v>1</v>
      </c>
    </row>
    <row r="37" spans="1:29" ht="15">
      <c r="A37" s="1154"/>
      <c r="B37" s="1079" t="s">
        <v>2224</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447"/>
      <c r="Q37" s="707" t="str">
        <f t="shared" si="11"/>
        <v>内部装修状况</v>
      </c>
      <c r="R37" s="1109" t="s">
        <v>1136</v>
      </c>
      <c r="S37" s="1110">
        <f t="shared" si="12"/>
        <v>100</v>
      </c>
      <c r="T37" s="1109" t="s">
        <v>1136</v>
      </c>
      <c r="U37" s="1110">
        <f t="shared" si="13"/>
        <v>100</v>
      </c>
      <c r="V37" s="1109" t="s">
        <v>1136</v>
      </c>
      <c r="W37" s="1110">
        <f t="shared" si="14"/>
        <v>100</v>
      </c>
      <c r="X37" s="1048"/>
      <c r="Y37" s="3447"/>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447"/>
      <c r="Q38" s="1383">
        <f t="shared" si="11"/>
        <v>111</v>
      </c>
      <c r="R38" s="1147" t="s">
        <v>1136</v>
      </c>
      <c r="S38" s="1148">
        <f t="shared" si="12"/>
        <v>100</v>
      </c>
      <c r="T38" s="1147" t="s">
        <v>1136</v>
      </c>
      <c r="U38" s="1148">
        <f t="shared" si="13"/>
        <v>100</v>
      </c>
      <c r="V38" s="1147" t="s">
        <v>1136</v>
      </c>
      <c r="W38" s="1148">
        <f t="shared" si="14"/>
        <v>100</v>
      </c>
      <c r="X38" s="1149"/>
      <c r="Y38" s="3447"/>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447"/>
      <c r="Q39" s="707">
        <f t="shared" si="11"/>
        <v>111</v>
      </c>
      <c r="R39" s="1109" t="s">
        <v>1136</v>
      </c>
      <c r="S39" s="1110">
        <f t="shared" si="12"/>
        <v>100</v>
      </c>
      <c r="T39" s="1109" t="s">
        <v>1136</v>
      </c>
      <c r="U39" s="1110">
        <f t="shared" si="13"/>
        <v>100</v>
      </c>
      <c r="V39" s="1109" t="s">
        <v>1136</v>
      </c>
      <c r="W39" s="1110">
        <f t="shared" si="14"/>
        <v>100</v>
      </c>
      <c r="X39" s="1048"/>
      <c r="Y39" s="3447"/>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500"/>
      <c r="Q40" s="707">
        <f t="shared" si="11"/>
        <v>111</v>
      </c>
      <c r="R40" s="1109" t="s">
        <v>1136</v>
      </c>
      <c r="S40" s="1110">
        <f t="shared" si="12"/>
        <v>100</v>
      </c>
      <c r="T40" s="1109" t="s">
        <v>1136</v>
      </c>
      <c r="U40" s="1110">
        <f t="shared" si="13"/>
        <v>100</v>
      </c>
      <c r="V40" s="1109" t="s">
        <v>1136</v>
      </c>
      <c r="W40" s="1110">
        <f t="shared" si="14"/>
        <v>100</v>
      </c>
      <c r="X40" s="1048"/>
      <c r="Y40" s="3500"/>
      <c r="Z40" s="1047">
        <f t="shared" si="15"/>
        <v>111</v>
      </c>
      <c r="AA40" s="1047">
        <f t="shared" si="3"/>
        <v>1</v>
      </c>
      <c r="AB40" s="1047">
        <f t="shared" si="4"/>
        <v>1</v>
      </c>
      <c r="AC40" s="1047">
        <f t="shared" si="5"/>
        <v>1</v>
      </c>
    </row>
    <row r="41" spans="1:29" ht="14.4">
      <c r="A41" s="1162" t="s">
        <v>2185</v>
      </c>
      <c r="B41" s="1388"/>
      <c r="C41" s="1389" t="s">
        <v>124</v>
      </c>
      <c r="D41" s="1165"/>
      <c r="E41" s="1166"/>
      <c r="F41" s="1167"/>
      <c r="G41" s="1168"/>
      <c r="H41" s="1169"/>
      <c r="I41" s="1166"/>
      <c r="J41" s="1169"/>
      <c r="K41" s="1170"/>
      <c r="L41" s="1485"/>
      <c r="M41" s="1227"/>
      <c r="N41" s="1227"/>
      <c r="O41" s="1227"/>
      <c r="P41" s="3438" t="str">
        <f>A41</f>
        <v>成交单价（元/平方米）</v>
      </c>
      <c r="Q41" s="3438"/>
      <c r="R41" s="3439">
        <f>E41</f>
        <v>0</v>
      </c>
      <c r="S41" s="3439"/>
      <c r="T41" s="3439">
        <f>G41</f>
        <v>0</v>
      </c>
      <c r="U41" s="3439"/>
      <c r="V41" s="3439">
        <f>I41</f>
        <v>0</v>
      </c>
      <c r="W41" s="3439"/>
      <c r="X41" s="1172"/>
      <c r="Y41" s="1173"/>
      <c r="Z41" s="1172"/>
      <c r="AA41" s="1172"/>
      <c r="AB41" s="1172"/>
      <c r="AC41" s="1172"/>
    </row>
    <row r="42" spans="1:29" ht="14.4">
      <c r="A42" s="1174" t="s">
        <v>1183</v>
      </c>
      <c r="B42" s="1390"/>
      <c r="C42" s="1391" t="e">
        <f>R43</f>
        <v>#DIV/0!</v>
      </c>
      <c r="D42" s="1177" t="s">
        <v>1184</v>
      </c>
      <c r="E42" s="1392" t="e">
        <f>R42</f>
        <v>#DIV/0!</v>
      </c>
      <c r="F42" s="1178"/>
      <c r="G42" s="1391" t="e">
        <f>T42</f>
        <v>#DIV/0!</v>
      </c>
      <c r="H42" s="1178"/>
      <c r="I42" s="1392" t="e">
        <f>V42</f>
        <v>#DIV/0!</v>
      </c>
      <c r="J42" s="1178"/>
      <c r="K42" s="1180">
        <f>F42+H42+J42</f>
        <v>0</v>
      </c>
      <c r="L42" s="1485"/>
      <c r="M42" s="1227"/>
      <c r="N42" s="1227"/>
      <c r="O42" s="1227"/>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172"/>
      <c r="Y42" s="1172"/>
      <c r="Z42" s="1172"/>
      <c r="AA42" s="1172"/>
      <c r="AB42" s="1172"/>
      <c r="AC42" s="1172"/>
    </row>
    <row r="43" spans="1:29" ht="14.4">
      <c r="A43" s="1181" t="s">
        <v>2186</v>
      </c>
      <c r="B43" s="1182"/>
      <c r="C43" s="1053" t="e">
        <f>R43</f>
        <v>#DIV/0!</v>
      </c>
      <c r="D43" s="1053"/>
      <c r="E43" s="1053"/>
      <c r="F43" s="1053"/>
      <c r="G43" s="1053"/>
      <c r="H43" s="1053"/>
      <c r="I43" s="1053"/>
      <c r="J43" s="1053"/>
      <c r="K43" s="1184"/>
      <c r="L43" s="1485"/>
      <c r="M43" s="1227"/>
      <c r="N43" s="1227"/>
      <c r="O43" s="1227"/>
      <c r="P43" s="3441" t="str">
        <f>A43</f>
        <v>估价对象XX用房的比较价值（楼面单价，元/平方米）</v>
      </c>
      <c r="Q43" s="3442"/>
      <c r="R43" s="3494" t="e">
        <f>IF(F1="售价",ROUND(IF(D42="简单平均",AVERAGE(R42:V42),R42*F42+T42*H42+V42*J42),0),ROUND(IF(D42="简单平均",AVERAGE(R42:V42),R42*F42+T42*H42+V42*J42),1))</f>
        <v>#DIV/0!</v>
      </c>
      <c r="S43" s="3494"/>
      <c r="T43" s="3494"/>
      <c r="U43" s="3494"/>
      <c r="V43" s="3494"/>
      <c r="W43" s="3494"/>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1213</v>
      </c>
      <c r="B51" s="1172"/>
      <c r="C51" s="1234"/>
      <c r="D51" s="1234"/>
      <c r="E51" s="1234"/>
      <c r="F51" s="1235"/>
      <c r="G51" s="1235"/>
      <c r="H51" s="1234"/>
      <c r="I51" s="1234"/>
      <c r="J51" s="1234"/>
      <c r="K51" s="1447"/>
      <c r="L51" s="1448"/>
      <c r="M51" s="1238"/>
      <c r="N51" s="1238"/>
      <c r="O51" s="1238"/>
      <c r="P51" s="1488"/>
      <c r="Q51" s="1489"/>
    </row>
    <row r="52" spans="1:17" s="1016" customFormat="1" ht="14.4">
      <c r="A52" s="1394" t="s">
        <v>1134</v>
      </c>
      <c r="B52" s="1395"/>
      <c r="C52" s="1396" t="str">
        <f>YEAR(C7)&amp;"-"&amp;MONTH(C7)</f>
        <v>2026-1</v>
      </c>
      <c r="D52" s="1397">
        <f>EDATE(C52,-1)</f>
        <v>45992</v>
      </c>
      <c r="E52" s="1397">
        <f t="shared" ref="E52:O52" si="16">EDATE(D52,-1)</f>
        <v>45962</v>
      </c>
      <c r="F52" s="1397">
        <f t="shared" si="16"/>
        <v>45931</v>
      </c>
      <c r="G52" s="1397">
        <f t="shared" si="16"/>
        <v>45901</v>
      </c>
      <c r="H52" s="1397">
        <f t="shared" si="16"/>
        <v>45870</v>
      </c>
      <c r="I52" s="1397">
        <f t="shared" si="16"/>
        <v>45839</v>
      </c>
      <c r="J52" s="1397">
        <f t="shared" si="16"/>
        <v>45809</v>
      </c>
      <c r="K52" s="1397">
        <f t="shared" si="16"/>
        <v>45778</v>
      </c>
      <c r="L52" s="1397">
        <f t="shared" si="16"/>
        <v>45748</v>
      </c>
      <c r="M52" s="1397">
        <f t="shared" si="16"/>
        <v>45717</v>
      </c>
      <c r="N52" s="1397">
        <f t="shared" si="16"/>
        <v>45689</v>
      </c>
      <c r="O52" s="1397">
        <f t="shared" si="16"/>
        <v>45658</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1216</v>
      </c>
      <c r="B54" s="1250"/>
      <c r="C54" s="1251"/>
      <c r="D54" s="1252"/>
      <c r="E54" s="1252"/>
      <c r="F54" s="1252"/>
      <c r="G54" s="1252"/>
      <c r="H54" s="1252"/>
      <c r="I54" s="1252"/>
      <c r="J54" s="1252"/>
      <c r="K54" s="1252"/>
      <c r="L54" s="1252"/>
      <c r="M54" s="1253"/>
      <c r="N54" s="1490"/>
      <c r="O54" s="1491"/>
      <c r="P54" s="1489"/>
      <c r="Q54" s="1489"/>
    </row>
    <row r="55" spans="1:17" s="1011" customFormat="1" ht="14.4">
      <c r="A55" s="1255" t="s">
        <v>1137</v>
      </c>
      <c r="B55" s="1256"/>
      <c r="C55" s="1257" t="s">
        <v>1138</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1217</v>
      </c>
      <c r="B57" s="1265" t="s">
        <v>1142</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1147</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1148</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1153</v>
      </c>
      <c r="B70" s="1265" t="s">
        <v>2223</v>
      </c>
      <c r="C70" s="1308" t="s">
        <v>1219</v>
      </c>
      <c r="D70" s="1308" t="s">
        <v>1220</v>
      </c>
      <c r="E70" s="1308" t="s">
        <v>1221</v>
      </c>
      <c r="F70" s="1308" t="s">
        <v>1222</v>
      </c>
      <c r="G70" s="1308" t="s">
        <v>1223</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1159</v>
      </c>
      <c r="C72" s="1313" t="s">
        <v>1219</v>
      </c>
      <c r="D72" s="1313" t="s">
        <v>1220</v>
      </c>
      <c r="E72" s="1313" t="s">
        <v>1221</v>
      </c>
      <c r="F72" s="1313" t="s">
        <v>1222</v>
      </c>
      <c r="G72" s="1313" t="s">
        <v>1223</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1163</v>
      </c>
      <c r="C74" s="1313" t="s">
        <v>1219</v>
      </c>
      <c r="D74" s="1313" t="s">
        <v>1220</v>
      </c>
      <c r="E74" s="1313" t="s">
        <v>1221</v>
      </c>
      <c r="F74" s="1313" t="s">
        <v>1222</v>
      </c>
      <c r="G74" s="1313" t="s">
        <v>1223</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1164</v>
      </c>
      <c r="C76" s="1116" t="s">
        <v>1224</v>
      </c>
      <c r="D76" s="1116" t="s">
        <v>1225</v>
      </c>
      <c r="E76" s="1116" t="s">
        <v>1226</v>
      </c>
      <c r="F76" s="1116" t="s">
        <v>1227</v>
      </c>
      <c r="G76" s="1116" t="s">
        <v>1228</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2218</v>
      </c>
      <c r="C78" s="1313" t="s">
        <v>1219</v>
      </c>
      <c r="D78" s="1313" t="s">
        <v>1220</v>
      </c>
      <c r="E78" s="1313" t="s">
        <v>1221</v>
      </c>
      <c r="F78" s="1313" t="s">
        <v>1222</v>
      </c>
      <c r="G78" s="1313" t="s">
        <v>1223</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1172</v>
      </c>
      <c r="B88" s="1265" t="s">
        <v>2174</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2175</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2176</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2178</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766</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2179</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2180</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2183</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2225</v>
      </c>
      <c r="C106" s="1313" t="s">
        <v>1219</v>
      </c>
      <c r="D106" s="1313" t="s">
        <v>1220</v>
      </c>
      <c r="E106" s="1313" t="s">
        <v>1221</v>
      </c>
      <c r="F106" s="1313" t="s">
        <v>1222</v>
      </c>
      <c r="G106" s="1313" t="s">
        <v>1223</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585</v>
      </c>
      <c r="C1" s="1344" t="s">
        <v>2167</v>
      </c>
      <c r="D1" s="1345"/>
      <c r="E1" s="1346"/>
      <c r="F1" s="1347"/>
      <c r="G1" s="1411" t="s">
        <v>1120</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1122</v>
      </c>
      <c r="B3" s="1035" t="e">
        <f>IF(AND(C2="——",B37="元/平方米"),C39,ROUND(B2*10000/D3,0))</f>
        <v>#DIV/0!</v>
      </c>
      <c r="C3" s="1360" t="s">
        <v>1123</v>
      </c>
      <c r="D3" s="1361">
        <f>SUMIF('数据-汇总表'!$C19:$C33,D1,'数据-汇总表'!$E19:$E33)</f>
        <v>0</v>
      </c>
      <c r="E3" s="1360" t="s">
        <v>2227</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49" t="s">
        <v>1127</v>
      </c>
      <c r="AC4" s="3448" t="s">
        <v>1128</v>
      </c>
    </row>
    <row r="5" spans="1:29">
      <c r="A5" s="1049"/>
      <c r="B5" s="1050"/>
      <c r="C5" s="3427" t="s">
        <v>1131</v>
      </c>
      <c r="D5" s="3428"/>
      <c r="E5" s="3429" t="s">
        <v>2168</v>
      </c>
      <c r="F5" s="3430"/>
      <c r="G5" s="3427" t="s">
        <v>2169</v>
      </c>
      <c r="H5" s="3428"/>
      <c r="I5" s="3427" t="s">
        <v>2170</v>
      </c>
      <c r="J5" s="3428"/>
      <c r="K5" s="1042"/>
      <c r="L5" s="1043"/>
      <c r="M5" s="1044"/>
      <c r="N5" s="1044"/>
      <c r="O5" s="1044"/>
      <c r="P5" s="3453"/>
      <c r="Q5" s="3454"/>
      <c r="R5" s="3459"/>
      <c r="S5" s="3460"/>
      <c r="T5" s="3459"/>
      <c r="U5" s="3460"/>
      <c r="V5" s="3439"/>
      <c r="W5" s="3439"/>
      <c r="X5" s="1048"/>
      <c r="Y5" s="3459"/>
      <c r="Z5" s="3460"/>
      <c r="AA5" s="3449"/>
      <c r="AB5" s="3449"/>
      <c r="AC5" s="3449"/>
    </row>
    <row r="6" spans="1:29" ht="14.4">
      <c r="A6" s="1052"/>
      <c r="B6" s="1053"/>
      <c r="C6" s="3431" t="s">
        <v>1132</v>
      </c>
      <c r="D6" s="3432"/>
      <c r="E6" s="3433" t="s">
        <v>1132</v>
      </c>
      <c r="F6" s="3434"/>
      <c r="G6" s="3431" t="s">
        <v>1132</v>
      </c>
      <c r="H6" s="3432"/>
      <c r="I6" s="3431" t="s">
        <v>1132</v>
      </c>
      <c r="J6" s="3432"/>
      <c r="K6" s="1042" t="s">
        <v>1133</v>
      </c>
      <c r="L6" s="1043"/>
      <c r="M6" s="1044"/>
      <c r="N6" s="1044"/>
      <c r="O6" s="1044"/>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35" t="s">
        <v>1135</v>
      </c>
      <c r="Q7" s="3436"/>
      <c r="R7" s="1067" t="s">
        <v>1136</v>
      </c>
      <c r="S7" s="1068">
        <f t="shared" ref="S7:S14" si="0">F7</f>
        <v>0</v>
      </c>
      <c r="T7" s="1067" t="s">
        <v>1136</v>
      </c>
      <c r="U7" s="1068">
        <f t="shared" ref="U7:U14" si="1">H7</f>
        <v>0</v>
      </c>
      <c r="V7" s="1067" t="s">
        <v>1136</v>
      </c>
      <c r="W7" s="1068">
        <f t="shared" ref="W7:W14"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36" si="3">D8/F8</f>
        <v>1</v>
      </c>
      <c r="AB8" s="1071">
        <f t="shared" ref="AB8:AB36" si="4">D8/H8</f>
        <v>1</v>
      </c>
      <c r="AC8" s="1071">
        <f t="shared" ref="AC8:AC36" si="5">D8/J8</f>
        <v>1</v>
      </c>
    </row>
    <row r="9" spans="1:29" s="1011" customFormat="1" ht="14.4">
      <c r="A9" s="1418" t="s">
        <v>1141</v>
      </c>
      <c r="B9" s="1419" t="s">
        <v>1142</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438" t="s">
        <v>1145</v>
      </c>
      <c r="Q9" s="811" t="str">
        <f t="shared" ref="Q9:Q14" si="6">B9</f>
        <v>用途</v>
      </c>
      <c r="R9" s="1067" t="s">
        <v>1136</v>
      </c>
      <c r="S9" s="1068">
        <f t="shared" si="0"/>
        <v>100</v>
      </c>
      <c r="T9" s="1067" t="s">
        <v>1136</v>
      </c>
      <c r="U9" s="1068">
        <f t="shared" si="1"/>
        <v>100</v>
      </c>
      <c r="V9" s="1067" t="s">
        <v>1136</v>
      </c>
      <c r="W9" s="1068">
        <f t="shared" si="2"/>
        <v>100</v>
      </c>
      <c r="X9" s="1069"/>
      <c r="Y9" s="3404" t="s">
        <v>1146</v>
      </c>
      <c r="Z9" s="1071" t="str">
        <f t="shared" ref="Z9:Z14" si="7">Q9</f>
        <v>用途</v>
      </c>
      <c r="AA9" s="1071">
        <f t="shared" si="3"/>
        <v>1</v>
      </c>
      <c r="AB9" s="1071">
        <f t="shared" si="4"/>
        <v>1</v>
      </c>
      <c r="AC9" s="1071">
        <f t="shared" si="5"/>
        <v>1</v>
      </c>
    </row>
    <row r="10" spans="1:29" s="1012" customFormat="1" ht="28.8">
      <c r="A10" s="1421"/>
      <c r="B10" s="1422" t="s">
        <v>1147</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438"/>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38"/>
      <c r="Q11" s="811">
        <f t="shared" si="6"/>
        <v>111</v>
      </c>
      <c r="R11" s="1067" t="s">
        <v>1136</v>
      </c>
      <c r="S11" s="1068">
        <f t="shared" si="0"/>
        <v>100</v>
      </c>
      <c r="T11" s="1067" t="s">
        <v>1136</v>
      </c>
      <c r="U11" s="1068">
        <f t="shared" si="1"/>
        <v>100</v>
      </c>
      <c r="V11" s="1067" t="s">
        <v>1136</v>
      </c>
      <c r="W11" s="1068">
        <f t="shared" si="2"/>
        <v>100</v>
      </c>
      <c r="X11" s="1069"/>
      <c r="Y11" s="3404"/>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38"/>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38"/>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96.6">
      <c r="A14" s="1038" t="s">
        <v>1153</v>
      </c>
      <c r="B14" s="1104" t="s">
        <v>1159</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444" t="s">
        <v>1155</v>
      </c>
      <c r="Q14" s="707" t="str">
        <f t="shared" si="6"/>
        <v>交通便捷度</v>
      </c>
      <c r="R14" s="1109" t="s">
        <v>1136</v>
      </c>
      <c r="S14" s="1110">
        <f t="shared" si="0"/>
        <v>100</v>
      </c>
      <c r="T14" s="1109" t="s">
        <v>1136</v>
      </c>
      <c r="U14" s="1110">
        <f t="shared" si="1"/>
        <v>100</v>
      </c>
      <c r="V14" s="1109" t="s">
        <v>1136</v>
      </c>
      <c r="W14" s="1110">
        <f t="shared" si="2"/>
        <v>100</v>
      </c>
      <c r="X14" s="1048"/>
      <c r="Y14" s="3444" t="s">
        <v>1155</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445"/>
      <c r="Q15" s="707"/>
      <c r="R15" s="1109"/>
      <c r="S15" s="1110"/>
      <c r="T15" s="1109"/>
      <c r="U15" s="1110"/>
      <c r="V15" s="1109"/>
      <c r="W15" s="1110"/>
      <c r="X15" s="1048"/>
      <c r="Y15" s="3445"/>
      <c r="Z15" s="1047"/>
      <c r="AA15" s="1047">
        <v>1</v>
      </c>
      <c r="AB15" s="1047">
        <v>1</v>
      </c>
      <c r="AC15" s="1047">
        <v>1</v>
      </c>
    </row>
    <row r="16" spans="1:29" ht="41.4">
      <c r="A16" s="1049"/>
      <c r="B16" s="1117" t="s">
        <v>1163</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445"/>
      <c r="Q16" s="707" t="str">
        <f>B16</f>
        <v>公共配套设施</v>
      </c>
      <c r="R16" s="1109" t="s">
        <v>1136</v>
      </c>
      <c r="S16" s="1110">
        <f>F16</f>
        <v>100</v>
      </c>
      <c r="T16" s="1109" t="s">
        <v>1136</v>
      </c>
      <c r="U16" s="1110">
        <f>H16</f>
        <v>100</v>
      </c>
      <c r="V16" s="1109" t="s">
        <v>1136</v>
      </c>
      <c r="W16" s="1110">
        <f>J16</f>
        <v>100</v>
      </c>
      <c r="X16" s="1048"/>
      <c r="Y16" s="3445"/>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445"/>
      <c r="Q17" s="707"/>
      <c r="R17" s="1109"/>
      <c r="S17" s="1110"/>
      <c r="T17" s="1109"/>
      <c r="U17" s="1110"/>
      <c r="V17" s="1109"/>
      <c r="W17" s="1110"/>
      <c r="X17" s="1048"/>
      <c r="Y17" s="3445"/>
      <c r="Z17" s="1047"/>
      <c r="AA17" s="1047">
        <v>1</v>
      </c>
      <c r="AB17" s="1047">
        <v>1</v>
      </c>
      <c r="AC17" s="1047">
        <v>1</v>
      </c>
    </row>
    <row r="18" spans="1:29" ht="41.4">
      <c r="A18" s="1049"/>
      <c r="B18" s="1127" t="s">
        <v>1164</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445"/>
      <c r="Q18" s="707" t="str">
        <f>B18</f>
        <v>基础设施水平</v>
      </c>
      <c r="R18" s="1109" t="s">
        <v>1136</v>
      </c>
      <c r="S18" s="1110">
        <f>F18</f>
        <v>100</v>
      </c>
      <c r="T18" s="1109" t="s">
        <v>1136</v>
      </c>
      <c r="U18" s="1110">
        <f>H18</f>
        <v>100</v>
      </c>
      <c r="V18" s="1109" t="s">
        <v>1136</v>
      </c>
      <c r="W18" s="1110">
        <f>J18</f>
        <v>100</v>
      </c>
      <c r="X18" s="1048"/>
      <c r="Y18" s="3445"/>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445"/>
      <c r="Q19" s="707"/>
      <c r="R19" s="1109"/>
      <c r="S19" s="1110"/>
      <c r="T19" s="1109"/>
      <c r="U19" s="1110"/>
      <c r="V19" s="1109"/>
      <c r="W19" s="1110"/>
      <c r="X19" s="1048"/>
      <c r="Y19" s="3445"/>
      <c r="Z19" s="1047"/>
      <c r="AA19" s="1047">
        <v>1</v>
      </c>
      <c r="AB19" s="1047">
        <v>1</v>
      </c>
      <c r="AC19" s="1047">
        <v>1</v>
      </c>
    </row>
    <row r="20" spans="1:29" ht="55.2">
      <c r="A20" s="1049"/>
      <c r="B20" s="1117" t="s">
        <v>2171</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445"/>
      <c r="Q20" s="707" t="str">
        <f>B20</f>
        <v>自然及人文环境</v>
      </c>
      <c r="R20" s="1109" t="s">
        <v>1136</v>
      </c>
      <c r="S20" s="1110">
        <f>F20</f>
        <v>100</v>
      </c>
      <c r="T20" s="1109" t="s">
        <v>1136</v>
      </c>
      <c r="U20" s="1110">
        <f>H20</f>
        <v>100</v>
      </c>
      <c r="V20" s="1109" t="s">
        <v>1136</v>
      </c>
      <c r="W20" s="1110">
        <f>J20</f>
        <v>100</v>
      </c>
      <c r="X20" s="1048"/>
      <c r="Y20" s="3445"/>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445"/>
      <c r="Q21" s="707"/>
      <c r="R21" s="1109"/>
      <c r="S21" s="1110"/>
      <c r="T21" s="1109"/>
      <c r="U21" s="1110"/>
      <c r="V21" s="1109"/>
      <c r="W21" s="1110"/>
      <c r="X21" s="1048"/>
      <c r="Y21" s="3445"/>
      <c r="Z21" s="1047"/>
      <c r="AA21" s="1047">
        <v>1</v>
      </c>
      <c r="AB21" s="1047">
        <v>1</v>
      </c>
      <c r="AC21" s="1047">
        <v>1</v>
      </c>
    </row>
    <row r="22" spans="1:29" ht="15">
      <c r="A22" s="1049"/>
      <c r="B22" s="1117" t="s">
        <v>2210</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45"/>
      <c r="Q22" s="707" t="str">
        <f>B22</f>
        <v>楼层</v>
      </c>
      <c r="R22" s="1109" t="s">
        <v>1136</v>
      </c>
      <c r="S22" s="1110">
        <f>F22</f>
        <v>100</v>
      </c>
      <c r="T22" s="1109" t="s">
        <v>1136</v>
      </c>
      <c r="U22" s="1110">
        <f>H22</f>
        <v>100</v>
      </c>
      <c r="V22" s="1109" t="s">
        <v>1136</v>
      </c>
      <c r="W22" s="1110">
        <f>J22</f>
        <v>100</v>
      </c>
      <c r="X22" s="1048"/>
      <c r="Y22" s="3445"/>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45"/>
      <c r="Q23" s="707">
        <f>B23</f>
        <v>111</v>
      </c>
      <c r="R23" s="1109" t="s">
        <v>1136</v>
      </c>
      <c r="S23" s="1110">
        <f>F23</f>
        <v>100</v>
      </c>
      <c r="T23" s="1109" t="s">
        <v>1136</v>
      </c>
      <c r="U23" s="1110">
        <f>H23</f>
        <v>100</v>
      </c>
      <c r="V23" s="1109" t="s">
        <v>1136</v>
      </c>
      <c r="W23" s="1110">
        <f>J23</f>
        <v>100</v>
      </c>
      <c r="X23" s="1048"/>
      <c r="Y23" s="3445"/>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45"/>
      <c r="Q24" s="707">
        <f t="shared" ref="Q24:Q36" si="11">B24</f>
        <v>111</v>
      </c>
      <c r="R24" s="1109" t="s">
        <v>1136</v>
      </c>
      <c r="S24" s="1110">
        <f>F24</f>
        <v>100</v>
      </c>
      <c r="T24" s="1109" t="s">
        <v>1136</v>
      </c>
      <c r="U24" s="1110">
        <f>H24</f>
        <v>100</v>
      </c>
      <c r="V24" s="1109" t="s">
        <v>1136</v>
      </c>
      <c r="W24" s="1110">
        <f>J24</f>
        <v>100</v>
      </c>
      <c r="X24" s="1048"/>
      <c r="Y24" s="3445"/>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445"/>
      <c r="Q25" s="811">
        <f t="shared" si="11"/>
        <v>111</v>
      </c>
      <c r="R25" s="1067" t="s">
        <v>1136</v>
      </c>
      <c r="S25" s="1068">
        <f>F25</f>
        <v>100</v>
      </c>
      <c r="T25" s="1067" t="s">
        <v>1136</v>
      </c>
      <c r="U25" s="1068">
        <f>H25</f>
        <v>100</v>
      </c>
      <c r="V25" s="1067" t="s">
        <v>1136</v>
      </c>
      <c r="W25" s="1068">
        <f>J25</f>
        <v>100</v>
      </c>
      <c r="X25" s="1069"/>
      <c r="Y25" s="3445"/>
      <c r="Z25" s="1071">
        <f>Q25</f>
        <v>111</v>
      </c>
      <c r="AA25" s="1047">
        <f t="shared" si="3"/>
        <v>1</v>
      </c>
      <c r="AB25" s="1047">
        <f t="shared" si="4"/>
        <v>1</v>
      </c>
      <c r="AC25" s="1047">
        <f t="shared" si="5"/>
        <v>1</v>
      </c>
    </row>
    <row r="26" spans="1:29" ht="30">
      <c r="A26" s="1433" t="s">
        <v>1172</v>
      </c>
      <c r="B26" s="1076" t="s">
        <v>2228</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6" t="s">
        <v>1171</v>
      </c>
      <c r="Q26" s="707" t="str">
        <f t="shared" si="11"/>
        <v>配套类型</v>
      </c>
      <c r="R26" s="1109" t="s">
        <v>1136</v>
      </c>
      <c r="S26" s="1110">
        <f t="shared" ref="S26:S36" si="12">F26</f>
        <v>0</v>
      </c>
      <c r="T26" s="1109" t="s">
        <v>1136</v>
      </c>
      <c r="U26" s="1110">
        <f t="shared" ref="U26:U36" si="13">H26</f>
        <v>0</v>
      </c>
      <c r="V26" s="1109" t="s">
        <v>1136</v>
      </c>
      <c r="W26" s="1110">
        <f t="shared" ref="W26:W36" si="14">J26</f>
        <v>0</v>
      </c>
      <c r="X26" s="1048"/>
      <c r="Y26" s="3447" t="s">
        <v>1171</v>
      </c>
      <c r="Z26" s="1047" t="str">
        <f t="shared" ref="Z26:Z36" si="15">Q26</f>
        <v>配套类型</v>
      </c>
      <c r="AA26" s="1047" t="e">
        <f t="shared" si="3"/>
        <v>#DIV/0!</v>
      </c>
      <c r="AB26" s="1047" t="e">
        <f t="shared" si="4"/>
        <v>#DIV/0!</v>
      </c>
      <c r="AC26" s="1047" t="e">
        <f t="shared" si="5"/>
        <v>#DIV/0!</v>
      </c>
    </row>
    <row r="27" spans="1:29" s="1013" customFormat="1" ht="15">
      <c r="A27" s="1435"/>
      <c r="B27" s="1081" t="s">
        <v>2229</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447"/>
      <c r="Q27" s="1383" t="str">
        <f t="shared" si="11"/>
        <v>项目停车位配比</v>
      </c>
      <c r="R27" s="1147" t="s">
        <v>1136</v>
      </c>
      <c r="S27" s="1148">
        <f t="shared" si="12"/>
        <v>100</v>
      </c>
      <c r="T27" s="1147" t="s">
        <v>1136</v>
      </c>
      <c r="U27" s="1148">
        <f t="shared" si="13"/>
        <v>100</v>
      </c>
      <c r="V27" s="1147" t="s">
        <v>1136</v>
      </c>
      <c r="W27" s="1148">
        <f t="shared" si="14"/>
        <v>100</v>
      </c>
      <c r="X27" s="1149"/>
      <c r="Y27" s="3447"/>
      <c r="Z27" s="1150" t="str">
        <f t="shared" si="15"/>
        <v>项目停车位配比</v>
      </c>
      <c r="AA27" s="1047">
        <f t="shared" si="3"/>
        <v>1</v>
      </c>
      <c r="AB27" s="1047">
        <f t="shared" si="4"/>
        <v>1</v>
      </c>
      <c r="AC27" s="1047">
        <f t="shared" si="5"/>
        <v>1</v>
      </c>
    </row>
    <row r="28" spans="1:29" ht="15">
      <c r="A28" s="1437"/>
      <c r="B28" s="1081" t="s">
        <v>2178</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447"/>
      <c r="Q28" s="707" t="str">
        <f t="shared" si="11"/>
        <v>公共部分装修</v>
      </c>
      <c r="R28" s="1109" t="s">
        <v>1136</v>
      </c>
      <c r="S28" s="1110">
        <f t="shared" si="12"/>
        <v>100</v>
      </c>
      <c r="T28" s="1109" t="s">
        <v>1136</v>
      </c>
      <c r="U28" s="1110">
        <f t="shared" si="13"/>
        <v>100</v>
      </c>
      <c r="V28" s="1109" t="s">
        <v>1136</v>
      </c>
      <c r="W28" s="1110">
        <f t="shared" si="14"/>
        <v>100</v>
      </c>
      <c r="X28" s="1048"/>
      <c r="Y28" s="3447"/>
      <c r="Z28" s="1047" t="str">
        <f t="shared" si="15"/>
        <v>公共部分装修</v>
      </c>
      <c r="AA28" s="1047">
        <f t="shared" si="3"/>
        <v>1</v>
      </c>
      <c r="AB28" s="1047">
        <f t="shared" si="4"/>
        <v>1</v>
      </c>
      <c r="AC28" s="1047">
        <f t="shared" si="5"/>
        <v>1</v>
      </c>
    </row>
    <row r="29" spans="1:29" ht="15">
      <c r="A29" s="1437"/>
      <c r="B29" s="1081" t="s">
        <v>2230</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447"/>
      <c r="Q29" s="707" t="str">
        <f t="shared" si="11"/>
        <v>成新率</v>
      </c>
      <c r="R29" s="1109" t="s">
        <v>1136</v>
      </c>
      <c r="S29" s="1110" t="e">
        <f t="shared" si="12"/>
        <v>#N/A</v>
      </c>
      <c r="T29" s="1109" t="s">
        <v>1136</v>
      </c>
      <c r="U29" s="1110" t="e">
        <f t="shared" si="13"/>
        <v>#N/A</v>
      </c>
      <c r="V29" s="1109" t="s">
        <v>1136</v>
      </c>
      <c r="W29" s="1110" t="e">
        <f t="shared" si="14"/>
        <v>#N/A</v>
      </c>
      <c r="X29" s="1048"/>
      <c r="Y29" s="3447"/>
      <c r="Z29" s="1047" t="str">
        <f t="shared" si="15"/>
        <v>成新率</v>
      </c>
      <c r="AA29" s="1047" t="e">
        <f t="shared" si="3"/>
        <v>#N/A</v>
      </c>
      <c r="AB29" s="1047" t="e">
        <f t="shared" si="4"/>
        <v>#N/A</v>
      </c>
      <c r="AC29" s="1047" t="e">
        <f t="shared" si="5"/>
        <v>#N/A</v>
      </c>
    </row>
    <row r="30" spans="1:29" ht="15">
      <c r="A30" s="1437"/>
      <c r="B30" s="1081" t="s">
        <v>2231</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447"/>
      <c r="Q30" s="707" t="str">
        <f t="shared" si="11"/>
        <v>物业等级</v>
      </c>
      <c r="R30" s="1109" t="s">
        <v>1136</v>
      </c>
      <c r="S30" s="1110">
        <f t="shared" si="12"/>
        <v>100</v>
      </c>
      <c r="T30" s="1109" t="s">
        <v>1136</v>
      </c>
      <c r="U30" s="1110">
        <f t="shared" si="13"/>
        <v>100</v>
      </c>
      <c r="V30" s="1109" t="s">
        <v>1136</v>
      </c>
      <c r="W30" s="1110">
        <f t="shared" si="14"/>
        <v>100</v>
      </c>
      <c r="X30" s="1048"/>
      <c r="Y30" s="3447"/>
      <c r="Z30" s="1047" t="str">
        <f t="shared" si="15"/>
        <v>物业等级</v>
      </c>
      <c r="AA30" s="1047">
        <f t="shared" si="3"/>
        <v>1</v>
      </c>
      <c r="AB30" s="1047">
        <f t="shared" si="4"/>
        <v>1</v>
      </c>
      <c r="AC30" s="1047">
        <f t="shared" si="5"/>
        <v>1</v>
      </c>
    </row>
    <row r="31" spans="1:29" s="1011" customFormat="1" ht="15">
      <c r="A31" s="1438"/>
      <c r="B31" s="1081" t="s">
        <v>2232</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447"/>
      <c r="Q31" s="811" t="str">
        <f t="shared" si="11"/>
        <v>停车位面积</v>
      </c>
      <c r="R31" s="1067" t="s">
        <v>1136</v>
      </c>
      <c r="S31" s="1068" t="e">
        <f t="shared" si="12"/>
        <v>#N/A</v>
      </c>
      <c r="T31" s="1067" t="s">
        <v>1136</v>
      </c>
      <c r="U31" s="1068" t="e">
        <f t="shared" si="13"/>
        <v>#N/A</v>
      </c>
      <c r="V31" s="1067" t="s">
        <v>1136</v>
      </c>
      <c r="W31" s="1068" t="e">
        <f t="shared" si="14"/>
        <v>#N/A</v>
      </c>
      <c r="X31" s="1069"/>
      <c r="Y31" s="3447"/>
      <c r="Z31" s="1071" t="str">
        <f t="shared" si="15"/>
        <v>停车位面积</v>
      </c>
      <c r="AA31" s="1071" t="e">
        <f t="shared" si="3"/>
        <v>#N/A</v>
      </c>
      <c r="AB31" s="1071" t="e">
        <f t="shared" si="4"/>
        <v>#N/A</v>
      </c>
      <c r="AC31" s="1071" t="e">
        <f t="shared" si="5"/>
        <v>#N/A</v>
      </c>
    </row>
    <row r="32" spans="1:29" ht="15">
      <c r="A32" s="1437"/>
      <c r="B32" s="1081" t="s">
        <v>2233</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447" t="s">
        <v>1171</v>
      </c>
      <c r="Q32" s="707" t="str">
        <f t="shared" si="11"/>
        <v>车位类型</v>
      </c>
      <c r="R32" s="1109" t="s">
        <v>1136</v>
      </c>
      <c r="S32" s="1110">
        <f t="shared" si="12"/>
        <v>100</v>
      </c>
      <c r="T32" s="1109" t="s">
        <v>1136</v>
      </c>
      <c r="U32" s="1110">
        <f t="shared" si="13"/>
        <v>100</v>
      </c>
      <c r="V32" s="1109" t="s">
        <v>1136</v>
      </c>
      <c r="W32" s="1110">
        <f t="shared" si="14"/>
        <v>100</v>
      </c>
      <c r="X32" s="1048"/>
      <c r="Y32" s="3447" t="s">
        <v>1171</v>
      </c>
      <c r="Z32" s="1047" t="str">
        <f t="shared" si="15"/>
        <v>车位类型</v>
      </c>
      <c r="AA32" s="1047">
        <f t="shared" si="3"/>
        <v>1</v>
      </c>
      <c r="AB32" s="1047">
        <f t="shared" si="4"/>
        <v>1</v>
      </c>
      <c r="AC32" s="1047">
        <f t="shared" si="5"/>
        <v>1</v>
      </c>
    </row>
    <row r="33" spans="1:29" ht="15">
      <c r="A33" s="1437"/>
      <c r="B33" s="1081" t="s">
        <v>2234</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447"/>
      <c r="Q33" s="707" t="str">
        <f t="shared" si="11"/>
        <v>是否直接入户</v>
      </c>
      <c r="R33" s="1109" t="s">
        <v>1136</v>
      </c>
      <c r="S33" s="1110">
        <f t="shared" si="12"/>
        <v>100</v>
      </c>
      <c r="T33" s="1109" t="s">
        <v>1136</v>
      </c>
      <c r="U33" s="1110">
        <f t="shared" si="13"/>
        <v>100</v>
      </c>
      <c r="V33" s="1109" t="s">
        <v>1136</v>
      </c>
      <c r="W33" s="1110">
        <f t="shared" si="14"/>
        <v>100</v>
      </c>
      <c r="X33" s="1048"/>
      <c r="Y33" s="3447"/>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47"/>
      <c r="Q34" s="707">
        <f t="shared" si="11"/>
        <v>111</v>
      </c>
      <c r="R34" s="1109" t="s">
        <v>1136</v>
      </c>
      <c r="S34" s="1110">
        <f t="shared" si="12"/>
        <v>100</v>
      </c>
      <c r="T34" s="1109" t="s">
        <v>1136</v>
      </c>
      <c r="U34" s="1110">
        <f t="shared" si="13"/>
        <v>100</v>
      </c>
      <c r="V34" s="1109" t="s">
        <v>1136</v>
      </c>
      <c r="W34" s="1110">
        <f t="shared" si="14"/>
        <v>100</v>
      </c>
      <c r="X34" s="1048"/>
      <c r="Y34" s="3447"/>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47"/>
      <c r="Q35" s="1383">
        <f t="shared" si="11"/>
        <v>111</v>
      </c>
      <c r="R35" s="1147" t="s">
        <v>1136</v>
      </c>
      <c r="S35" s="1148">
        <f t="shared" si="12"/>
        <v>100</v>
      </c>
      <c r="T35" s="1147" t="s">
        <v>1136</v>
      </c>
      <c r="U35" s="1148">
        <f t="shared" si="13"/>
        <v>100</v>
      </c>
      <c r="V35" s="1147" t="s">
        <v>1136</v>
      </c>
      <c r="W35" s="1148">
        <f t="shared" si="14"/>
        <v>100</v>
      </c>
      <c r="X35" s="1149"/>
      <c r="Y35" s="3447"/>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47"/>
      <c r="Q36" s="707">
        <f t="shared" si="11"/>
        <v>111</v>
      </c>
      <c r="R36" s="1109" t="s">
        <v>1136</v>
      </c>
      <c r="S36" s="1110">
        <f t="shared" si="12"/>
        <v>100</v>
      </c>
      <c r="T36" s="1109" t="s">
        <v>1136</v>
      </c>
      <c r="U36" s="1110">
        <f t="shared" si="13"/>
        <v>100</v>
      </c>
      <c r="V36" s="1109" t="s">
        <v>1136</v>
      </c>
      <c r="W36" s="1110">
        <f t="shared" si="14"/>
        <v>100</v>
      </c>
      <c r="X36" s="1048"/>
      <c r="Y36" s="3447"/>
      <c r="Z36" s="1047">
        <f t="shared" si="15"/>
        <v>111</v>
      </c>
      <c r="AA36" s="1047">
        <f t="shared" si="3"/>
        <v>1</v>
      </c>
      <c r="AB36" s="1047">
        <f t="shared" si="4"/>
        <v>1</v>
      </c>
      <c r="AC36" s="1047">
        <f t="shared" si="5"/>
        <v>1</v>
      </c>
    </row>
    <row r="37" spans="1:29" ht="14.4">
      <c r="A37" s="1162" t="s">
        <v>1181</v>
      </c>
      <c r="B37" s="1440" t="s">
        <v>2235</v>
      </c>
      <c r="C37" s="1389" t="s">
        <v>124</v>
      </c>
      <c r="D37" s="1165"/>
      <c r="E37" s="1166"/>
      <c r="F37" s="1167"/>
      <c r="G37" s="1168"/>
      <c r="H37" s="1169"/>
      <c r="I37" s="1166"/>
      <c r="J37" s="1169"/>
      <c r="K37" s="1441"/>
      <c r="L37" s="1171"/>
      <c r="M37" s="1044"/>
      <c r="N37" s="1044"/>
      <c r="O37" s="1044"/>
      <c r="P37" s="3438" t="str">
        <f>A37</f>
        <v>成交单价</v>
      </c>
      <c r="Q37" s="3438"/>
      <c r="R37" s="3439">
        <f>E37</f>
        <v>0</v>
      </c>
      <c r="S37" s="3439"/>
      <c r="T37" s="3439">
        <f>G37</f>
        <v>0</v>
      </c>
      <c r="U37" s="3439"/>
      <c r="V37" s="3439">
        <f>I37</f>
        <v>0</v>
      </c>
      <c r="W37" s="3439"/>
      <c r="X37" s="1172"/>
      <c r="Y37" s="1173"/>
      <c r="Z37" s="1172"/>
      <c r="AA37" s="1172"/>
      <c r="AB37" s="1172"/>
      <c r="AC37" s="1172"/>
    </row>
    <row r="38" spans="1:29" ht="14.4">
      <c r="A38" s="1174" t="s">
        <v>1183</v>
      </c>
      <c r="B38" s="1390" t="str">
        <f>B37</f>
        <v>元/平方米</v>
      </c>
      <c r="C38" s="1391" t="e">
        <f>R39</f>
        <v>#DIV/0!</v>
      </c>
      <c r="D38" s="1177" t="s">
        <v>1184</v>
      </c>
      <c r="E38" s="1392" t="e">
        <f>R38</f>
        <v>#DIV/0!</v>
      </c>
      <c r="F38" s="1178"/>
      <c r="G38" s="1391" t="e">
        <f>T38</f>
        <v>#DIV/0!</v>
      </c>
      <c r="H38" s="1178"/>
      <c r="I38" s="1392" t="e">
        <f>V38</f>
        <v>#DIV/0!</v>
      </c>
      <c r="J38" s="1178"/>
      <c r="K38" s="1180">
        <f>F38+H38+J38</f>
        <v>0</v>
      </c>
      <c r="L38" s="1171"/>
      <c r="M38" s="1044"/>
      <c r="N38" s="1044"/>
      <c r="O38" s="1044"/>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172"/>
      <c r="Y38" s="1172"/>
      <c r="Z38" s="1172"/>
      <c r="AA38" s="1172"/>
      <c r="AB38" s="1172"/>
      <c r="AC38" s="1172"/>
    </row>
    <row r="39" spans="1:29" ht="14.4">
      <c r="A39" s="1181" t="s">
        <v>2236</v>
      </c>
      <c r="B39" s="1182"/>
      <c r="C39" s="1053" t="e">
        <f>R39</f>
        <v>#DIV/0!</v>
      </c>
      <c r="D39" s="1053"/>
      <c r="E39" s="1053"/>
      <c r="F39" s="1053"/>
      <c r="G39" s="1053"/>
      <c r="H39" s="1053"/>
      <c r="I39" s="1053"/>
      <c r="J39" s="1053"/>
      <c r="K39" s="1442"/>
      <c r="L39" s="1171"/>
      <c r="M39" s="1044"/>
      <c r="N39" s="1044"/>
      <c r="O39" s="1044"/>
      <c r="P39" s="3441" t="str">
        <f>A39</f>
        <v>估价对象XX用房的比较价值（楼面单价，元/平方米）</v>
      </c>
      <c r="Q39" s="3442"/>
      <c r="R39" s="3516" t="e">
        <f>IF(F1="售价",ROUND(IF(D38="简单平均",AVERAGE(R38:W38),R38*F38+T38*H38+V38*J38),0),ROUND(IF(D38="简单平均",AVERAGE(R38:V38),R38*F38+T38*H38+V38*J38),1))</f>
        <v>#DIV/0!</v>
      </c>
      <c r="S39" s="3516"/>
      <c r="T39" s="3516"/>
      <c r="U39" s="3516"/>
      <c r="V39" s="3516"/>
      <c r="W39" s="3516"/>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1186</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1187</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1188</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1213</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1134</v>
      </c>
      <c r="B48" s="1395"/>
      <c r="C48" s="1396" t="str">
        <f>YEAR(C7)&amp;"-"&amp;MONTH(C7)</f>
        <v>2026-1</v>
      </c>
      <c r="D48" s="1397">
        <f>EDATE(C48,-1)</f>
        <v>45992</v>
      </c>
      <c r="E48" s="1397">
        <f t="shared" ref="E48:O48" si="16">EDATE(D48,-1)</f>
        <v>45962</v>
      </c>
      <c r="F48" s="1397">
        <f t="shared" si="16"/>
        <v>45931</v>
      </c>
      <c r="G48" s="1397">
        <f t="shared" si="16"/>
        <v>45901</v>
      </c>
      <c r="H48" s="1397">
        <f t="shared" si="16"/>
        <v>45870</v>
      </c>
      <c r="I48" s="1397">
        <f t="shared" si="16"/>
        <v>45839</v>
      </c>
      <c r="J48" s="1397">
        <f t="shared" si="16"/>
        <v>45809</v>
      </c>
      <c r="K48" s="1397">
        <f t="shared" si="16"/>
        <v>45778</v>
      </c>
      <c r="L48" s="1397">
        <f t="shared" si="16"/>
        <v>45748</v>
      </c>
      <c r="M48" s="1397">
        <f t="shared" si="16"/>
        <v>45717</v>
      </c>
      <c r="N48" s="1397">
        <f t="shared" si="16"/>
        <v>45689</v>
      </c>
      <c r="O48" s="1397">
        <f t="shared" si="16"/>
        <v>45658</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1216</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1137</v>
      </c>
      <c r="B51" s="1256"/>
      <c r="C51" s="1257" t="s">
        <v>1138</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1217</v>
      </c>
      <c r="B53" s="1265" t="s">
        <v>1142</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1147</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1153</v>
      </c>
      <c r="B63" s="1265" t="s">
        <v>1159</v>
      </c>
      <c r="C63" s="1308" t="s">
        <v>1219</v>
      </c>
      <c r="D63" s="1308" t="s">
        <v>1220</v>
      </c>
      <c r="E63" s="1308" t="s">
        <v>1221</v>
      </c>
      <c r="F63" s="1308" t="s">
        <v>1222</v>
      </c>
      <c r="G63" s="1308" t="s">
        <v>1223</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1163</v>
      </c>
      <c r="C65" s="1313" t="s">
        <v>1219</v>
      </c>
      <c r="D65" s="1313" t="s">
        <v>1220</v>
      </c>
      <c r="E65" s="1313" t="s">
        <v>1221</v>
      </c>
      <c r="F65" s="1313" t="s">
        <v>1222</v>
      </c>
      <c r="G65" s="1313" t="s">
        <v>1223</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1164</v>
      </c>
      <c r="C67" s="1116" t="s">
        <v>1224</v>
      </c>
      <c r="D67" s="1116" t="s">
        <v>1225</v>
      </c>
      <c r="E67" s="1116" t="s">
        <v>1226</v>
      </c>
      <c r="F67" s="1116" t="s">
        <v>1227</v>
      </c>
      <c r="G67" s="1116" t="s">
        <v>1228</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2171</v>
      </c>
      <c r="C69" s="1313" t="s">
        <v>1219</v>
      </c>
      <c r="D69" s="1313" t="s">
        <v>1220</v>
      </c>
      <c r="E69" s="1313" t="s">
        <v>1221</v>
      </c>
      <c r="F69" s="1313" t="s">
        <v>1222</v>
      </c>
      <c r="G69" s="1313" t="s">
        <v>1223</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2210</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1172</v>
      </c>
      <c r="B79" s="1265" t="s">
        <v>2237</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2229</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2178</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2230</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2231</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2232</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2233</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2234</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2238</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IF(C2="——",C37,ROUND(B2*10000/D3,0))</f>
        <v>#DIV/0!</v>
      </c>
      <c r="C3" s="1360" t="s">
        <v>1123</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49" t="s">
        <v>1127</v>
      </c>
      <c r="AC4" s="3448" t="s">
        <v>1128</v>
      </c>
    </row>
    <row r="5" spans="1:29">
      <c r="A5" s="1049"/>
      <c r="B5" s="1050"/>
      <c r="C5" s="3427" t="s">
        <v>1131</v>
      </c>
      <c r="D5" s="3428"/>
      <c r="E5" s="3429" t="s">
        <v>2168</v>
      </c>
      <c r="F5" s="3430"/>
      <c r="G5" s="3427" t="s">
        <v>2169</v>
      </c>
      <c r="H5" s="3428"/>
      <c r="I5" s="3427" t="s">
        <v>2170</v>
      </c>
      <c r="J5" s="3428"/>
      <c r="K5" s="1042"/>
      <c r="L5" s="1043"/>
      <c r="M5" s="1044"/>
      <c r="N5" s="1044"/>
      <c r="O5" s="1044"/>
      <c r="P5" s="3453"/>
      <c r="Q5" s="3454"/>
      <c r="R5" s="3459"/>
      <c r="S5" s="3460"/>
      <c r="T5" s="3459"/>
      <c r="U5" s="3460"/>
      <c r="V5" s="3439"/>
      <c r="W5" s="3439"/>
      <c r="X5" s="1048"/>
      <c r="Y5" s="3459"/>
      <c r="Z5" s="3460"/>
      <c r="AA5" s="3449"/>
      <c r="AB5" s="3449"/>
      <c r="AC5" s="3449"/>
    </row>
    <row r="6" spans="1:29" ht="14.4">
      <c r="A6" s="1052"/>
      <c r="B6" s="1053"/>
      <c r="C6" s="3431" t="s">
        <v>1132</v>
      </c>
      <c r="D6" s="3432"/>
      <c r="E6" s="3433" t="s">
        <v>1132</v>
      </c>
      <c r="F6" s="3434"/>
      <c r="G6" s="3431" t="s">
        <v>1132</v>
      </c>
      <c r="H6" s="3432"/>
      <c r="I6" s="3431" t="s">
        <v>1132</v>
      </c>
      <c r="J6" s="3432"/>
      <c r="K6" s="1042" t="s">
        <v>1133</v>
      </c>
      <c r="L6" s="1043"/>
      <c r="M6" s="1044"/>
      <c r="N6" s="1044"/>
      <c r="O6" s="1044"/>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35" t="s">
        <v>1135</v>
      </c>
      <c r="Q7" s="3436"/>
      <c r="R7" s="1067" t="s">
        <v>1136</v>
      </c>
      <c r="S7" s="1068">
        <f t="shared" ref="S7:S14" si="0">F7</f>
        <v>0</v>
      </c>
      <c r="T7" s="1067" t="s">
        <v>1136</v>
      </c>
      <c r="U7" s="1068">
        <f t="shared" ref="U7:U14" si="1">H7</f>
        <v>0</v>
      </c>
      <c r="V7" s="1067" t="s">
        <v>1136</v>
      </c>
      <c r="W7" s="1068">
        <f t="shared" ref="W7:W14"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34" si="3">D8/F8</f>
        <v>1</v>
      </c>
      <c r="AB8" s="1071">
        <f t="shared" ref="AB8:AB34" si="4">D8/H8</f>
        <v>1</v>
      </c>
      <c r="AC8" s="1071">
        <f t="shared" ref="AC8:AC34" si="5">D8/J8</f>
        <v>1</v>
      </c>
    </row>
    <row r="9" spans="1:29" s="1011" customFormat="1" ht="14.4">
      <c r="A9" s="1073" t="s">
        <v>1141</v>
      </c>
      <c r="B9" s="1074" t="s">
        <v>1142</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438" t="s">
        <v>1145</v>
      </c>
      <c r="Q9" s="811" t="str">
        <f t="shared" ref="Q9:Q14" si="6">B9</f>
        <v>用途</v>
      </c>
      <c r="R9" s="1067" t="s">
        <v>1136</v>
      </c>
      <c r="S9" s="1068">
        <f t="shared" si="0"/>
        <v>100</v>
      </c>
      <c r="T9" s="1067" t="s">
        <v>1136</v>
      </c>
      <c r="U9" s="1068">
        <f t="shared" si="1"/>
        <v>100</v>
      </c>
      <c r="V9" s="1067" t="s">
        <v>1136</v>
      </c>
      <c r="W9" s="1068">
        <f t="shared" si="2"/>
        <v>100</v>
      </c>
      <c r="X9" s="1069"/>
      <c r="Y9" s="3404" t="s">
        <v>1146</v>
      </c>
      <c r="Z9" s="1071" t="str">
        <f t="shared" ref="Z9:Z14" si="7">Q9</f>
        <v>用途</v>
      </c>
      <c r="AA9" s="1071">
        <f t="shared" si="3"/>
        <v>1</v>
      </c>
      <c r="AB9" s="1071">
        <f t="shared" si="4"/>
        <v>1</v>
      </c>
      <c r="AC9" s="1071">
        <f t="shared" si="5"/>
        <v>1</v>
      </c>
    </row>
    <row r="10" spans="1:29" s="1012" customFormat="1" ht="28.8">
      <c r="A10" s="1078"/>
      <c r="B10" s="1079" t="s">
        <v>1147</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438"/>
      <c r="Q10" s="811" t="str">
        <f t="shared" si="6"/>
        <v>土地使用年限（年）</v>
      </c>
      <c r="R10" s="1067" t="s">
        <v>1136</v>
      </c>
      <c r="S10" s="1068">
        <f t="shared" si="0"/>
        <v>100</v>
      </c>
      <c r="T10" s="1067" t="s">
        <v>1136</v>
      </c>
      <c r="U10" s="1068">
        <f t="shared" si="1"/>
        <v>100</v>
      </c>
      <c r="V10" s="1067" t="s">
        <v>1136</v>
      </c>
      <c r="W10" s="1068">
        <f t="shared" si="2"/>
        <v>100</v>
      </c>
      <c r="X10" s="1069"/>
      <c r="Y10" s="3404"/>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438"/>
      <c r="Q11" s="811">
        <f t="shared" si="6"/>
        <v>111</v>
      </c>
      <c r="R11" s="1067" t="s">
        <v>1136</v>
      </c>
      <c r="S11" s="1068">
        <f t="shared" si="0"/>
        <v>100</v>
      </c>
      <c r="T11" s="1067" t="s">
        <v>1136</v>
      </c>
      <c r="U11" s="1068">
        <f t="shared" si="1"/>
        <v>100</v>
      </c>
      <c r="V11" s="1067" t="s">
        <v>1136</v>
      </c>
      <c r="W11" s="1068">
        <f t="shared" si="2"/>
        <v>100</v>
      </c>
      <c r="X11" s="1069"/>
      <c r="Y11" s="3404"/>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438"/>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96.6">
      <c r="A14" s="1103" t="s">
        <v>1153</v>
      </c>
      <c r="B14" s="1367" t="s">
        <v>1159</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444" t="s">
        <v>1155</v>
      </c>
      <c r="Q14" s="707" t="str">
        <f t="shared" si="6"/>
        <v>交通便捷度</v>
      </c>
      <c r="R14" s="1109" t="s">
        <v>1136</v>
      </c>
      <c r="S14" s="1110">
        <f t="shared" si="0"/>
        <v>100</v>
      </c>
      <c r="T14" s="1109" t="s">
        <v>1136</v>
      </c>
      <c r="U14" s="1110">
        <f t="shared" si="1"/>
        <v>100</v>
      </c>
      <c r="V14" s="1109" t="s">
        <v>1136</v>
      </c>
      <c r="W14" s="1110">
        <f t="shared" si="2"/>
        <v>100</v>
      </c>
      <c r="X14" s="1048"/>
      <c r="Y14" s="3444" t="s">
        <v>1155</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445"/>
      <c r="Q15" s="707"/>
      <c r="R15" s="1109"/>
      <c r="S15" s="1110"/>
      <c r="T15" s="1109"/>
      <c r="U15" s="1110"/>
      <c r="V15" s="1109"/>
      <c r="W15" s="1110"/>
      <c r="X15" s="1048"/>
      <c r="Y15" s="3445"/>
      <c r="Z15" s="1047"/>
      <c r="AA15" s="1047">
        <v>1</v>
      </c>
      <c r="AB15" s="1047">
        <v>1</v>
      </c>
      <c r="AC15" s="1047">
        <v>1</v>
      </c>
    </row>
    <row r="16" spans="1:29" ht="41.4">
      <c r="A16" s="1086"/>
      <c r="B16" s="1371" t="s">
        <v>1163</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445"/>
      <c r="Q16" s="707" t="str">
        <f>B16</f>
        <v>公共配套设施</v>
      </c>
      <c r="R16" s="1109" t="s">
        <v>1136</v>
      </c>
      <c r="S16" s="1110">
        <f>F16</f>
        <v>100</v>
      </c>
      <c r="T16" s="1109" t="s">
        <v>1136</v>
      </c>
      <c r="U16" s="1110">
        <f>H16</f>
        <v>100</v>
      </c>
      <c r="V16" s="1109" t="s">
        <v>1136</v>
      </c>
      <c r="W16" s="1110">
        <f>J16</f>
        <v>100</v>
      </c>
      <c r="X16" s="1048"/>
      <c r="Y16" s="3445"/>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445"/>
      <c r="Q17" s="707"/>
      <c r="R17" s="1109"/>
      <c r="S17" s="1110"/>
      <c r="T17" s="1109"/>
      <c r="U17" s="1110"/>
      <c r="V17" s="1109"/>
      <c r="W17" s="1110"/>
      <c r="X17" s="1048"/>
      <c r="Y17" s="3445"/>
      <c r="Z17" s="1047"/>
      <c r="AA17" s="1047">
        <v>1</v>
      </c>
      <c r="AB17" s="1047">
        <v>1</v>
      </c>
      <c r="AC17" s="1047">
        <v>1</v>
      </c>
    </row>
    <row r="18" spans="1:29" ht="41.4">
      <c r="A18" s="1086"/>
      <c r="B18" s="1375" t="s">
        <v>1164</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445"/>
      <c r="Q18" s="707" t="str">
        <f>B18</f>
        <v>基础设施水平</v>
      </c>
      <c r="R18" s="1109" t="s">
        <v>1136</v>
      </c>
      <c r="S18" s="1110">
        <f>F18</f>
        <v>100</v>
      </c>
      <c r="T18" s="1109" t="s">
        <v>1136</v>
      </c>
      <c r="U18" s="1110">
        <f>H18</f>
        <v>100</v>
      </c>
      <c r="V18" s="1109" t="s">
        <v>1136</v>
      </c>
      <c r="W18" s="1110">
        <f>J18</f>
        <v>100</v>
      </c>
      <c r="X18" s="1048"/>
      <c r="Y18" s="3445"/>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445"/>
      <c r="Q19" s="707"/>
      <c r="R19" s="1109"/>
      <c r="S19" s="1110"/>
      <c r="T19" s="1109"/>
      <c r="U19" s="1110"/>
      <c r="V19" s="1109"/>
      <c r="W19" s="1110"/>
      <c r="X19" s="1048"/>
      <c r="Y19" s="3445"/>
      <c r="Z19" s="1047"/>
      <c r="AA19" s="1047">
        <v>1</v>
      </c>
      <c r="AB19" s="1047">
        <v>1</v>
      </c>
      <c r="AC19" s="1047">
        <v>1</v>
      </c>
    </row>
    <row r="20" spans="1:29" ht="55.2">
      <c r="A20" s="1086"/>
      <c r="B20" s="1371" t="s">
        <v>2171</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445"/>
      <c r="Q20" s="707" t="str">
        <f>B20</f>
        <v>自然及人文环境</v>
      </c>
      <c r="R20" s="1109" t="s">
        <v>1136</v>
      </c>
      <c r="S20" s="1110">
        <f>F20</f>
        <v>100</v>
      </c>
      <c r="T20" s="1109" t="s">
        <v>1136</v>
      </c>
      <c r="U20" s="1110">
        <f>H20</f>
        <v>100</v>
      </c>
      <c r="V20" s="1109" t="s">
        <v>1136</v>
      </c>
      <c r="W20" s="1110">
        <f>J20</f>
        <v>100</v>
      </c>
      <c r="X20" s="1048"/>
      <c r="Y20" s="3445"/>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445"/>
      <c r="Q21" s="707"/>
      <c r="R21" s="1109"/>
      <c r="S21" s="1110"/>
      <c r="T21" s="1109"/>
      <c r="U21" s="1110"/>
      <c r="V21" s="1109"/>
      <c r="W21" s="1110"/>
      <c r="X21" s="1048"/>
      <c r="Y21" s="3445"/>
      <c r="Z21" s="1047"/>
      <c r="AA21" s="1047">
        <v>1</v>
      </c>
      <c r="AB21" s="1047">
        <v>1</v>
      </c>
      <c r="AC21" s="1047">
        <v>1</v>
      </c>
    </row>
    <row r="22" spans="1:29" ht="15">
      <c r="A22" s="1086"/>
      <c r="B22" s="1371" t="s">
        <v>2210</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45"/>
      <c r="Q22" s="707" t="str">
        <f>B22</f>
        <v>楼层</v>
      </c>
      <c r="R22" s="1109" t="s">
        <v>1136</v>
      </c>
      <c r="S22" s="1110">
        <f>F22</f>
        <v>100</v>
      </c>
      <c r="T22" s="1109" t="s">
        <v>1136</v>
      </c>
      <c r="U22" s="1110">
        <f>H22</f>
        <v>100</v>
      </c>
      <c r="V22" s="1109" t="s">
        <v>1136</v>
      </c>
      <c r="W22" s="1110">
        <f>J22</f>
        <v>100</v>
      </c>
      <c r="X22" s="1048"/>
      <c r="Y22" s="3445"/>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45"/>
      <c r="Q23" s="707">
        <f>B23</f>
        <v>111</v>
      </c>
      <c r="R23" s="1109" t="s">
        <v>1136</v>
      </c>
      <c r="S23" s="1110">
        <f>F23</f>
        <v>100</v>
      </c>
      <c r="T23" s="1109" t="s">
        <v>1136</v>
      </c>
      <c r="U23" s="1110">
        <f>H23</f>
        <v>100</v>
      </c>
      <c r="V23" s="1109" t="s">
        <v>1136</v>
      </c>
      <c r="W23" s="1110">
        <f>J23</f>
        <v>100</v>
      </c>
      <c r="X23" s="1048"/>
      <c r="Y23" s="3445"/>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45"/>
      <c r="Q24" s="707">
        <f t="shared" ref="Q24:Q34" si="11">B24</f>
        <v>111</v>
      </c>
      <c r="R24" s="1109" t="s">
        <v>1136</v>
      </c>
      <c r="S24" s="1110">
        <f>F24</f>
        <v>100</v>
      </c>
      <c r="T24" s="1109" t="s">
        <v>1136</v>
      </c>
      <c r="U24" s="1110">
        <f>H24</f>
        <v>100</v>
      </c>
      <c r="V24" s="1109" t="s">
        <v>1136</v>
      </c>
      <c r="W24" s="1110">
        <f>J24</f>
        <v>100</v>
      </c>
      <c r="X24" s="1048"/>
      <c r="Y24" s="3445"/>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445"/>
      <c r="Q25" s="811">
        <f t="shared" si="11"/>
        <v>111</v>
      </c>
      <c r="R25" s="1067" t="s">
        <v>1136</v>
      </c>
      <c r="S25" s="1068">
        <f>F25</f>
        <v>100</v>
      </c>
      <c r="T25" s="1067" t="s">
        <v>1136</v>
      </c>
      <c r="U25" s="1068">
        <f>H25</f>
        <v>100</v>
      </c>
      <c r="V25" s="1067" t="s">
        <v>1136</v>
      </c>
      <c r="W25" s="1068">
        <f>J25</f>
        <v>100</v>
      </c>
      <c r="X25" s="1069"/>
      <c r="Y25" s="3445"/>
      <c r="Z25" s="1071">
        <f>Q25</f>
        <v>111</v>
      </c>
      <c r="AA25" s="1047">
        <f t="shared" si="3"/>
        <v>1</v>
      </c>
      <c r="AB25" s="1047">
        <f t="shared" si="4"/>
        <v>1</v>
      </c>
      <c r="AC25" s="1047">
        <f t="shared" si="5"/>
        <v>1</v>
      </c>
    </row>
    <row r="26" spans="1:29" ht="30">
      <c r="A26" s="1378" t="s">
        <v>1172</v>
      </c>
      <c r="B26" s="1074" t="s">
        <v>2178</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446" t="s">
        <v>1171</v>
      </c>
      <c r="Q26" s="707" t="str">
        <f t="shared" si="11"/>
        <v>公共部分装修</v>
      </c>
      <c r="R26" s="1109" t="s">
        <v>1136</v>
      </c>
      <c r="S26" s="1110">
        <f t="shared" ref="S26:S34" si="12">F26</f>
        <v>100</v>
      </c>
      <c r="T26" s="1109" t="s">
        <v>1136</v>
      </c>
      <c r="U26" s="1110">
        <f t="shared" ref="U26:U34" si="13">H26</f>
        <v>100</v>
      </c>
      <c r="V26" s="1109" t="s">
        <v>1136</v>
      </c>
      <c r="W26" s="1110">
        <f t="shared" ref="W26:W34" si="14">J26</f>
        <v>100</v>
      </c>
      <c r="X26" s="1048"/>
      <c r="Y26" s="3447" t="s">
        <v>1171</v>
      </c>
      <c r="Z26" s="1047" t="str">
        <f t="shared" ref="Z26:Z34" si="15">Q26</f>
        <v>公共部分装修</v>
      </c>
      <c r="AA26" s="1047">
        <f t="shared" si="3"/>
        <v>1</v>
      </c>
      <c r="AB26" s="1047">
        <f t="shared" si="4"/>
        <v>1</v>
      </c>
      <c r="AC26" s="1047">
        <f t="shared" si="5"/>
        <v>1</v>
      </c>
    </row>
    <row r="27" spans="1:29" s="1013" customFormat="1" ht="15">
      <c r="A27" s="1159"/>
      <c r="B27" s="1079" t="s">
        <v>2230</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447"/>
      <c r="Q27" s="1383" t="str">
        <f t="shared" si="11"/>
        <v>成新率</v>
      </c>
      <c r="R27" s="1147" t="s">
        <v>1136</v>
      </c>
      <c r="S27" s="1148" t="e">
        <f t="shared" si="12"/>
        <v>#N/A</v>
      </c>
      <c r="T27" s="1147" t="s">
        <v>1136</v>
      </c>
      <c r="U27" s="1148" t="e">
        <f t="shared" si="13"/>
        <v>#N/A</v>
      </c>
      <c r="V27" s="1147" t="s">
        <v>1136</v>
      </c>
      <c r="W27" s="1148" t="e">
        <f t="shared" si="14"/>
        <v>#N/A</v>
      </c>
      <c r="X27" s="1149"/>
      <c r="Y27" s="3447"/>
      <c r="Z27" s="1150" t="str">
        <f t="shared" si="15"/>
        <v>成新率</v>
      </c>
      <c r="AA27" s="1047" t="e">
        <f t="shared" si="3"/>
        <v>#N/A</v>
      </c>
      <c r="AB27" s="1047" t="e">
        <f t="shared" si="4"/>
        <v>#N/A</v>
      </c>
      <c r="AC27" s="1047" t="e">
        <f t="shared" si="5"/>
        <v>#N/A</v>
      </c>
    </row>
    <row r="28" spans="1:29" ht="15">
      <c r="A28" s="1154"/>
      <c r="B28" s="1079" t="s">
        <v>2231</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447"/>
      <c r="Q28" s="707" t="str">
        <f t="shared" si="11"/>
        <v>物业等级</v>
      </c>
      <c r="R28" s="1109" t="s">
        <v>1136</v>
      </c>
      <c r="S28" s="1110">
        <f t="shared" si="12"/>
        <v>100</v>
      </c>
      <c r="T28" s="1109" t="s">
        <v>1136</v>
      </c>
      <c r="U28" s="1110">
        <f t="shared" si="13"/>
        <v>100</v>
      </c>
      <c r="V28" s="1109" t="s">
        <v>1136</v>
      </c>
      <c r="W28" s="1110">
        <f t="shared" si="14"/>
        <v>100</v>
      </c>
      <c r="X28" s="1048"/>
      <c r="Y28" s="3447"/>
      <c r="Z28" s="1047" t="str">
        <f t="shared" si="15"/>
        <v>物业等级</v>
      </c>
      <c r="AA28" s="1047">
        <f t="shared" si="3"/>
        <v>1</v>
      </c>
      <c r="AB28" s="1047">
        <f t="shared" si="4"/>
        <v>1</v>
      </c>
      <c r="AC28" s="1047">
        <f t="shared" si="5"/>
        <v>1</v>
      </c>
    </row>
    <row r="29" spans="1:29" ht="15">
      <c r="A29" s="1154"/>
      <c r="B29" s="1079" t="s">
        <v>2239</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447"/>
      <c r="Q29" s="707" t="str">
        <f t="shared" si="11"/>
        <v>有无电梯</v>
      </c>
      <c r="R29" s="1109" t="s">
        <v>1136</v>
      </c>
      <c r="S29" s="1110">
        <f t="shared" si="12"/>
        <v>100</v>
      </c>
      <c r="T29" s="1109" t="s">
        <v>1136</v>
      </c>
      <c r="U29" s="1110">
        <f t="shared" si="13"/>
        <v>100</v>
      </c>
      <c r="V29" s="1109" t="s">
        <v>1136</v>
      </c>
      <c r="W29" s="1110">
        <f t="shared" si="14"/>
        <v>100</v>
      </c>
      <c r="X29" s="1048"/>
      <c r="Y29" s="3447"/>
      <c r="Z29" s="1047" t="str">
        <f t="shared" si="15"/>
        <v>有无电梯</v>
      </c>
      <c r="AA29" s="1047">
        <f t="shared" si="3"/>
        <v>1</v>
      </c>
      <c r="AB29" s="1047">
        <f t="shared" si="4"/>
        <v>1</v>
      </c>
      <c r="AC29" s="1047">
        <f t="shared" si="5"/>
        <v>1</v>
      </c>
    </row>
    <row r="30" spans="1:29" ht="15">
      <c r="A30" s="1154"/>
      <c r="B30" s="1079" t="s">
        <v>727</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447"/>
      <c r="Q30" s="707" t="str">
        <f t="shared" si="11"/>
        <v>建筑面积</v>
      </c>
      <c r="R30" s="1109" t="s">
        <v>1136</v>
      </c>
      <c r="S30" s="1110" t="e">
        <f t="shared" si="12"/>
        <v>#N/A</v>
      </c>
      <c r="T30" s="1109" t="s">
        <v>1136</v>
      </c>
      <c r="U30" s="1110" t="e">
        <f t="shared" si="13"/>
        <v>#N/A</v>
      </c>
      <c r="V30" s="1109" t="s">
        <v>1136</v>
      </c>
      <c r="W30" s="1110" t="e">
        <f t="shared" si="14"/>
        <v>#N/A</v>
      </c>
      <c r="X30" s="1048"/>
      <c r="Y30" s="3447"/>
      <c r="Z30" s="1047" t="str">
        <f t="shared" si="15"/>
        <v>建筑面积</v>
      </c>
      <c r="AA30" s="1047" t="e">
        <f t="shared" si="3"/>
        <v>#N/A</v>
      </c>
      <c r="AB30" s="1047" t="e">
        <f t="shared" si="4"/>
        <v>#N/A</v>
      </c>
      <c r="AC30" s="1047" t="e">
        <f t="shared" si="5"/>
        <v>#N/A</v>
      </c>
    </row>
    <row r="31" spans="1:29" s="1011" customFormat="1" ht="15">
      <c r="A31" s="1156"/>
      <c r="B31" s="1079" t="s">
        <v>2240</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447"/>
      <c r="Q31" s="811" t="str">
        <f t="shared" si="11"/>
        <v>是否封闭</v>
      </c>
      <c r="R31" s="1067" t="s">
        <v>1136</v>
      </c>
      <c r="S31" s="1068">
        <f t="shared" si="12"/>
        <v>100</v>
      </c>
      <c r="T31" s="1067" t="s">
        <v>1136</v>
      </c>
      <c r="U31" s="1068">
        <f t="shared" si="13"/>
        <v>100</v>
      </c>
      <c r="V31" s="1067" t="s">
        <v>1136</v>
      </c>
      <c r="W31" s="1068">
        <f t="shared" si="14"/>
        <v>100</v>
      </c>
      <c r="X31" s="1069"/>
      <c r="Y31" s="3447"/>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447" t="s">
        <v>1171</v>
      </c>
      <c r="Q32" s="707">
        <f t="shared" si="11"/>
        <v>111</v>
      </c>
      <c r="R32" s="1109" t="s">
        <v>1136</v>
      </c>
      <c r="S32" s="1110">
        <f t="shared" si="12"/>
        <v>100</v>
      </c>
      <c r="T32" s="1109" t="s">
        <v>1136</v>
      </c>
      <c r="U32" s="1110">
        <f t="shared" si="13"/>
        <v>100</v>
      </c>
      <c r="V32" s="1109" t="s">
        <v>1136</v>
      </c>
      <c r="W32" s="1110">
        <f t="shared" si="14"/>
        <v>100</v>
      </c>
      <c r="X32" s="1048"/>
      <c r="Y32" s="3447" t="s">
        <v>1171</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447"/>
      <c r="Q33" s="707">
        <f t="shared" si="11"/>
        <v>111</v>
      </c>
      <c r="R33" s="1109" t="s">
        <v>1136</v>
      </c>
      <c r="S33" s="1110">
        <f t="shared" si="12"/>
        <v>100</v>
      </c>
      <c r="T33" s="1109" t="s">
        <v>1136</v>
      </c>
      <c r="U33" s="1110">
        <f t="shared" si="13"/>
        <v>100</v>
      </c>
      <c r="V33" s="1109" t="s">
        <v>1136</v>
      </c>
      <c r="W33" s="1110">
        <f t="shared" si="14"/>
        <v>100</v>
      </c>
      <c r="X33" s="1048"/>
      <c r="Y33" s="3447"/>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447"/>
      <c r="Q34" s="707">
        <f t="shared" si="11"/>
        <v>111</v>
      </c>
      <c r="R34" s="1109" t="s">
        <v>1136</v>
      </c>
      <c r="S34" s="1110">
        <f t="shared" si="12"/>
        <v>100</v>
      </c>
      <c r="T34" s="1109" t="s">
        <v>1136</v>
      </c>
      <c r="U34" s="1110">
        <f t="shared" si="13"/>
        <v>100</v>
      </c>
      <c r="V34" s="1109" t="s">
        <v>1136</v>
      </c>
      <c r="W34" s="1110">
        <f t="shared" si="14"/>
        <v>100</v>
      </c>
      <c r="X34" s="1048"/>
      <c r="Y34" s="3447"/>
      <c r="Z34" s="1047">
        <f t="shared" si="15"/>
        <v>111</v>
      </c>
      <c r="AA34" s="1047">
        <f t="shared" si="3"/>
        <v>1</v>
      </c>
      <c r="AB34" s="1047">
        <f t="shared" si="4"/>
        <v>1</v>
      </c>
      <c r="AC34" s="1047">
        <f t="shared" si="5"/>
        <v>1</v>
      </c>
    </row>
    <row r="35" spans="1:30" ht="14.4">
      <c r="A35" s="1162" t="s">
        <v>2185</v>
      </c>
      <c r="B35" s="1388"/>
      <c r="C35" s="1389" t="s">
        <v>124</v>
      </c>
      <c r="D35" s="1165"/>
      <c r="E35" s="1166"/>
      <c r="F35" s="1167"/>
      <c r="G35" s="1168"/>
      <c r="H35" s="1169"/>
      <c r="I35" s="1166"/>
      <c r="J35" s="1169"/>
      <c r="K35" s="1170"/>
      <c r="L35" s="1171"/>
      <c r="M35" s="1044"/>
      <c r="N35" s="1044"/>
      <c r="O35" s="1044"/>
      <c r="P35" s="3438" t="str">
        <f>A35</f>
        <v>成交单价（元/平方米）</v>
      </c>
      <c r="Q35" s="3438"/>
      <c r="R35" s="3439">
        <f>E35</f>
        <v>0</v>
      </c>
      <c r="S35" s="3439"/>
      <c r="T35" s="3439">
        <f>G35</f>
        <v>0</v>
      </c>
      <c r="U35" s="3439"/>
      <c r="V35" s="3439">
        <f>I35</f>
        <v>0</v>
      </c>
      <c r="W35" s="3439"/>
      <c r="X35" s="1172"/>
      <c r="Y35" s="1173"/>
      <c r="Z35" s="1172"/>
      <c r="AA35" s="1172"/>
      <c r="AB35" s="1172"/>
      <c r="AC35" s="1172"/>
    </row>
    <row r="36" spans="1:30" ht="14.4">
      <c r="A36" s="1174" t="s">
        <v>1183</v>
      </c>
      <c r="B36" s="1390"/>
      <c r="C36" s="1391" t="e">
        <f>R37</f>
        <v>#DIV/0!</v>
      </c>
      <c r="D36" s="1177" t="s">
        <v>1184</v>
      </c>
      <c r="E36" s="1392" t="e">
        <f>R36</f>
        <v>#DIV/0!</v>
      </c>
      <c r="F36" s="1178"/>
      <c r="G36" s="1391" t="e">
        <f>T36</f>
        <v>#DIV/0!</v>
      </c>
      <c r="H36" s="1178"/>
      <c r="I36" s="1392" t="e">
        <f>V36</f>
        <v>#DIV/0!</v>
      </c>
      <c r="J36" s="1178"/>
      <c r="K36" s="1180">
        <f>F36+H36+J36</f>
        <v>0</v>
      </c>
      <c r="L36" s="1171"/>
      <c r="M36" s="1044"/>
      <c r="N36" s="1044"/>
      <c r="O36" s="1044"/>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172"/>
      <c r="Y36" s="1172"/>
      <c r="Z36" s="1172"/>
      <c r="AA36" s="1172"/>
      <c r="AB36" s="1172"/>
      <c r="AC36" s="1172"/>
    </row>
    <row r="37" spans="1:30" ht="14.4">
      <c r="A37" s="1181" t="s">
        <v>2186</v>
      </c>
      <c r="B37" s="1182"/>
      <c r="C37" s="1053" t="e">
        <f>R37</f>
        <v>#DIV/0!</v>
      </c>
      <c r="D37" s="1053"/>
      <c r="E37" s="1053"/>
      <c r="F37" s="1053"/>
      <c r="G37" s="1053"/>
      <c r="H37" s="1053"/>
      <c r="I37" s="1053"/>
      <c r="J37" s="1053"/>
      <c r="K37" s="1184"/>
      <c r="L37" s="1171"/>
      <c r="M37" s="1044"/>
      <c r="N37" s="1044"/>
      <c r="O37" s="1044"/>
      <c r="P37" s="3441" t="str">
        <f>A37</f>
        <v>估价对象XX用房的比较价值（楼面单价，元/平方米）</v>
      </c>
      <c r="Q37" s="3442"/>
      <c r="R37" s="3516" t="e">
        <f>IF(F1="售价",ROUND(IF(D36="简单平均",AVERAGE(R36:W36),R36*F36+T36*H36+V36*J36),0),ROUND(IF(D36="简单平均",AVERAGE(R36:V36),R36*F36+T36*H36+V36*J36),1))</f>
        <v>#DIV/0!</v>
      </c>
      <c r="S37" s="3516"/>
      <c r="T37" s="3516"/>
      <c r="U37" s="3516"/>
      <c r="V37" s="3516"/>
      <c r="W37" s="3516"/>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1186</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1187</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1188</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1213</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1134</v>
      </c>
      <c r="B46" s="1395"/>
      <c r="C46" s="1396" t="str">
        <f>YEAR(C7)&amp;"-"&amp;MONTH(C7)</f>
        <v>2026-1</v>
      </c>
      <c r="D46" s="1397">
        <f>EDATE(C46,-1)</f>
        <v>45992</v>
      </c>
      <c r="E46" s="1397">
        <f t="shared" ref="E46:O46" si="16">EDATE(D46,-1)</f>
        <v>45962</v>
      </c>
      <c r="F46" s="1397">
        <f t="shared" si="16"/>
        <v>45931</v>
      </c>
      <c r="G46" s="1397">
        <f t="shared" si="16"/>
        <v>45901</v>
      </c>
      <c r="H46" s="1397">
        <f t="shared" si="16"/>
        <v>45870</v>
      </c>
      <c r="I46" s="1397">
        <f t="shared" si="16"/>
        <v>45839</v>
      </c>
      <c r="J46" s="1397">
        <f t="shared" si="16"/>
        <v>45809</v>
      </c>
      <c r="K46" s="1397">
        <f t="shared" si="16"/>
        <v>45778</v>
      </c>
      <c r="L46" s="1397">
        <f t="shared" si="16"/>
        <v>45748</v>
      </c>
      <c r="M46" s="1397">
        <f t="shared" si="16"/>
        <v>45717</v>
      </c>
      <c r="N46" s="1397">
        <f t="shared" si="16"/>
        <v>45689</v>
      </c>
      <c r="O46" s="1397">
        <f t="shared" si="16"/>
        <v>45658</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1216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1137</v>
      </c>
      <c r="B49" s="1256"/>
      <c r="C49" s="1257" t="s">
        <v>1138</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1217</v>
      </c>
      <c r="B51" s="1265" t="s">
        <v>1142</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1147</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1153</v>
      </c>
      <c r="B61" s="1265" t="s">
        <v>1159</v>
      </c>
      <c r="C61" s="1308" t="s">
        <v>1219</v>
      </c>
      <c r="D61" s="1308" t="s">
        <v>1220</v>
      </c>
      <c r="E61" s="1308" t="s">
        <v>1221</v>
      </c>
      <c r="F61" s="1308" t="s">
        <v>1222</v>
      </c>
      <c r="G61" s="1308" t="s">
        <v>1223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2241</v>
      </c>
      <c r="C63" s="1313" t="s">
        <v>1219</v>
      </c>
      <c r="D63" s="1313" t="s">
        <v>1220</v>
      </c>
      <c r="E63" s="1313" t="s">
        <v>1221</v>
      </c>
      <c r="F63" s="1313" t="s">
        <v>1222</v>
      </c>
      <c r="G63" s="1313" t="s">
        <v>1223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1164</v>
      </c>
      <c r="C65" s="1116" t="s">
        <v>1224</v>
      </c>
      <c r="D65" s="1116" t="s">
        <v>1225</v>
      </c>
      <c r="E65" s="1116" t="s">
        <v>1226</v>
      </c>
      <c r="F65" s="1116" t="s">
        <v>1227</v>
      </c>
      <c r="G65" s="1116" t="s">
        <v>1228</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2171</v>
      </c>
      <c r="C67" s="1313" t="s">
        <v>1219</v>
      </c>
      <c r="D67" s="1313" t="s">
        <v>1220</v>
      </c>
      <c r="E67" s="1313" t="s">
        <v>1221</v>
      </c>
      <c r="F67" s="1313" t="s">
        <v>1222</v>
      </c>
      <c r="G67" s="1313" t="s">
        <v>1223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2210</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1172</v>
      </c>
      <c r="B77" s="1265" t="s">
        <v>2178</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2230</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2231</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2239</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727</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2240</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2222</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ROUND(IF(D3="",B2*10000/'数据-汇总表'!E3,B2*10000/D3),0)</f>
        <v>#DIV/0!</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51" t="s">
        <v>1130</v>
      </c>
      <c r="Q4" s="3452"/>
      <c r="R4" s="3457" t="s">
        <v>1126</v>
      </c>
      <c r="S4" s="3458"/>
      <c r="T4" s="3457" t="s">
        <v>1127</v>
      </c>
      <c r="U4" s="3458"/>
      <c r="V4" s="3439" t="s">
        <v>1128</v>
      </c>
      <c r="W4" s="3439"/>
      <c r="X4" s="1048"/>
      <c r="Y4" s="3457" t="s">
        <v>1130</v>
      </c>
      <c r="Z4" s="3458"/>
      <c r="AA4" s="3448" t="s">
        <v>1126</v>
      </c>
      <c r="AB4" s="3449" t="s">
        <v>1127</v>
      </c>
      <c r="AC4" s="3448" t="s">
        <v>1128</v>
      </c>
    </row>
    <row r="5" spans="1:29">
      <c r="A5" s="1049"/>
      <c r="B5" s="1050"/>
      <c r="C5" s="3427" t="s">
        <v>1131</v>
      </c>
      <c r="D5" s="3428"/>
      <c r="E5" s="3429" t="s">
        <v>2168</v>
      </c>
      <c r="F5" s="3430"/>
      <c r="G5" s="3427" t="s">
        <v>2169</v>
      </c>
      <c r="H5" s="3428"/>
      <c r="I5" s="3427" t="s">
        <v>2170</v>
      </c>
      <c r="J5" s="3428"/>
      <c r="K5" s="1042"/>
      <c r="L5" s="1043"/>
      <c r="M5" s="1044"/>
      <c r="N5" s="1044"/>
      <c r="O5" s="1044"/>
      <c r="P5" s="3453"/>
      <c r="Q5" s="3454"/>
      <c r="R5" s="3459"/>
      <c r="S5" s="3460"/>
      <c r="T5" s="3459"/>
      <c r="U5" s="3460"/>
      <c r="V5" s="3439"/>
      <c r="W5" s="3439"/>
      <c r="X5" s="1048"/>
      <c r="Y5" s="3459"/>
      <c r="Z5" s="3460"/>
      <c r="AA5" s="3449"/>
      <c r="AB5" s="3449"/>
      <c r="AC5" s="3449"/>
    </row>
    <row r="6" spans="1:29" ht="14.4">
      <c r="A6" s="1052"/>
      <c r="B6" s="1053"/>
      <c r="C6" s="3517" t="s">
        <v>2242</v>
      </c>
      <c r="D6" s="3518"/>
      <c r="E6" s="3519" t="s">
        <v>2242</v>
      </c>
      <c r="F6" s="3520"/>
      <c r="G6" s="3517" t="s">
        <v>2242</v>
      </c>
      <c r="H6" s="3518"/>
      <c r="I6" s="3517" t="s">
        <v>2242</v>
      </c>
      <c r="J6" s="3518"/>
      <c r="K6" s="1042" t="s">
        <v>1133</v>
      </c>
      <c r="L6" s="1043"/>
      <c r="M6" s="1044"/>
      <c r="N6" s="1044"/>
      <c r="O6" s="1044"/>
      <c r="P6" s="3455"/>
      <c r="Q6" s="3456"/>
      <c r="R6" s="3459"/>
      <c r="S6" s="3460"/>
      <c r="T6" s="3461"/>
      <c r="U6" s="3462"/>
      <c r="V6" s="3439"/>
      <c r="W6" s="3439"/>
      <c r="X6" s="1048"/>
      <c r="Y6" s="3461"/>
      <c r="Z6" s="3462"/>
      <c r="AA6" s="3450"/>
      <c r="AB6" s="3450"/>
      <c r="AC6" s="3450"/>
    </row>
    <row r="7" spans="1:29" s="1011" customFormat="1" ht="14.4">
      <c r="A7" s="1056" t="s">
        <v>1134</v>
      </c>
      <c r="B7" s="1057"/>
      <c r="C7" s="1058">
        <f>'数据-取费表'!B2</f>
        <v>46026</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t="s">
        <v>1138</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35" t="s">
        <v>1140</v>
      </c>
      <c r="Q8" s="3437"/>
      <c r="R8" s="1067" t="s">
        <v>1136</v>
      </c>
      <c r="S8" s="1068">
        <f t="shared" si="0"/>
        <v>0</v>
      </c>
      <c r="T8" s="1067" t="s">
        <v>1136</v>
      </c>
      <c r="U8" s="1068">
        <f t="shared" si="1"/>
        <v>0</v>
      </c>
      <c r="V8" s="1067" t="s">
        <v>1136</v>
      </c>
      <c r="W8" s="1068">
        <f t="shared" si="2"/>
        <v>0</v>
      </c>
      <c r="X8" s="1069"/>
      <c r="Y8" s="3435" t="s">
        <v>1140</v>
      </c>
      <c r="Z8" s="3437"/>
      <c r="AA8" s="1071" t="e">
        <f t="shared" ref="AA8:AA40" si="3">D8/F8</f>
        <v>#DIV/0!</v>
      </c>
      <c r="AB8" s="1071" t="e">
        <f t="shared" ref="AB8:AB40" si="4">D8/H8</f>
        <v>#DIV/0!</v>
      </c>
      <c r="AC8" s="1071" t="e">
        <f t="shared" ref="AC8:AC40" si="5">D8/J8</f>
        <v>#DIV/0!</v>
      </c>
    </row>
    <row r="9" spans="1:29" s="1011" customFormat="1" ht="14.4">
      <c r="A9" s="1073" t="s">
        <v>1141</v>
      </c>
      <c r="B9" s="1074" t="s">
        <v>1142</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38" t="s">
        <v>1145</v>
      </c>
      <c r="Q9" s="811" t="str">
        <f t="shared" ref="Q9:Q15" si="6">B9</f>
        <v>用途</v>
      </c>
      <c r="R9" s="1067" t="s">
        <v>1136</v>
      </c>
      <c r="S9" s="1068">
        <f t="shared" si="0"/>
        <v>100</v>
      </c>
      <c r="T9" s="1067" t="s">
        <v>1136</v>
      </c>
      <c r="U9" s="1068">
        <f t="shared" si="1"/>
        <v>100</v>
      </c>
      <c r="V9" s="1067" t="s">
        <v>1136</v>
      </c>
      <c r="W9" s="1068">
        <f t="shared" si="2"/>
        <v>100</v>
      </c>
      <c r="X9" s="1069"/>
      <c r="Y9" s="3404" t="s">
        <v>1146</v>
      </c>
      <c r="Z9" s="1071" t="str">
        <f t="shared" ref="Z9:Z15" si="7">Q9</f>
        <v>用途</v>
      </c>
      <c r="AA9" s="1071">
        <f t="shared" si="3"/>
        <v>1</v>
      </c>
      <c r="AB9" s="1071">
        <f t="shared" si="4"/>
        <v>1</v>
      </c>
      <c r="AC9" s="1071">
        <f t="shared" si="5"/>
        <v>1</v>
      </c>
    </row>
    <row r="10" spans="1:29" s="1012" customFormat="1" ht="28.8">
      <c r="A10" s="1078"/>
      <c r="B10" s="1079" t="s">
        <v>1147</v>
      </c>
      <c r="C10" s="1080"/>
      <c r="D10" s="1081">
        <v>100</v>
      </c>
      <c r="E10" s="1080"/>
      <c r="F10" s="1081">
        <f>ROUND(100/'数据-取费表'!G16,0)</f>
        <v>106</v>
      </c>
      <c r="G10" s="1080"/>
      <c r="H10" s="1081">
        <f>ROUND(100/'数据-取费表'!G16,0)</f>
        <v>106</v>
      </c>
      <c r="I10" s="1080"/>
      <c r="J10" s="1081">
        <f>ROUND(100/'数据-取费表'!G16,0)</f>
        <v>106</v>
      </c>
      <c r="K10" s="1082"/>
      <c r="L10" s="1083"/>
      <c r="M10" s="1084"/>
      <c r="N10" s="1084"/>
      <c r="O10" s="1085"/>
      <c r="P10" s="3438"/>
      <c r="Q10" s="811" t="str">
        <f t="shared" si="6"/>
        <v>土地使用年限（年）</v>
      </c>
      <c r="R10" s="1067" t="s">
        <v>1136</v>
      </c>
      <c r="S10" s="1068">
        <f t="shared" si="0"/>
        <v>106</v>
      </c>
      <c r="T10" s="1067" t="s">
        <v>1136</v>
      </c>
      <c r="U10" s="1068">
        <f t="shared" si="1"/>
        <v>106</v>
      </c>
      <c r="V10" s="1067" t="s">
        <v>1136</v>
      </c>
      <c r="W10" s="1068">
        <f t="shared" si="2"/>
        <v>106</v>
      </c>
      <c r="X10" s="1069"/>
      <c r="Y10" s="3404"/>
      <c r="Z10" s="1071" t="str">
        <f t="shared" si="7"/>
        <v>土地使用年限（年）</v>
      </c>
      <c r="AA10" s="1071">
        <f t="shared" si="3"/>
        <v>0.94339622641509402</v>
      </c>
      <c r="AB10" s="1071">
        <f t="shared" si="4"/>
        <v>0.94339622641509402</v>
      </c>
      <c r="AC10" s="1071">
        <f t="shared" si="5"/>
        <v>0.94339622641509402</v>
      </c>
    </row>
    <row r="11" spans="1:29" ht="15">
      <c r="A11" s="1086"/>
      <c r="B11" s="1079" t="s">
        <v>1148</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38"/>
      <c r="Q11" s="811" t="str">
        <f t="shared" si="6"/>
        <v>容积率</v>
      </c>
      <c r="R11" s="1067" t="s">
        <v>1136</v>
      </c>
      <c r="S11" s="1068" t="e">
        <f t="shared" si="0"/>
        <v>#N/A</v>
      </c>
      <c r="T11" s="1067" t="s">
        <v>1136</v>
      </c>
      <c r="U11" s="1068" t="e">
        <f t="shared" si="1"/>
        <v>#N/A</v>
      </c>
      <c r="V11" s="1067" t="s">
        <v>1136</v>
      </c>
      <c r="W11" s="1068" t="e">
        <f t="shared" si="2"/>
        <v>#N/A</v>
      </c>
      <c r="X11" s="1069"/>
      <c r="Y11" s="340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38"/>
      <c r="Q12" s="811">
        <f t="shared" si="6"/>
        <v>111</v>
      </c>
      <c r="R12" s="1067" t="s">
        <v>1136</v>
      </c>
      <c r="S12" s="1068">
        <f t="shared" si="0"/>
        <v>100</v>
      </c>
      <c r="T12" s="1067" t="s">
        <v>1136</v>
      </c>
      <c r="U12" s="1068">
        <f t="shared" si="1"/>
        <v>100</v>
      </c>
      <c r="V12" s="1067" t="s">
        <v>1136</v>
      </c>
      <c r="W12" s="1068">
        <f t="shared" si="2"/>
        <v>100</v>
      </c>
      <c r="X12" s="1069"/>
      <c r="Y12" s="3404"/>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04"/>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38"/>
      <c r="Q14" s="811">
        <f t="shared" si="6"/>
        <v>111</v>
      </c>
      <c r="R14" s="1067" t="s">
        <v>1136</v>
      </c>
      <c r="S14" s="1068">
        <f t="shared" si="0"/>
        <v>100</v>
      </c>
      <c r="T14" s="1067" t="s">
        <v>1136</v>
      </c>
      <c r="U14" s="1068">
        <f t="shared" si="1"/>
        <v>100</v>
      </c>
      <c r="V14" s="1067" t="s">
        <v>1136</v>
      </c>
      <c r="W14" s="1068">
        <f t="shared" si="2"/>
        <v>100</v>
      </c>
      <c r="X14" s="1069"/>
      <c r="Y14" s="3404"/>
      <c r="Z14" s="1071">
        <f t="shared" si="7"/>
        <v>111</v>
      </c>
      <c r="AA14" s="1071">
        <f t="shared" si="3"/>
        <v>1</v>
      </c>
      <c r="AB14" s="1071">
        <f t="shared" si="4"/>
        <v>1</v>
      </c>
      <c r="AC14" s="1071">
        <f t="shared" si="5"/>
        <v>1</v>
      </c>
    </row>
    <row r="15" spans="1:29" ht="69">
      <c r="A15" s="1103" t="s">
        <v>1153</v>
      </c>
      <c r="B15" s="1104" t="s">
        <v>2223</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44" t="s">
        <v>1155</v>
      </c>
      <c r="Q15" s="707" t="str">
        <f t="shared" si="6"/>
        <v>产业集聚程度</v>
      </c>
      <c r="R15" s="1109" t="s">
        <v>1136</v>
      </c>
      <c r="S15" s="1110">
        <f t="shared" si="0"/>
        <v>100</v>
      </c>
      <c r="T15" s="1109" t="s">
        <v>1136</v>
      </c>
      <c r="U15" s="1110">
        <f t="shared" si="1"/>
        <v>100</v>
      </c>
      <c r="V15" s="1109" t="s">
        <v>1136</v>
      </c>
      <c r="W15" s="1110">
        <f t="shared" si="2"/>
        <v>100</v>
      </c>
      <c r="X15" s="1048"/>
      <c r="Y15" s="3444" t="s">
        <v>1155</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45"/>
      <c r="Q16" s="707"/>
      <c r="R16" s="1109"/>
      <c r="S16" s="1110"/>
      <c r="T16" s="1109"/>
      <c r="U16" s="1110"/>
      <c r="V16" s="1109"/>
      <c r="W16" s="1110"/>
      <c r="X16" s="1048"/>
      <c r="Y16" s="3445"/>
      <c r="Z16" s="1047"/>
      <c r="AA16" s="1047">
        <v>1</v>
      </c>
      <c r="AB16" s="1047">
        <v>1</v>
      </c>
      <c r="AC16" s="1047">
        <v>1</v>
      </c>
    </row>
    <row r="17" spans="1:29" ht="96.6">
      <c r="A17" s="1086"/>
      <c r="B17" s="1117" t="s">
        <v>1159</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45"/>
      <c r="Q17" s="707" t="str">
        <f>B17</f>
        <v>交通便捷度</v>
      </c>
      <c r="R17" s="1109" t="s">
        <v>1136</v>
      </c>
      <c r="S17" s="1110">
        <f>F17</f>
        <v>100</v>
      </c>
      <c r="T17" s="1109" t="s">
        <v>1136</v>
      </c>
      <c r="U17" s="1110">
        <f>H17</f>
        <v>100</v>
      </c>
      <c r="V17" s="1109" t="s">
        <v>1136</v>
      </c>
      <c r="W17" s="1110">
        <f>J17</f>
        <v>100</v>
      </c>
      <c r="X17" s="1048"/>
      <c r="Y17" s="3445"/>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45"/>
      <c r="Q18" s="707"/>
      <c r="R18" s="1109"/>
      <c r="S18" s="1110"/>
      <c r="T18" s="1109"/>
      <c r="U18" s="1110"/>
      <c r="V18" s="1109"/>
      <c r="W18" s="1110"/>
      <c r="X18" s="1048"/>
      <c r="Y18" s="3445"/>
      <c r="Z18" s="1047"/>
      <c r="AA18" s="1047">
        <v>1</v>
      </c>
      <c r="AB18" s="1047">
        <v>1</v>
      </c>
      <c r="AC18" s="1047">
        <v>1</v>
      </c>
    </row>
    <row r="19" spans="1:29" ht="28.8">
      <c r="A19" s="1086"/>
      <c r="B19" s="1117" t="s">
        <v>1161</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45"/>
      <c r="Q19" s="707" t="str">
        <f t="shared" ref="Q19:Q34" si="8">B19</f>
        <v>区域土地利用方向</v>
      </c>
      <c r="R19" s="1109" t="s">
        <v>1136</v>
      </c>
      <c r="S19" s="1110">
        <f>F19</f>
        <v>100</v>
      </c>
      <c r="T19" s="1109" t="s">
        <v>1136</v>
      </c>
      <c r="U19" s="1110">
        <f>H19</f>
        <v>100</v>
      </c>
      <c r="V19" s="1109" t="s">
        <v>1136</v>
      </c>
      <c r="W19" s="1110">
        <f>J19</f>
        <v>100</v>
      </c>
      <c r="X19" s="1048"/>
      <c r="Y19" s="3445"/>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45"/>
      <c r="Q20" s="707"/>
      <c r="R20" s="1109"/>
      <c r="S20" s="1110"/>
      <c r="T20" s="1109"/>
      <c r="U20" s="1110"/>
      <c r="V20" s="1109"/>
      <c r="W20" s="1110"/>
      <c r="X20" s="1048"/>
      <c r="Y20" s="3445"/>
      <c r="Z20" s="1047"/>
      <c r="AA20" s="1047"/>
      <c r="AB20" s="1047"/>
      <c r="AC20" s="1047"/>
    </row>
    <row r="21" spans="1:29" ht="82.8">
      <c r="A21" s="1049"/>
      <c r="B21" s="1117" t="s">
        <v>2243</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45"/>
      <c r="Q21" s="707" t="str">
        <f t="shared" si="8"/>
        <v>环境状况</v>
      </c>
      <c r="R21" s="1109" t="s">
        <v>1136</v>
      </c>
      <c r="S21" s="1110">
        <f>F21</f>
        <v>100</v>
      </c>
      <c r="T21" s="1109" t="s">
        <v>1136</v>
      </c>
      <c r="U21" s="1110">
        <f>H21</f>
        <v>100</v>
      </c>
      <c r="V21" s="1109" t="s">
        <v>1136</v>
      </c>
      <c r="W21" s="1110">
        <f>J21</f>
        <v>100</v>
      </c>
      <c r="X21" s="1048"/>
      <c r="Y21" s="3445"/>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45"/>
      <c r="Q22" s="707"/>
      <c r="R22" s="1109"/>
      <c r="S22" s="1110"/>
      <c r="T22" s="1109"/>
      <c r="U22" s="1110"/>
      <c r="V22" s="1109"/>
      <c r="W22" s="1110"/>
      <c r="X22" s="1048"/>
      <c r="Y22" s="3445"/>
      <c r="Z22" s="1047"/>
      <c r="AA22" s="1047">
        <v>1</v>
      </c>
      <c r="AB22" s="1047">
        <v>1</v>
      </c>
      <c r="AC22" s="1047">
        <v>1</v>
      </c>
    </row>
    <row r="23" spans="1:29" s="1011" customFormat="1" ht="41.4">
      <c r="A23" s="1126"/>
      <c r="B23" s="1127" t="s">
        <v>1163</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45"/>
      <c r="Q23" s="811" t="str">
        <f t="shared" si="8"/>
        <v>公共配套设施</v>
      </c>
      <c r="R23" s="1067" t="s">
        <v>1136</v>
      </c>
      <c r="S23" s="1068">
        <f>F23</f>
        <v>100</v>
      </c>
      <c r="T23" s="1067" t="s">
        <v>1136</v>
      </c>
      <c r="U23" s="1068">
        <f>H23</f>
        <v>100</v>
      </c>
      <c r="V23" s="1067" t="s">
        <v>1136</v>
      </c>
      <c r="W23" s="1068">
        <f>J23</f>
        <v>100</v>
      </c>
      <c r="X23" s="1069"/>
      <c r="Y23" s="3445"/>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45"/>
      <c r="Q24" s="811"/>
      <c r="R24" s="1067"/>
      <c r="S24" s="1068"/>
      <c r="T24" s="1067"/>
      <c r="U24" s="1068"/>
      <c r="V24" s="1067"/>
      <c r="W24" s="1068"/>
      <c r="X24" s="1069"/>
      <c r="Y24" s="3445"/>
      <c r="Z24" s="1071"/>
      <c r="AA24" s="1071">
        <v>1</v>
      </c>
      <c r="AB24" s="1071">
        <v>1</v>
      </c>
      <c r="AC24" s="1071">
        <v>1</v>
      </c>
    </row>
    <row r="25" spans="1:29" s="1011" customFormat="1" ht="41.4">
      <c r="A25" s="1126"/>
      <c r="B25" s="1127" t="s">
        <v>1164</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45"/>
      <c r="Q25" s="811" t="str">
        <f t="shared" ref="Q25" si="9">B25</f>
        <v>基础设施水平</v>
      </c>
      <c r="R25" s="1067" t="s">
        <v>1136</v>
      </c>
      <c r="S25" s="1068">
        <f>F25</f>
        <v>100</v>
      </c>
      <c r="T25" s="1067" t="s">
        <v>1136</v>
      </c>
      <c r="U25" s="1068">
        <f>H25</f>
        <v>100</v>
      </c>
      <c r="V25" s="1067" t="s">
        <v>1136</v>
      </c>
      <c r="W25" s="1068">
        <f>J25</f>
        <v>100</v>
      </c>
      <c r="X25" s="1069"/>
      <c r="Y25" s="3445"/>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45"/>
      <c r="Q26" s="811"/>
      <c r="R26" s="1067"/>
      <c r="S26" s="1068"/>
      <c r="T26" s="1067"/>
      <c r="U26" s="1068"/>
      <c r="V26" s="1067"/>
      <c r="W26" s="1068"/>
      <c r="X26" s="1069"/>
      <c r="Y26" s="3445"/>
      <c r="Z26" s="1071"/>
      <c r="AA26" s="1071">
        <v>1</v>
      </c>
      <c r="AB26" s="1071">
        <v>1</v>
      </c>
      <c r="AC26" s="1071">
        <v>1</v>
      </c>
    </row>
    <row r="27" spans="1:29" ht="15">
      <c r="A27" s="1086"/>
      <c r="B27" s="1122" t="s">
        <v>1165</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45"/>
      <c r="Q27" s="707" t="str">
        <f t="shared" si="8"/>
        <v>临街状况</v>
      </c>
      <c r="R27" s="1109" t="s">
        <v>1136</v>
      </c>
      <c r="S27" s="1110">
        <f t="shared" ref="S27:S40" si="10">F27</f>
        <v>100</v>
      </c>
      <c r="T27" s="1109" t="s">
        <v>1136</v>
      </c>
      <c r="U27" s="1110">
        <f t="shared" ref="U27:U40" si="11">H27</f>
        <v>100</v>
      </c>
      <c r="V27" s="1109" t="s">
        <v>1136</v>
      </c>
      <c r="W27" s="1110">
        <f t="shared" ref="W27:W40" si="12">J27</f>
        <v>100</v>
      </c>
      <c r="X27" s="1048"/>
      <c r="Y27" s="3445"/>
      <c r="Z27" s="1047" t="str">
        <f t="shared" ref="Z27:Z40" si="13">Q27</f>
        <v>临街状况</v>
      </c>
      <c r="AA27" s="1047">
        <f t="shared" si="3"/>
        <v>1</v>
      </c>
      <c r="AB27" s="1047">
        <f t="shared" si="4"/>
        <v>1</v>
      </c>
      <c r="AC27" s="1047">
        <f t="shared" si="5"/>
        <v>1</v>
      </c>
    </row>
    <row r="28" spans="1:29" ht="28.8">
      <c r="A28" s="1086"/>
      <c r="B28" s="1127" t="s">
        <v>1168</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45"/>
      <c r="Q28" s="707" t="str">
        <f t="shared" si="8"/>
        <v>毗邻道路的类型与等级</v>
      </c>
      <c r="R28" s="1109" t="s">
        <v>1136</v>
      </c>
      <c r="S28" s="1110">
        <f t="shared" si="10"/>
        <v>100</v>
      </c>
      <c r="T28" s="1109" t="s">
        <v>1136</v>
      </c>
      <c r="U28" s="1110">
        <f t="shared" si="11"/>
        <v>100</v>
      </c>
      <c r="V28" s="1109" t="s">
        <v>1136</v>
      </c>
      <c r="W28" s="1110">
        <f t="shared" si="12"/>
        <v>100</v>
      </c>
      <c r="X28" s="1048"/>
      <c r="Y28" s="3445"/>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45"/>
      <c r="Q29" s="707"/>
      <c r="R29" s="1109"/>
      <c r="S29" s="1110"/>
      <c r="T29" s="1109"/>
      <c r="U29" s="1110"/>
      <c r="V29" s="1109"/>
      <c r="W29" s="1110"/>
      <c r="X29" s="1048"/>
      <c r="Y29" s="3445"/>
      <c r="Z29" s="1047"/>
      <c r="AA29" s="1047">
        <v>1</v>
      </c>
      <c r="AB29" s="1047">
        <v>1</v>
      </c>
      <c r="AC29" s="1047">
        <v>1</v>
      </c>
    </row>
    <row r="30" spans="1:29" ht="15">
      <c r="A30" s="1086"/>
      <c r="B30" s="1081" t="s">
        <v>1170</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45"/>
      <c r="Q30" s="707" t="str">
        <f t="shared" si="8"/>
        <v>土地级别</v>
      </c>
      <c r="R30" s="1109" t="s">
        <v>1136</v>
      </c>
      <c r="S30" s="1110">
        <f t="shared" si="10"/>
        <v>100</v>
      </c>
      <c r="T30" s="1109" t="s">
        <v>1136</v>
      </c>
      <c r="U30" s="1110">
        <f t="shared" si="11"/>
        <v>100</v>
      </c>
      <c r="V30" s="1109" t="s">
        <v>1136</v>
      </c>
      <c r="W30" s="1110">
        <f t="shared" si="12"/>
        <v>100</v>
      </c>
      <c r="X30" s="1048"/>
      <c r="Y30" s="3445"/>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45"/>
      <c r="Q31" s="707">
        <f t="shared" si="8"/>
        <v>111</v>
      </c>
      <c r="R31" s="1109" t="s">
        <v>1136</v>
      </c>
      <c r="S31" s="1110">
        <f t="shared" si="10"/>
        <v>100</v>
      </c>
      <c r="T31" s="1109" t="s">
        <v>1136</v>
      </c>
      <c r="U31" s="1110">
        <f t="shared" si="11"/>
        <v>100</v>
      </c>
      <c r="V31" s="1109" t="s">
        <v>1136</v>
      </c>
      <c r="W31" s="1110">
        <f t="shared" si="12"/>
        <v>100</v>
      </c>
      <c r="X31" s="1048"/>
      <c r="Y31" s="3445"/>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6" t="s">
        <v>1171</v>
      </c>
      <c r="Q32" s="707">
        <f t="shared" si="8"/>
        <v>111</v>
      </c>
      <c r="R32" s="1109" t="s">
        <v>1136</v>
      </c>
      <c r="S32" s="1110">
        <f t="shared" si="10"/>
        <v>100</v>
      </c>
      <c r="T32" s="1109" t="s">
        <v>1136</v>
      </c>
      <c r="U32" s="1110">
        <f t="shared" si="11"/>
        <v>100</v>
      </c>
      <c r="V32" s="1109" t="s">
        <v>1136</v>
      </c>
      <c r="W32" s="1110">
        <f t="shared" si="12"/>
        <v>100</v>
      </c>
      <c r="X32" s="1048"/>
      <c r="Y32" s="3447" t="s">
        <v>1171</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47"/>
      <c r="Q33" s="707">
        <f t="shared" si="8"/>
        <v>111</v>
      </c>
      <c r="R33" s="1147" t="s">
        <v>1136</v>
      </c>
      <c r="S33" s="1148">
        <f t="shared" si="10"/>
        <v>100</v>
      </c>
      <c r="T33" s="1147" t="s">
        <v>1136</v>
      </c>
      <c r="U33" s="1148">
        <f t="shared" si="11"/>
        <v>100</v>
      </c>
      <c r="V33" s="1147" t="s">
        <v>1136</v>
      </c>
      <c r="W33" s="1148">
        <f t="shared" si="12"/>
        <v>100</v>
      </c>
      <c r="X33" s="1149"/>
      <c r="Y33" s="3447"/>
      <c r="Z33" s="1150">
        <f t="shared" si="13"/>
        <v>111</v>
      </c>
      <c r="AA33" s="1047">
        <f t="shared" si="3"/>
        <v>1</v>
      </c>
      <c r="AB33" s="1047">
        <f t="shared" si="4"/>
        <v>1</v>
      </c>
      <c r="AC33" s="1047">
        <f t="shared" si="5"/>
        <v>1</v>
      </c>
    </row>
    <row r="34" spans="1:31" ht="15">
      <c r="A34" s="1103" t="s">
        <v>1172</v>
      </c>
      <c r="B34" s="1151" t="s">
        <v>1173</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47"/>
      <c r="Q34" s="707" t="str">
        <f t="shared" si="8"/>
        <v>宗地面积</v>
      </c>
      <c r="R34" s="1109" t="s">
        <v>1136</v>
      </c>
      <c r="S34" s="1110" t="e">
        <f t="shared" si="10"/>
        <v>#N/A</v>
      </c>
      <c r="T34" s="1109" t="s">
        <v>1136</v>
      </c>
      <c r="U34" s="1110" t="e">
        <f t="shared" si="11"/>
        <v>#N/A</v>
      </c>
      <c r="V34" s="1109" t="s">
        <v>1136</v>
      </c>
      <c r="W34" s="1110" t="e">
        <f t="shared" si="12"/>
        <v>#N/A</v>
      </c>
      <c r="X34" s="1048"/>
      <c r="Y34" s="3447"/>
      <c r="Z34" s="1047" t="str">
        <f t="shared" si="13"/>
        <v>宗地面积</v>
      </c>
      <c r="AA34" s="1047" t="e">
        <f t="shared" si="3"/>
        <v>#N/A</v>
      </c>
      <c r="AB34" s="1047" t="e">
        <f t="shared" si="4"/>
        <v>#N/A</v>
      </c>
      <c r="AC34" s="1047" t="e">
        <f t="shared" si="5"/>
        <v>#N/A</v>
      </c>
    </row>
    <row r="35" spans="1:31" ht="15">
      <c r="A35" s="1154"/>
      <c r="B35" s="1079" t="s">
        <v>1174</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47"/>
      <c r="Q35" s="707" t="str">
        <f t="shared" ref="Q35:Q40" si="14">B35</f>
        <v>宗地形状</v>
      </c>
      <c r="R35" s="1109" t="s">
        <v>1136</v>
      </c>
      <c r="S35" s="1110">
        <f t="shared" si="10"/>
        <v>100</v>
      </c>
      <c r="T35" s="1109" t="s">
        <v>1136</v>
      </c>
      <c r="U35" s="1110">
        <f t="shared" si="11"/>
        <v>100</v>
      </c>
      <c r="V35" s="1109" t="s">
        <v>1136</v>
      </c>
      <c r="W35" s="1110">
        <f t="shared" si="12"/>
        <v>100</v>
      </c>
      <c r="X35" s="1048"/>
      <c r="Y35" s="3447"/>
      <c r="Z35" s="1047" t="str">
        <f t="shared" si="13"/>
        <v>宗地形状</v>
      </c>
      <c r="AA35" s="1047">
        <f t="shared" si="3"/>
        <v>1</v>
      </c>
      <c r="AB35" s="1047">
        <f t="shared" si="4"/>
        <v>1</v>
      </c>
      <c r="AC35" s="1047">
        <f t="shared" si="5"/>
        <v>1</v>
      </c>
    </row>
    <row r="36" spans="1:31" s="1011" customFormat="1" ht="15">
      <c r="A36" s="1156"/>
      <c r="B36" s="1079" t="s">
        <v>1179</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47"/>
      <c r="Q36" s="707" t="str">
        <f t="shared" si="14"/>
        <v>宗地开发程度</v>
      </c>
      <c r="R36" s="1067" t="s">
        <v>1136</v>
      </c>
      <c r="S36" s="1068">
        <f t="shared" si="10"/>
        <v>100</v>
      </c>
      <c r="T36" s="1067" t="s">
        <v>1136</v>
      </c>
      <c r="U36" s="1068">
        <f t="shared" si="11"/>
        <v>100</v>
      </c>
      <c r="V36" s="1067" t="s">
        <v>1136</v>
      </c>
      <c r="W36" s="1068">
        <f t="shared" si="12"/>
        <v>100</v>
      </c>
      <c r="X36" s="1069"/>
      <c r="Y36" s="3447"/>
      <c r="Z36" s="1071" t="str">
        <f t="shared" si="13"/>
        <v>宗地开发程度</v>
      </c>
      <c r="AA36" s="1071">
        <f t="shared" si="3"/>
        <v>1</v>
      </c>
      <c r="AB36" s="1071">
        <f t="shared" si="4"/>
        <v>1</v>
      </c>
      <c r="AC36" s="1071">
        <f t="shared" si="5"/>
        <v>1</v>
      </c>
    </row>
    <row r="37" spans="1:31" ht="15">
      <c r="A37" s="1154"/>
      <c r="B37" s="1079" t="s">
        <v>1180</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47" t="s">
        <v>1171</v>
      </c>
      <c r="Q37" s="707" t="str">
        <f t="shared" si="14"/>
        <v>工程地质条件</v>
      </c>
      <c r="R37" s="1109" t="s">
        <v>1136</v>
      </c>
      <c r="S37" s="1110">
        <f t="shared" si="10"/>
        <v>100</v>
      </c>
      <c r="T37" s="1109" t="s">
        <v>1136</v>
      </c>
      <c r="U37" s="1110">
        <f t="shared" si="11"/>
        <v>100</v>
      </c>
      <c r="V37" s="1109" t="s">
        <v>1136</v>
      </c>
      <c r="W37" s="1110">
        <f t="shared" si="12"/>
        <v>100</v>
      </c>
      <c r="X37" s="1048"/>
      <c r="Y37" s="3447" t="s">
        <v>1171</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47"/>
      <c r="Q38" s="707">
        <f t="shared" si="14"/>
        <v>111</v>
      </c>
      <c r="R38" s="1109" t="s">
        <v>1136</v>
      </c>
      <c r="S38" s="1110">
        <f t="shared" si="10"/>
        <v>100</v>
      </c>
      <c r="T38" s="1109" t="s">
        <v>1136</v>
      </c>
      <c r="U38" s="1110">
        <f t="shared" si="11"/>
        <v>100</v>
      </c>
      <c r="V38" s="1109" t="s">
        <v>1136</v>
      </c>
      <c r="W38" s="1110">
        <f t="shared" si="12"/>
        <v>100</v>
      </c>
      <c r="X38" s="1048"/>
      <c r="Y38" s="3447"/>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47"/>
      <c r="Q39" s="707">
        <f t="shared" si="14"/>
        <v>111</v>
      </c>
      <c r="R39" s="1109" t="s">
        <v>1136</v>
      </c>
      <c r="S39" s="1110">
        <f t="shared" si="10"/>
        <v>100</v>
      </c>
      <c r="T39" s="1109" t="s">
        <v>1136</v>
      </c>
      <c r="U39" s="1110">
        <f t="shared" si="11"/>
        <v>100</v>
      </c>
      <c r="V39" s="1109" t="s">
        <v>1136</v>
      </c>
      <c r="W39" s="1110">
        <f t="shared" si="12"/>
        <v>100</v>
      </c>
      <c r="X39" s="1048"/>
      <c r="Y39" s="3447"/>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47"/>
      <c r="Q40" s="707">
        <f t="shared" si="14"/>
        <v>111</v>
      </c>
      <c r="R40" s="1147" t="s">
        <v>1136</v>
      </c>
      <c r="S40" s="1148">
        <f t="shared" si="10"/>
        <v>100</v>
      </c>
      <c r="T40" s="1147" t="s">
        <v>1136</v>
      </c>
      <c r="U40" s="1148">
        <f t="shared" si="11"/>
        <v>100</v>
      </c>
      <c r="V40" s="1147" t="s">
        <v>1136</v>
      </c>
      <c r="W40" s="1148">
        <f t="shared" si="12"/>
        <v>100</v>
      </c>
      <c r="X40" s="1149"/>
      <c r="Y40" s="3447"/>
      <c r="Z40" s="1150">
        <f t="shared" si="13"/>
        <v>111</v>
      </c>
      <c r="AA40" s="1047">
        <f t="shared" si="3"/>
        <v>1</v>
      </c>
      <c r="AB40" s="1047">
        <f t="shared" si="4"/>
        <v>1</v>
      </c>
      <c r="AC40" s="1047">
        <f t="shared" si="5"/>
        <v>1</v>
      </c>
    </row>
    <row r="41" spans="1:31" ht="14.4">
      <c r="A41" s="1162" t="s">
        <v>1181</v>
      </c>
      <c r="B41" s="1163" t="s">
        <v>2244</v>
      </c>
      <c r="C41" s="1164" t="s">
        <v>124</v>
      </c>
      <c r="D41" s="1165"/>
      <c r="E41" s="1166"/>
      <c r="F41" s="1167"/>
      <c r="G41" s="1168"/>
      <c r="H41" s="1169"/>
      <c r="I41" s="1166"/>
      <c r="J41" s="1169"/>
      <c r="K41" s="1170"/>
      <c r="L41" s="1171"/>
      <c r="M41" s="1044"/>
      <c r="N41" s="1044"/>
      <c r="O41" s="1044"/>
      <c r="P41" s="3438" t="str">
        <f>A41</f>
        <v>成交单价</v>
      </c>
      <c r="Q41" s="3438"/>
      <c r="R41" s="3439">
        <f>E41</f>
        <v>0</v>
      </c>
      <c r="S41" s="3439"/>
      <c r="T41" s="3439">
        <f>G41</f>
        <v>0</v>
      </c>
      <c r="U41" s="3439"/>
      <c r="V41" s="3439">
        <f>I41</f>
        <v>0</v>
      </c>
      <c r="W41" s="3439"/>
      <c r="X41" s="1172"/>
      <c r="Y41" s="1173"/>
      <c r="Z41" s="1172"/>
      <c r="AA41" s="1172"/>
      <c r="AB41" s="1172"/>
      <c r="AC41" s="1172"/>
    </row>
    <row r="42" spans="1:31" ht="14.4">
      <c r="A42" s="1174" t="s">
        <v>1183</v>
      </c>
      <c r="B42" s="1175"/>
      <c r="C42" s="1176" t="e">
        <f>R43</f>
        <v>#DIV/0!</v>
      </c>
      <c r="D42" s="1177" t="s">
        <v>1184</v>
      </c>
      <c r="E42" s="1176" t="e">
        <f>R42</f>
        <v>#DIV/0!</v>
      </c>
      <c r="F42" s="1178"/>
      <c r="G42" s="1179" t="e">
        <f>T42</f>
        <v>#DIV/0!</v>
      </c>
      <c r="H42" s="1178"/>
      <c r="I42" s="1176" t="e">
        <f>V42</f>
        <v>#DIV/0!</v>
      </c>
      <c r="J42" s="1178"/>
      <c r="K42" s="1180">
        <f>F42+H42+J42</f>
        <v>0</v>
      </c>
      <c r="L42" s="1171"/>
      <c r="M42" s="1044"/>
      <c r="N42" s="1044"/>
      <c r="O42" s="1044"/>
      <c r="P42" s="3438" t="str">
        <f>A42</f>
        <v>比较价值（元/平方米）</v>
      </c>
      <c r="Q42" s="3438"/>
      <c r="R42" s="3440" t="e">
        <f>ROUND(PRODUCT(R41,AA7:AA40),0)</f>
        <v>#DIV/0!</v>
      </c>
      <c r="S42" s="3440"/>
      <c r="T42" s="3440" t="e">
        <f>ROUND(PRODUCT(T41,AB7:AB40),0)</f>
        <v>#DIV/0!</v>
      </c>
      <c r="U42" s="3440"/>
      <c r="V42" s="3440" t="e">
        <f>ROUND(PRODUCT(V41,AC7:AC40),0)</f>
        <v>#DIV/0!</v>
      </c>
      <c r="W42" s="3440"/>
      <c r="X42" s="1172"/>
      <c r="Y42" s="1172"/>
      <c r="Z42" s="1172"/>
      <c r="AA42" s="1172"/>
      <c r="AB42" s="1172"/>
      <c r="AC42" s="1172"/>
    </row>
    <row r="43" spans="1:31" ht="14.4">
      <c r="A43" s="1181" t="s">
        <v>2186</v>
      </c>
      <c r="B43" s="1182"/>
      <c r="C43" s="1183" t="e">
        <f>R43</f>
        <v>#DIV/0!</v>
      </c>
      <c r="D43" s="1183"/>
      <c r="E43" s="1183"/>
      <c r="F43" s="1183"/>
      <c r="G43" s="1183"/>
      <c r="H43" s="1183"/>
      <c r="I43" s="1183"/>
      <c r="J43" s="1183"/>
      <c r="K43" s="1184"/>
      <c r="L43" s="1171"/>
      <c r="M43" s="1044"/>
      <c r="N43" s="1044"/>
      <c r="O43" s="1044"/>
      <c r="P43" s="3441" t="str">
        <f>A43</f>
        <v>估价对象XX用房的比较价值（楼面单价，元/平方米）</v>
      </c>
      <c r="Q43" s="3442"/>
      <c r="R43" s="3443" t="e">
        <f>ROUND(IF(D42="简单平均",AVERAGE(R42:W42),R42*F42+T42*H42+V42*J42),0)</f>
        <v>#DIV/0!</v>
      </c>
      <c r="S43" s="3443"/>
      <c r="T43" s="3443"/>
      <c r="U43" s="3443"/>
      <c r="V43" s="3443"/>
      <c r="W43" s="3443"/>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1189</v>
      </c>
      <c r="B50" s="1199" t="s">
        <v>1190</v>
      </c>
      <c r="C50" s="1200" t="s">
        <v>1191</v>
      </c>
      <c r="D50" s="1201" t="s">
        <v>1192</v>
      </c>
      <c r="E50" s="1202" t="s">
        <v>1193</v>
      </c>
      <c r="F50" s="1203" t="s">
        <v>1194</v>
      </c>
      <c r="G50" s="3423" t="s">
        <v>1195</v>
      </c>
      <c r="H50" s="3463"/>
      <c r="I50" s="1047" t="s">
        <v>2245</v>
      </c>
      <c r="J50" s="1047">
        <f>项目基本情况!F35</f>
        <v>0</v>
      </c>
      <c r="K50" s="1204" t="s">
        <v>1197</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1198</v>
      </c>
      <c r="B51" s="1206" t="e">
        <f>C43</f>
        <v>#DIV/0!</v>
      </c>
      <c r="C51" s="1207">
        <v>1</v>
      </c>
      <c r="D51" s="1208">
        <v>1</v>
      </c>
      <c r="E51" s="1207">
        <f>'数据-汇总表'!E8+'数据-汇总表'!E9</f>
        <v>83916.17</v>
      </c>
      <c r="F51" s="1209" t="e">
        <f t="shared" ref="F51:F60" si="15">ROUND(B51*E51/10000,0)</f>
        <v>#DIV/0!</v>
      </c>
      <c r="G51" s="3464"/>
      <c r="H51" s="3438"/>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1199</v>
      </c>
      <c r="B52" s="362" t="e">
        <f>ROUND($C$43*C52*D52,0)</f>
        <v>#DIV/0!</v>
      </c>
      <c r="C52" s="526">
        <f t="shared" ref="C52:C60" si="16">IF($C$50="北京市系数",I52,J52)</f>
        <v>0.6</v>
      </c>
      <c r="D52" s="1212">
        <v>0.25</v>
      </c>
      <c r="E52" s="1213"/>
      <c r="F52" s="1209" t="e">
        <f t="shared" si="15"/>
        <v>#DIV/0!</v>
      </c>
      <c r="G52" s="1214" t="s">
        <v>1200</v>
      </c>
      <c r="H52" s="1215" t="str">
        <f>项目基本情况!B37</f>
        <v>七级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1201</v>
      </c>
      <c r="B53" s="362" t="e">
        <f t="shared" ref="B53:B60" si="17">ROUND($C$43*C53*D53,0)</f>
        <v>#DIV/0!</v>
      </c>
      <c r="C53" s="526">
        <f t="shared" si="16"/>
        <v>0.3</v>
      </c>
      <c r="D53" s="1212">
        <v>0.25</v>
      </c>
      <c r="E53" s="1213"/>
      <c r="F53" s="1209" t="e">
        <f t="shared" si="15"/>
        <v>#DIV/0!</v>
      </c>
      <c r="G53" s="1217"/>
      <c r="H53" s="1215" t="str">
        <f>项目基本情况!B37</f>
        <v>七级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1202</v>
      </c>
      <c r="B54" s="362" t="e">
        <f t="shared" si="17"/>
        <v>#DIV/0!</v>
      </c>
      <c r="C54" s="526">
        <f t="shared" si="16"/>
        <v>0.25</v>
      </c>
      <c r="D54" s="1212">
        <v>0.25</v>
      </c>
      <c r="E54" s="1213"/>
      <c r="F54" s="1209" t="e">
        <f t="shared" si="15"/>
        <v>#DIV/0!</v>
      </c>
      <c r="G54" s="1217"/>
      <c r="H54" s="1215" t="str">
        <f>项目基本情况!B37</f>
        <v>七级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1203</v>
      </c>
      <c r="B56" s="362" t="e">
        <f t="shared" si="17"/>
        <v>#DIV/0!</v>
      </c>
      <c r="C56" s="526">
        <f t="shared" si="16"/>
        <v>0.25</v>
      </c>
      <c r="D56" s="1212">
        <v>0.25</v>
      </c>
      <c r="E56" s="361">
        <f>'数据-汇总表'!E11</f>
        <v>0</v>
      </c>
      <c r="F56" s="1209" t="e">
        <f t="shared" si="15"/>
        <v>#DIV/0!</v>
      </c>
      <c r="G56" s="1219" t="s">
        <v>1204</v>
      </c>
      <c r="H56" s="1215" t="str">
        <f>项目基本情况!C37</f>
        <v>七级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1205</v>
      </c>
      <c r="B57" s="362" t="e">
        <f t="shared" si="17"/>
        <v>#DIV/0!</v>
      </c>
      <c r="C57" s="526">
        <f t="shared" si="16"/>
        <v>0.25</v>
      </c>
      <c r="D57" s="1212">
        <v>0.25</v>
      </c>
      <c r="E57" s="361">
        <f>'数据-汇总表'!E12</f>
        <v>0</v>
      </c>
      <c r="F57" s="1209" t="e">
        <f t="shared" si="15"/>
        <v>#DIV/0!</v>
      </c>
      <c r="G57" s="1220" t="s">
        <v>1206</v>
      </c>
      <c r="H57" s="1215" t="str">
        <f>IF(G57="商业",项目基本情况!B37,IF(G57="办公",项目基本情况!C37,IF(G57="住宅",项目基本情况!D37,项目基本情况!E37)))</f>
        <v>七级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1207</v>
      </c>
      <c r="B58" s="362" t="e">
        <f t="shared" si="17"/>
        <v>#DIV/0!</v>
      </c>
      <c r="C58" s="526">
        <f t="shared" si="16"/>
        <v>0.15</v>
      </c>
      <c r="D58" s="1212">
        <v>0.25</v>
      </c>
      <c r="E58" s="361">
        <f>'数据-汇总表'!E13</f>
        <v>46794.32</v>
      </c>
      <c r="F58" s="1209" t="e">
        <f t="shared" si="15"/>
        <v>#DIV/0!</v>
      </c>
      <c r="G58" s="1220" t="s">
        <v>1208</v>
      </c>
      <c r="H58" s="1215" t="str">
        <f>IF(G58="商业",项目基本情况!B37,IF(G58="办公",项目基本情况!C37,IF(G58="住宅",项目基本情况!D37,项目基本情况!E37)))</f>
        <v>七级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1209</v>
      </c>
      <c r="B59" s="362" t="e">
        <f t="shared" si="17"/>
        <v>#DIV/0!</v>
      </c>
      <c r="C59" s="526">
        <f t="shared" si="16"/>
        <v>0.15</v>
      </c>
      <c r="D59" s="1212">
        <v>0.25</v>
      </c>
      <c r="E59" s="361">
        <f>'数据-汇总表'!E14</f>
        <v>0</v>
      </c>
      <c r="F59" s="1209" t="e">
        <f t="shared" si="15"/>
        <v>#DIV/0!</v>
      </c>
      <c r="G59" s="1219" t="s">
        <v>1200</v>
      </c>
      <c r="H59" s="1215" t="str">
        <f>项目基本情况!B37</f>
        <v>七级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1210</v>
      </c>
      <c r="B60" s="362" t="e">
        <f t="shared" si="17"/>
        <v>#DIV/0!</v>
      </c>
      <c r="C60" s="526">
        <f t="shared" si="16"/>
        <v>0.15</v>
      </c>
      <c r="D60" s="1212">
        <v>0.25</v>
      </c>
      <c r="E60" s="361">
        <f>'数据-汇总表'!E15</f>
        <v>0</v>
      </c>
      <c r="F60" s="1209" t="e">
        <f t="shared" si="15"/>
        <v>#DIV/0!</v>
      </c>
      <c r="G60" s="1221" t="s">
        <v>1204</v>
      </c>
      <c r="H60" s="1222" t="str">
        <f>项目基本情况!C37</f>
        <v>七级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1211</v>
      </c>
      <c r="B61" s="1224" t="s">
        <v>1212</v>
      </c>
      <c r="C61" s="1224" t="s">
        <v>1212</v>
      </c>
      <c r="D61" s="1224" t="s">
        <v>1212</v>
      </c>
      <c r="E61" s="1224">
        <f>IF(B41="楼面地价",SUM(E51:E60),'数据-汇总表'!D3)</f>
        <v>42276.47</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2026-1-1</v>
      </c>
      <c r="D63" s="1232">
        <f>EDATE(C63,-3)</f>
        <v>45931</v>
      </c>
      <c r="E63" s="1232">
        <f>EDATE(D63,-3)</f>
        <v>45839</v>
      </c>
      <c r="F63" s="1232">
        <f t="shared" ref="F63:O63" si="18">EDATE(E63,-3)</f>
        <v>45748</v>
      </c>
      <c r="G63" s="1232">
        <f t="shared" si="18"/>
        <v>45658</v>
      </c>
      <c r="H63" s="1232">
        <f t="shared" si="18"/>
        <v>45566</v>
      </c>
      <c r="I63" s="1232">
        <f t="shared" si="18"/>
        <v>45474</v>
      </c>
      <c r="J63" s="1232">
        <f t="shared" si="18"/>
        <v>45383</v>
      </c>
      <c r="K63" s="1232">
        <f t="shared" si="18"/>
        <v>45292</v>
      </c>
      <c r="L63" s="1232">
        <f t="shared" si="18"/>
        <v>45200</v>
      </c>
      <c r="M63" s="1232">
        <f t="shared" si="18"/>
        <v>45108</v>
      </c>
      <c r="N63" s="1232">
        <f t="shared" si="18"/>
        <v>45017</v>
      </c>
      <c r="O63" s="1232">
        <f t="shared" si="18"/>
        <v>44927</v>
      </c>
      <c r="P63" s="1044"/>
      <c r="Q63" s="1044"/>
      <c r="R63" s="1044"/>
      <c r="S63" s="1044"/>
      <c r="T63" s="1044"/>
      <c r="U63" s="1044"/>
      <c r="V63" s="1044"/>
      <c r="W63" s="1044"/>
      <c r="X63" s="1044"/>
      <c r="Y63" s="1044"/>
      <c r="Z63" s="1044"/>
      <c r="AA63" s="1044"/>
      <c r="AB63" s="1044"/>
      <c r="AC63" s="1044"/>
      <c r="AD63" s="1044"/>
      <c r="AE63" s="1044"/>
    </row>
    <row r="64" spans="1:31" ht="21.6">
      <c r="A64" s="1233" t="s">
        <v>1213</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1214</v>
      </c>
      <c r="B65" s="1242"/>
      <c r="C65" s="1243" t="str">
        <f>YEAR(C63)&amp;"-"&amp;ROUNDUP(MONTH(C63)/3,0)</f>
        <v>2026-1</v>
      </c>
      <c r="D65" s="1243" t="str">
        <f t="shared" ref="D65:O65" si="19">YEAR(D63)&amp;"-"&amp;ROUNDUP(MONTH(D63)/3,0)</f>
        <v>2025-4</v>
      </c>
      <c r="E65" s="1243" t="str">
        <f t="shared" si="19"/>
        <v>2025-3</v>
      </c>
      <c r="F65" s="1243" t="str">
        <f t="shared" si="19"/>
        <v>2025-2</v>
      </c>
      <c r="G65" s="1243" t="str">
        <f t="shared" si="19"/>
        <v>2025-1</v>
      </c>
      <c r="H65" s="1243" t="str">
        <f t="shared" si="19"/>
        <v>2024-4</v>
      </c>
      <c r="I65" s="1243" t="str">
        <f t="shared" si="19"/>
        <v>2024-3</v>
      </c>
      <c r="J65" s="1243" t="str">
        <f t="shared" si="19"/>
        <v>2024-2</v>
      </c>
      <c r="K65" s="1243" t="str">
        <f t="shared" si="19"/>
        <v>2024-1</v>
      </c>
      <c r="L65" s="1243" t="str">
        <f t="shared" si="19"/>
        <v>2023-4</v>
      </c>
      <c r="M65" s="1243" t="str">
        <f t="shared" si="19"/>
        <v>2023-3</v>
      </c>
      <c r="N65" s="1243" t="str">
        <f t="shared" si="19"/>
        <v>2023-2</v>
      </c>
      <c r="O65" s="1243" t="str">
        <f t="shared" si="19"/>
        <v>2023-1</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2246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1216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1137</v>
      </c>
      <c r="B68" s="1256"/>
      <c r="C68" s="1257" t="s">
        <v>1138</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1217</v>
      </c>
      <c r="B70" s="1265" t="s">
        <v>1142</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1147</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1148</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1153</v>
      </c>
      <c r="B83" s="1265" t="s">
        <v>2223</v>
      </c>
      <c r="C83" s="1308" t="s">
        <v>1219</v>
      </c>
      <c r="D83" s="1308" t="s">
        <v>1220</v>
      </c>
      <c r="E83" s="1308" t="s">
        <v>1221</v>
      </c>
      <c r="F83" s="1308" t="s">
        <v>1222</v>
      </c>
      <c r="G83" s="1308" t="s">
        <v>1223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1159</v>
      </c>
      <c r="C85" s="1313" t="s">
        <v>1219</v>
      </c>
      <c r="D85" s="1313" t="s">
        <v>1220</v>
      </c>
      <c r="E85" s="1313" t="s">
        <v>1221</v>
      </c>
      <c r="F85" s="1313" t="s">
        <v>1222</v>
      </c>
      <c r="G85" s="1313" t="s">
        <v>1223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1161</v>
      </c>
      <c r="C87" s="1308" t="s">
        <v>1219</v>
      </c>
      <c r="D87" s="1308" t="s">
        <v>1220</v>
      </c>
      <c r="E87" s="1308" t="s">
        <v>1221</v>
      </c>
      <c r="F87" s="1308" t="s">
        <v>1222</v>
      </c>
      <c r="G87" s="1308" t="s">
        <v>1223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1162</v>
      </c>
      <c r="C89" s="1308" t="s">
        <v>1219</v>
      </c>
      <c r="D89" s="1308" t="s">
        <v>1220</v>
      </c>
      <c r="E89" s="1308" t="s">
        <v>1221</v>
      </c>
      <c r="F89" s="1308" t="s">
        <v>1222</v>
      </c>
      <c r="G89" s="1308" t="s">
        <v>1223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1163</v>
      </c>
      <c r="C91" s="1308" t="s">
        <v>1219</v>
      </c>
      <c r="D91" s="1308" t="s">
        <v>1220</v>
      </c>
      <c r="E91" s="1308" t="s">
        <v>1221</v>
      </c>
      <c r="F91" s="1308" t="s">
        <v>1222</v>
      </c>
      <c r="G91" s="1308" t="s">
        <v>1223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1164</v>
      </c>
      <c r="C93" s="1116" t="s">
        <v>1224</v>
      </c>
      <c r="D93" s="1116" t="s">
        <v>1225</v>
      </c>
      <c r="E93" s="1116" t="s">
        <v>1226</v>
      </c>
      <c r="F93" s="1116" t="s">
        <v>1227</v>
      </c>
      <c r="G93" s="1116" t="s">
        <v>1228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1229</v>
      </c>
      <c r="D95" s="1275" t="s">
        <v>1230</v>
      </c>
      <c r="E95" s="1275" t="s">
        <v>1231</v>
      </c>
      <c r="F95" s="1275" t="s">
        <v>1232</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1168</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1170</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1172</v>
      </c>
      <c r="B107" s="1265" t="s">
        <v>1173</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1174</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1179</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1180</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2247</v>
      </c>
      <c r="C1" s="3521" t="s">
        <v>2248</v>
      </c>
      <c r="D1" s="3522"/>
      <c r="E1" s="3522"/>
      <c r="F1" s="3522"/>
      <c r="G1" s="3522"/>
      <c r="H1" s="3522"/>
      <c r="I1" s="3522"/>
      <c r="J1" s="3522"/>
      <c r="K1" s="3522"/>
      <c r="L1" s="3522"/>
      <c r="M1" s="3522"/>
      <c r="N1" s="3522"/>
      <c r="O1" s="3522"/>
      <c r="P1" s="3522"/>
      <c r="Q1" s="3522"/>
      <c r="R1" s="3522"/>
      <c r="S1" s="3523"/>
      <c r="T1" s="903" t="s">
        <v>2249</v>
      </c>
    </row>
    <row r="2" spans="1:45" s="895" customFormat="1">
      <c r="A2" s="904"/>
      <c r="B2" s="905" t="s">
        <v>506</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2250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2251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2252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2253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2254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2255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2256</v>
      </c>
      <c r="B17" s="969" t="s">
        <v>2257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2258</v>
      </c>
      <c r="E19" s="988"/>
      <c r="F19" s="988"/>
      <c r="G19" s="988"/>
      <c r="H19" s="989"/>
      <c r="I19" s="986"/>
      <c r="J19" s="986"/>
      <c r="K19" s="986"/>
      <c r="L19" s="986"/>
      <c r="M19" s="986"/>
      <c r="N19" s="986"/>
      <c r="O19" s="986"/>
      <c r="P19" s="986"/>
      <c r="Q19" s="986"/>
      <c r="R19" s="986"/>
      <c r="S19" s="985"/>
    </row>
    <row r="20" spans="1:45" ht="15.6">
      <c r="A20" s="990" t="s">
        <v>2259</v>
      </c>
      <c r="B20" s="991" t="e">
        <f ca="1">IF(D20="——",S22,S22-F20)</f>
        <v>#REF!</v>
      </c>
      <c r="C20" s="986"/>
      <c r="D20" s="992"/>
      <c r="E20" s="993"/>
      <c r="F20" s="903" t="e">
        <f ca="1">SUMIF(INDIRECT("'"&amp;H20&amp;"'"&amp;"!A:A"),"承租人权益价值",INDIRECT("'"&amp;H20&amp;"'"&amp;"!c:c"))</f>
        <v>#REF!</v>
      </c>
      <c r="G20" s="903" t="s">
        <v>936</v>
      </c>
      <c r="H20" s="994"/>
      <c r="I20" s="986"/>
      <c r="J20" s="986"/>
      <c r="K20" s="986"/>
      <c r="L20" s="986"/>
      <c r="M20" s="986"/>
      <c r="N20" s="986"/>
      <c r="O20" s="986"/>
      <c r="P20" s="986"/>
      <c r="Q20" s="986"/>
      <c r="R20" s="986"/>
      <c r="S20" s="985"/>
    </row>
    <row r="21" spans="1:45" ht="15.6">
      <c r="A21" s="990" t="s">
        <v>2260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2261</v>
      </c>
      <c r="B22" s="996">
        <f>SUM(B24:B10000)</f>
        <v>0</v>
      </c>
      <c r="C22" s="3524" t="s">
        <v>124</v>
      </c>
      <c r="D22" s="3525"/>
      <c r="E22" s="3525"/>
      <c r="F22" s="3525"/>
      <c r="G22" s="3525"/>
      <c r="H22" s="3525"/>
      <c r="I22" s="3525"/>
      <c r="J22" s="3525"/>
      <c r="K22" s="3525"/>
      <c r="L22" s="3525"/>
      <c r="M22" s="3525"/>
      <c r="N22" s="3525"/>
      <c r="O22" s="3525"/>
      <c r="P22" s="3525"/>
      <c r="Q22" s="3526"/>
      <c r="R22" s="996" t="e">
        <f>ROUND(S22*10000/B22,0)</f>
        <v>#DIV/0!</v>
      </c>
      <c r="S22" s="996">
        <f>SUM(S24:S10000)</f>
        <v>0</v>
      </c>
    </row>
    <row r="23" spans="1:45" s="898" customFormat="1" ht="24">
      <c r="A23" s="1000" t="s">
        <v>2262</v>
      </c>
      <c r="B23" s="1000" t="s">
        <v>506</v>
      </c>
      <c r="C23" s="1000" t="s">
        <v>2249</v>
      </c>
      <c r="D23" s="1000" t="str">
        <f>B5</f>
        <v>修正项2</v>
      </c>
      <c r="E23" s="1000" t="s">
        <v>2249</v>
      </c>
      <c r="F23" s="1000" t="str">
        <f>B7</f>
        <v>修正项3</v>
      </c>
      <c r="G23" s="1000" t="s">
        <v>2249</v>
      </c>
      <c r="H23" s="1000" t="str">
        <f>B9</f>
        <v>修正项4</v>
      </c>
      <c r="I23" s="1000" t="s">
        <v>2249</v>
      </c>
      <c r="J23" s="1000" t="str">
        <f>B11</f>
        <v>修正项5</v>
      </c>
      <c r="K23" s="1000" t="s">
        <v>2249</v>
      </c>
      <c r="L23" s="1000" t="str">
        <f>B13</f>
        <v>修正项6</v>
      </c>
      <c r="M23" s="1000" t="s">
        <v>2249</v>
      </c>
      <c r="N23" s="1000" t="str">
        <f>B15</f>
        <v>修正项7</v>
      </c>
      <c r="O23" s="1000" t="s">
        <v>2249</v>
      </c>
      <c r="P23" s="1000" t="str">
        <f>B17</f>
        <v>楼层</v>
      </c>
      <c r="Q23" s="1000" t="s">
        <v>2249</v>
      </c>
      <c r="R23" s="1000" t="s">
        <v>2263</v>
      </c>
      <c r="S23" s="1000" t="s">
        <v>2264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2265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2266</v>
      </c>
      <c r="B1" s="602"/>
      <c r="C1" s="602"/>
      <c r="D1" s="602"/>
      <c r="E1" s="602"/>
      <c r="F1" s="885"/>
      <c r="G1" s="885"/>
      <c r="H1" s="885"/>
      <c r="I1" s="885"/>
      <c r="J1" s="885"/>
      <c r="K1" s="885"/>
      <c r="L1" s="885"/>
      <c r="M1" s="885"/>
      <c r="N1" s="885"/>
      <c r="O1" s="885"/>
      <c r="P1" s="885"/>
    </row>
    <row r="2" spans="1:16" ht="15.6">
      <c r="A2" s="886" t="s">
        <v>97</v>
      </c>
      <c r="B2" s="887" t="e">
        <f ca="1">SUMIF(B6:B13,"&lt;&gt;#ref!",B6:B13)</f>
        <v>#DIV/0!</v>
      </c>
      <c r="C2" s="886" t="s">
        <v>2267</v>
      </c>
      <c r="D2" s="886" t="s">
        <v>2268</v>
      </c>
      <c r="E2" s="888">
        <f ca="1">SUMIF(E6:E13,"&lt;&gt;#ref!",E6:E13)</f>
        <v>0</v>
      </c>
      <c r="F2" s="885"/>
      <c r="G2" s="885"/>
      <c r="H2" s="885"/>
      <c r="I2" s="885"/>
      <c r="J2" s="885"/>
      <c r="K2" s="885"/>
      <c r="L2" s="885"/>
      <c r="M2" s="885"/>
      <c r="N2" s="885"/>
      <c r="O2" s="885"/>
      <c r="P2" s="885"/>
    </row>
    <row r="3" spans="1:16" ht="15.6">
      <c r="A3" s="886" t="s">
        <v>2269</v>
      </c>
      <c r="B3" s="887" t="e">
        <f ca="1">ROUND(B2*10000/E2,0)</f>
        <v>#DIV/0!</v>
      </c>
      <c r="C3" s="886" t="s">
        <v>2270</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2271</v>
      </c>
      <c r="B5" s="891" t="s">
        <v>2272</v>
      </c>
      <c r="C5" s="892"/>
      <c r="D5" s="885"/>
      <c r="E5" s="893" t="s">
        <v>2273</v>
      </c>
      <c r="F5" s="885"/>
      <c r="G5" s="885"/>
      <c r="H5" s="885"/>
      <c r="I5" s="885"/>
      <c r="J5" s="885"/>
      <c r="K5" s="885"/>
      <c r="L5" s="885"/>
      <c r="M5" s="885"/>
      <c r="N5" s="885"/>
      <c r="O5" s="885"/>
      <c r="P5" s="885"/>
    </row>
    <row r="6" spans="1:16" ht="15.6">
      <c r="A6" s="894" t="s">
        <v>2274</v>
      </c>
      <c r="B6" s="887" t="e">
        <f ca="1">SUMIF(INDIRECT("'"&amp;A6&amp;"'"&amp;"!A:A"),"总价",INDIRECT("'"&amp;A6&amp;"'"&amp;"!B:B"))</f>
        <v>#DIV/0!</v>
      </c>
      <c r="C6" s="886" t="s">
        <v>2267</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2267</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2267</v>
      </c>
      <c r="D8" s="885"/>
      <c r="E8" s="888" t="e">
        <f t="shared" ca="1" si="0"/>
        <v>#REF!</v>
      </c>
      <c r="F8" s="885"/>
      <c r="G8" s="885"/>
      <c r="H8" s="885"/>
      <c r="I8" s="885"/>
      <c r="J8" s="885"/>
      <c r="K8" s="885"/>
      <c r="L8" s="885"/>
      <c r="M8" s="885"/>
      <c r="N8" s="885"/>
      <c r="O8" s="885"/>
      <c r="P8" s="885"/>
    </row>
    <row r="9" spans="1:16" ht="15.6">
      <c r="A9" s="894"/>
      <c r="B9" s="887" t="e">
        <f t="shared" ca="1" si="1"/>
        <v>#REF!</v>
      </c>
      <c r="C9" s="886" t="s">
        <v>2267</v>
      </c>
      <c r="D9" s="885"/>
      <c r="E9" s="888" t="e">
        <f t="shared" ca="1" si="0"/>
        <v>#REF!</v>
      </c>
      <c r="F9" s="885"/>
      <c r="G9" s="885"/>
      <c r="H9" s="885"/>
      <c r="I9" s="885"/>
      <c r="J9" s="885"/>
      <c r="K9" s="885"/>
      <c r="L9" s="885"/>
      <c r="M9" s="885"/>
      <c r="N9" s="885"/>
      <c r="O9" s="885"/>
      <c r="P9" s="885"/>
    </row>
    <row r="10" spans="1:16" ht="15.6">
      <c r="A10" s="894"/>
      <c r="B10" s="887" t="e">
        <f t="shared" ca="1" si="1"/>
        <v>#REF!</v>
      </c>
      <c r="C10" s="886" t="s">
        <v>2267</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2267</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2267</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2267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O24" sqref="O24"/>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2275</v>
      </c>
      <c r="B1" s="342"/>
      <c r="C1" s="345" t="s">
        <v>1123</v>
      </c>
      <c r="D1" s="513">
        <f>SUM(D33:D34,D37:D42)</f>
        <v>0</v>
      </c>
      <c r="E1" s="514"/>
      <c r="F1" s="514"/>
      <c r="G1" s="514"/>
      <c r="H1" s="514"/>
      <c r="I1" s="514"/>
      <c r="J1" s="514"/>
      <c r="K1" s="506"/>
      <c r="L1" s="515" t="s">
        <v>2276</v>
      </c>
      <c r="M1" s="516">
        <f>SUMPRODUCT((区片价!B5:B9=I2)*(区片价!C3:G3=E2)*(区片价!C5:G9))</f>
        <v>0</v>
      </c>
      <c r="N1" s="517">
        <f>SUMPRODUCT((因素修正幅度!B5:B9=I2)*(因素修正幅度!C3:G3=E2)*(因素修正幅度!C5:G9))</f>
        <v>0</v>
      </c>
      <c r="O1" s="507"/>
      <c r="P1" s="507"/>
      <c r="Q1" s="506"/>
      <c r="R1" s="518" t="s">
        <v>2277</v>
      </c>
      <c r="S1" s="518" t="s">
        <v>2278</v>
      </c>
      <c r="T1" s="518" t="s">
        <v>2279</v>
      </c>
      <c r="U1" s="518" t="s">
        <v>2280</v>
      </c>
      <c r="V1" s="518" t="s">
        <v>2281</v>
      </c>
      <c r="W1" s="519"/>
      <c r="X1" s="519"/>
      <c r="Y1" s="519"/>
      <c r="Z1" s="519"/>
      <c r="AA1" s="519"/>
      <c r="AB1" s="519"/>
      <c r="AC1" s="520"/>
      <c r="AD1" s="521"/>
      <c r="AE1" s="521"/>
      <c r="AF1" s="521"/>
      <c r="AG1" s="521"/>
      <c r="AH1" s="521"/>
      <c r="AI1" s="521"/>
      <c r="AJ1" s="522"/>
    </row>
    <row r="2" spans="1:36" ht="15.6">
      <c r="A2" s="345" t="s">
        <v>1121</v>
      </c>
      <c r="B2" s="349" t="e">
        <f>C30</f>
        <v>#DIV/0!</v>
      </c>
      <c r="C2" s="523" t="s">
        <v>1691</v>
      </c>
      <c r="D2" s="524" t="s">
        <v>2282</v>
      </c>
      <c r="E2" s="525" t="s">
        <v>230</v>
      </c>
      <c r="F2" s="524" t="s">
        <v>2283</v>
      </c>
      <c r="G2" s="526" t="str">
        <f>IF(E2="商业",项目基本情况!B37,IF(E2="办公",项目基本情况!C37,IF(E2="住宅",项目基本情况!D37,IF(E2="工业",项目基本情况!E37,项目基本情况!F37))))</f>
        <v>七级</v>
      </c>
      <c r="H2" s="524" t="s">
        <v>2284</v>
      </c>
      <c r="I2" s="526" t="str">
        <f>IF(E2="商业",项目基本情况!B38,IF(E2="办公",项目基本情况!C38,IF(E2="住宅",项目基本情况!D38,IF(E2="工业",项目基本情况!E38,项目基本情况!F38))))</f>
        <v>Ⅶ-亦1</v>
      </c>
      <c r="J2" s="514"/>
      <c r="K2" s="506"/>
      <c r="L2" s="527" t="s">
        <v>2285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6">
      <c r="A3" s="348" t="s">
        <v>1122</v>
      </c>
      <c r="B3" s="349" t="e">
        <f>ROUND(B2*10000/D1,0)</f>
        <v>#DIV/0!</v>
      </c>
      <c r="C3" s="523" t="s">
        <v>1692</v>
      </c>
      <c r="D3" s="524" t="s">
        <v>2286</v>
      </c>
      <c r="E3" s="531"/>
      <c r="F3" s="532"/>
      <c r="G3" s="533">
        <f>IF(F3="宗地容积率",'数据-汇总表'!I4,IF(F3="估价对象容积率",'数据-汇总表'!I6,'数据-汇总表'!I7))</f>
        <v>0</v>
      </c>
      <c r="H3" s="524" t="s">
        <v>2287</v>
      </c>
      <c r="I3" s="534"/>
      <c r="J3" s="514" t="s">
        <v>2288</v>
      </c>
      <c r="K3" s="506"/>
      <c r="L3" s="527" t="s">
        <v>2289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6">
      <c r="A4" s="3527"/>
      <c r="B4" s="3528"/>
      <c r="C4" s="3528"/>
      <c r="D4" s="3529"/>
      <c r="E4" s="3529"/>
      <c r="F4" s="3529"/>
      <c r="G4" s="3529"/>
      <c r="H4" s="3529"/>
      <c r="I4" s="3529"/>
      <c r="J4" s="3530"/>
      <c r="K4" s="506"/>
      <c r="L4" s="527" t="s">
        <v>2290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1026</v>
      </c>
      <c r="B5" s="536" t="s">
        <v>2291</v>
      </c>
      <c r="C5" s="537">
        <f>ROUND(IF(E2="商业",C6*C7*C17+C20,(IF(E2="住宅",C6*C13*C17+C20,IF(E2="办公",C6*C12*C17+C20,C6+C20)))),0)</f>
        <v>-126</v>
      </c>
      <c r="D5" s="538">
        <f>ROUND(C6*C17+C20,0)</f>
        <v>7554</v>
      </c>
      <c r="E5" s="538"/>
      <c r="F5" s="539"/>
      <c r="G5" s="540"/>
      <c r="H5" s="540"/>
      <c r="I5" s="540"/>
      <c r="J5" s="541"/>
      <c r="K5" s="542"/>
      <c r="L5" s="527" t="s">
        <v>2292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1694</v>
      </c>
      <c r="B6" s="547" t="s">
        <v>2293</v>
      </c>
      <c r="C6" s="548">
        <f>SUMIF(L1:L12,G2,M1:M12)</f>
        <v>8440</v>
      </c>
      <c r="D6" s="549"/>
      <c r="E6" s="550"/>
      <c r="F6" s="550"/>
      <c r="G6" s="551"/>
      <c r="H6" s="551"/>
      <c r="I6" s="551"/>
      <c r="J6" s="552"/>
      <c r="K6" s="553"/>
      <c r="L6" s="527" t="s">
        <v>2294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2295</v>
      </c>
      <c r="B7" s="555" t="s">
        <v>2296</v>
      </c>
      <c r="C7" s="556" t="e">
        <f>IF(C8="不临65条商业街",1,ROUND(1+(1.6*E8+1.2*E9+0.8*E10+0.4*E11)*C9,4))</f>
        <v>#DIV/0!</v>
      </c>
      <c r="D7" s="557" t="s">
        <v>2297</v>
      </c>
      <c r="E7" s="558"/>
      <c r="F7" s="559"/>
      <c r="G7" s="560"/>
      <c r="H7" s="560"/>
      <c r="I7" s="560"/>
      <c r="J7" s="561"/>
      <c r="K7" s="553"/>
      <c r="L7" s="527" t="s">
        <v>2298</v>
      </c>
      <c r="M7" s="528">
        <f>SUMPRODUCT((区片价!B190:B233=I2)*(区片价!C3:G3=E2)*(区片价!C190:G233))</f>
        <v>8440</v>
      </c>
      <c r="N7" s="517">
        <f>SUMPRODUCT((因素修正幅度!B190:B233=I2)*(因素修正幅度!C3:G3=E2)*(因素修正幅度!C190:G233))</f>
        <v>0.13</v>
      </c>
      <c r="O7" s="506"/>
      <c r="P7" s="506"/>
      <c r="Q7" s="506"/>
      <c r="R7" s="518">
        <v>6</v>
      </c>
      <c r="S7" s="562"/>
      <c r="T7" s="529" t="e">
        <f t="shared" si="0"/>
        <v>#DIV/0!</v>
      </c>
      <c r="U7" s="530"/>
      <c r="V7" s="529" t="e">
        <f t="shared" si="1"/>
        <v>#DIV/0!</v>
      </c>
      <c r="W7" s="563" t="s">
        <v>2299</v>
      </c>
      <c r="X7" s="564" t="str">
        <f>G2</f>
        <v>七级</v>
      </c>
      <c r="Y7" s="564" t="s">
        <v>2300</v>
      </c>
      <c r="Z7" s="565">
        <f>G3</f>
        <v>0</v>
      </c>
      <c r="AA7" s="519"/>
      <c r="AB7" s="519"/>
      <c r="AC7" s="520"/>
      <c r="AD7" s="521"/>
      <c r="AE7" s="521"/>
      <c r="AF7" s="521"/>
      <c r="AG7" s="521"/>
      <c r="AH7" s="521"/>
      <c r="AI7" s="521"/>
      <c r="AJ7" s="522"/>
    </row>
    <row r="8" spans="1:36" ht="15">
      <c r="A8" s="566"/>
      <c r="B8" s="524" t="s">
        <v>2301</v>
      </c>
      <c r="C8" s="567"/>
      <c r="D8" s="568" t="s">
        <v>2302</v>
      </c>
      <c r="E8" s="569" t="e">
        <f>ROUND(C11/E7,4)</f>
        <v>#DIV/0!</v>
      </c>
      <c r="F8" s="570" t="s">
        <v>2303</v>
      </c>
      <c r="G8" s="571"/>
      <c r="H8" s="571"/>
      <c r="I8" s="571"/>
      <c r="J8" s="572"/>
      <c r="K8" s="506"/>
      <c r="L8" s="527" t="s">
        <v>2304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531" t="s">
        <v>2305</v>
      </c>
      <c r="X8" s="3532"/>
      <c r="Y8" s="573" t="s">
        <v>2306</v>
      </c>
      <c r="Z8" s="573" t="s">
        <v>2307</v>
      </c>
      <c r="AA8" s="573" t="s">
        <v>2308</v>
      </c>
      <c r="AB8" s="573" t="s">
        <v>2309</v>
      </c>
      <c r="AC8" s="573" t="s">
        <v>2310</v>
      </c>
      <c r="AD8" s="573" t="s">
        <v>2311</v>
      </c>
      <c r="AE8" s="573" t="s">
        <v>2312</v>
      </c>
      <c r="AF8" s="573" t="s">
        <v>2313</v>
      </c>
      <c r="AG8" s="573" t="s">
        <v>2314</v>
      </c>
      <c r="AH8" s="573" t="s">
        <v>2315</v>
      </c>
      <c r="AI8" s="573" t="s">
        <v>2316</v>
      </c>
      <c r="AJ8" s="573" t="s">
        <v>2317</v>
      </c>
    </row>
    <row r="9" spans="1:36" ht="15">
      <c r="A9" s="566"/>
      <c r="B9" s="524" t="s">
        <v>2318</v>
      </c>
      <c r="C9" s="574">
        <f>SUMIF(修正!C73:C140,C8,修正!E73:E140)</f>
        <v>0</v>
      </c>
      <c r="D9" s="526" t="s">
        <v>2319</v>
      </c>
      <c r="E9" s="526" t="e">
        <f>ROUND(C11/E7,4)</f>
        <v>#DIV/0!</v>
      </c>
      <c r="F9" s="570" t="s">
        <v>2320</v>
      </c>
      <c r="G9" s="571"/>
      <c r="H9" s="571"/>
      <c r="I9" s="571"/>
      <c r="J9" s="572"/>
      <c r="K9" s="506"/>
      <c r="L9" s="527" t="s">
        <v>2321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545"/>
      <c r="X9" s="575" t="s">
        <v>2322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2323</v>
      </c>
      <c r="C10" s="526">
        <f>SUMIF(修正!C73:C140,C8,修正!F73:F140)</f>
        <v>0</v>
      </c>
      <c r="D10" s="526" t="s">
        <v>2324</v>
      </c>
      <c r="E10" s="526" t="e">
        <f>ROUND(C11/E7,4)</f>
        <v>#DIV/0!</v>
      </c>
      <c r="F10" s="570" t="s">
        <v>2325</v>
      </c>
      <c r="G10" s="571"/>
      <c r="H10" s="571"/>
      <c r="I10" s="571"/>
      <c r="J10" s="572"/>
      <c r="K10" s="506"/>
      <c r="L10" s="527" t="s">
        <v>2326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545"/>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2327</v>
      </c>
      <c r="C11" s="581">
        <f>C10/4</f>
        <v>0</v>
      </c>
      <c r="D11" s="581" t="s">
        <v>2328</v>
      </c>
      <c r="E11" s="581" t="e">
        <f>ROUND(C11/E7,4)</f>
        <v>#DIV/0!</v>
      </c>
      <c r="F11" s="582" t="s">
        <v>2329</v>
      </c>
      <c r="G11" s="583"/>
      <c r="H11" s="583"/>
      <c r="I11" s="583"/>
      <c r="J11" s="584"/>
      <c r="K11" s="506"/>
      <c r="L11" s="527" t="s">
        <v>2330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5.2">
      <c r="A12" s="554" t="s">
        <v>2331</v>
      </c>
      <c r="B12" s="587" t="s">
        <v>2332</v>
      </c>
      <c r="C12" s="588"/>
      <c r="D12" s="589" t="s">
        <v>2333</v>
      </c>
      <c r="E12" s="590" t="s">
        <v>2334</v>
      </c>
      <c r="F12" s="591"/>
      <c r="G12" s="592"/>
      <c r="H12" s="592"/>
      <c r="I12" s="592"/>
      <c r="J12" s="593"/>
      <c r="K12" s="506"/>
      <c r="L12" s="594" t="s">
        <v>2335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24">
      <c r="A13" s="554" t="s">
        <v>2336</v>
      </c>
      <c r="B13" s="596" t="s">
        <v>2337</v>
      </c>
      <c r="C13" s="556">
        <f>ROUND(C16*D16*E16*F16*G16*H16*I16*J16,4)</f>
        <v>0</v>
      </c>
      <c r="D13" s="597" t="s">
        <v>2338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24">
      <c r="A14" s="604"/>
      <c r="B14" s="605" t="s">
        <v>2339</v>
      </c>
      <c r="C14" s="606" t="s">
        <v>2340</v>
      </c>
      <c r="D14" s="607" t="s">
        <v>2341</v>
      </c>
      <c r="E14" s="608" t="s">
        <v>2342</v>
      </c>
      <c r="F14" s="609" t="s">
        <v>2343</v>
      </c>
      <c r="G14" s="609" t="s">
        <v>2343</v>
      </c>
      <c r="H14" s="609" t="s">
        <v>2343</v>
      </c>
      <c r="I14" s="609" t="s">
        <v>2343</v>
      </c>
      <c r="J14" s="609" t="s">
        <v>2343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2344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2249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ht="24">
      <c r="A17" s="622" t="s">
        <v>2345</v>
      </c>
      <c r="B17" s="623" t="s">
        <v>2346</v>
      </c>
      <c r="C17" s="624">
        <f>ROUND(IF(OR(E2="工业",E2="公共服务"),1,IF(AND(E18=0,E19=0),1,IF(AND(E18=J24,E19=G19),0.8,IF(E19=0,1+E17*(-0.2),1+E17*G17*(-0.2))))),4)</f>
        <v>0.91</v>
      </c>
      <c r="D17" s="625" t="s">
        <v>2347</v>
      </c>
      <c r="E17" s="624">
        <f>ROUND(G18/I18,2)</f>
        <v>0.45</v>
      </c>
      <c r="F17" s="625" t="s">
        <v>2348</v>
      </c>
      <c r="G17" s="624">
        <f>ROUND(E19/G19,2)</f>
        <v>1</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2349</v>
      </c>
      <c r="E18" s="632">
        <v>10</v>
      </c>
      <c r="F18" s="633" t="s">
        <v>2350</v>
      </c>
      <c r="G18" s="630">
        <f>ROUND(1-(1/(POWER(1+G24,E18))),4)</f>
        <v>0.41460000000000002</v>
      </c>
      <c r="H18" s="633" t="s">
        <v>2351</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2352</v>
      </c>
      <c r="E19" s="642">
        <v>10000</v>
      </c>
      <c r="F19" s="643" t="s">
        <v>2353</v>
      </c>
      <c r="G19" s="642">
        <v>10000</v>
      </c>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537" t="s">
        <v>2354</v>
      </c>
      <c r="B20" s="648" t="s">
        <v>2355</v>
      </c>
      <c r="C20" s="649">
        <f>ROUND(IF(F21="与级别开发程度一致",0,(G21-E21)/C21),0)</f>
        <v>-126</v>
      </c>
      <c r="D20" s="650" t="s">
        <v>2356</v>
      </c>
      <c r="E20" s="651"/>
      <c r="F20" s="3533" t="s">
        <v>2357</v>
      </c>
      <c r="G20" s="3534"/>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3.8">
      <c r="A21" s="3538"/>
      <c r="B21" s="656" t="s">
        <v>2358</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1037</v>
      </c>
      <c r="B22" s="665" t="s">
        <v>2359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4">
      <c r="A23" s="671" t="s">
        <v>1042</v>
      </c>
      <c r="B23" s="672" t="s">
        <v>2360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2361</v>
      </c>
      <c r="E23" s="675">
        <v>44197</v>
      </c>
      <c r="F23" s="674" t="s">
        <v>2362</v>
      </c>
      <c r="G23" s="676">
        <f>'数据-取费表'!B2</f>
        <v>46026</v>
      </c>
      <c r="H23" s="677"/>
      <c r="I23" s="678" t="str">
        <f>IF(H23="季度增幅（自定义）",SUMIF(N25:N28,E2,O25:O28),"")</f>
        <v/>
      </c>
      <c r="J23" s="679"/>
      <c r="K23" s="636"/>
      <c r="L23" s="680" t="s">
        <v>2363</v>
      </c>
      <c r="M23" s="681">
        <f>ROUND(SUMIF(地价!B2:G2,E2,地价!B16:G16),0)</f>
        <v>350</v>
      </c>
      <c r="N23" s="682" t="s">
        <v>2364</v>
      </c>
      <c r="O23" s="683">
        <f>ROUNDDOWN(DATEDIF(E23,G23,"M")/3,0)</f>
        <v>20</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1045</v>
      </c>
      <c r="B24" s="685" t="s">
        <v>2365</v>
      </c>
      <c r="C24" s="686" t="e">
        <f>ROUND(POWER(1+G24,J24-I24)*(POWER(1+G24,I24)-1)/(POWER(1+G24,J24)-1),4)</f>
        <v>#DIV/0!</v>
      </c>
      <c r="D24" s="687" t="s">
        <v>2366</v>
      </c>
      <c r="E24" s="688">
        <f>存贷款利率!E28/100</f>
        <v>4.3499999999999997E-2</v>
      </c>
      <c r="F24" s="687" t="s">
        <v>2367</v>
      </c>
      <c r="G24" s="689">
        <f>SUMIF(M30:Q30,E2,M33:Q33)</f>
        <v>5.5E-2</v>
      </c>
      <c r="H24" s="687" t="s">
        <v>2368</v>
      </c>
      <c r="I24" s="690" t="e">
        <f>SUMIF('数据-取费表'!C6:C15,E2,'数据-取费表'!F6:F15)/COUNTIF('数据-取费表'!C6:C15,E2)</f>
        <v>#DIV/0!</v>
      </c>
      <c r="J24" s="691">
        <f>IF(E2="住宅",70,IF(E2="商业",40,50))</f>
        <v>50</v>
      </c>
      <c r="K24" s="636"/>
      <c r="L24" s="692" t="s">
        <v>2369</v>
      </c>
      <c r="M24" s="693">
        <f>ROUND(SUMPRODUCT((地价!A4:A16=YEAR(G23)&amp;"-"&amp;ROUNDUP(MONTH(G23)/3,0))*(地价!B2:G2=E2)*(地价!B4:G16)),0)</f>
        <v>0</v>
      </c>
      <c r="N24" s="694" t="s">
        <v>2370</v>
      </c>
      <c r="O24" s="695" t="s">
        <v>2371</v>
      </c>
      <c r="P24" s="696" t="s">
        <v>2372</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1067</v>
      </c>
      <c r="B25" s="698" t="s">
        <v>2373</v>
      </c>
      <c r="C25" s="699">
        <f>IF(B25="容积率修正",IF(G3&lt;10,D26,J26),C27)</f>
        <v>0</v>
      </c>
      <c r="D25" s="700"/>
      <c r="E25" s="700"/>
      <c r="F25" s="700"/>
      <c r="G25" s="700"/>
      <c r="H25" s="700"/>
      <c r="I25" s="700"/>
      <c r="J25" s="701"/>
      <c r="K25" s="636"/>
      <c r="L25" s="638"/>
      <c r="M25" s="638"/>
      <c r="N25" s="702" t="s">
        <v>2374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2375</v>
      </c>
      <c r="B26" s="706" t="s">
        <v>2376</v>
      </c>
      <c r="C26" s="706" t="s">
        <v>2377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2378</v>
      </c>
      <c r="J26" s="708" t="str">
        <f>IF(G3&gt;=10,D115,"——")</f>
        <v>——</v>
      </c>
      <c r="K26" s="636"/>
      <c r="L26" s="638"/>
      <c r="M26" s="638"/>
      <c r="N26" s="702" t="s">
        <v>2379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2380</v>
      </c>
      <c r="B27" s="709" t="s">
        <v>2381</v>
      </c>
      <c r="C27" s="710">
        <f>ROUND(IF(I3&lt;6,SUMPRODUCT((B106:B110=I3)*(C105:N105=G2)*(C106:N110)),SUMIF(C105:N105,G2,C112:N112)),4)</f>
        <v>0</v>
      </c>
      <c r="D27" s="514"/>
      <c r="E27" s="514"/>
      <c r="F27" s="711"/>
      <c r="G27" s="712"/>
      <c r="H27" s="713"/>
      <c r="I27" s="714"/>
      <c r="J27" s="715"/>
      <c r="K27" s="506"/>
      <c r="L27" s="507"/>
      <c r="M27" s="507"/>
      <c r="N27" s="702" t="s">
        <v>2382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2383</v>
      </c>
      <c r="B28" s="672" t="s">
        <v>2384</v>
      </c>
      <c r="C28" s="673">
        <f>SUMIF(A47:A101,E2,B47:B101)</f>
        <v>1</v>
      </c>
      <c r="D28" s="716"/>
      <c r="E28" s="717"/>
      <c r="F28" s="717"/>
      <c r="G28" s="717"/>
      <c r="H28" s="717"/>
      <c r="I28" s="717"/>
      <c r="J28" s="718"/>
      <c r="K28" s="636"/>
      <c r="L28" s="638"/>
      <c r="M28" s="638"/>
      <c r="N28" s="719" t="s">
        <v>2385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2386</v>
      </c>
      <c r="B29" s="722" t="s">
        <v>2387</v>
      </c>
      <c r="C29" s="723"/>
      <c r="D29" s="560"/>
      <c r="E29" s="560"/>
      <c r="F29" s="724"/>
      <c r="G29" s="560"/>
      <c r="H29" s="560"/>
      <c r="I29" s="560"/>
      <c r="J29" s="561"/>
      <c r="K29" s="506"/>
      <c r="L29" s="507"/>
      <c r="M29" s="507"/>
      <c r="N29" s="725" t="s">
        <v>2388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2389</v>
      </c>
      <c r="C30" s="729" t="e">
        <f>IF(B25="容积率修正",E33+SUM(E37:E42),SUM(V2:V16)+SUM(E37:E42))</f>
        <v>#DIV/0!</v>
      </c>
      <c r="D30" s="730"/>
      <c r="E30" s="514"/>
      <c r="F30" s="731"/>
      <c r="G30" s="514"/>
      <c r="H30" s="514"/>
      <c r="I30" s="514"/>
      <c r="J30" s="732"/>
      <c r="K30" s="506"/>
      <c r="L30" s="733" t="s">
        <v>2282</v>
      </c>
      <c r="M30" s="734" t="s">
        <v>2390</v>
      </c>
      <c r="N30" s="734" t="s">
        <v>2391</v>
      </c>
      <c r="O30" s="734" t="s">
        <v>2392</v>
      </c>
      <c r="P30" s="734" t="s">
        <v>2393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2394</v>
      </c>
      <c r="C31" s="736" t="e">
        <f>E34+SUM(I37:I42)</f>
        <v>#DIV/0!</v>
      </c>
      <c r="D31" s="737"/>
      <c r="E31" s="738"/>
      <c r="F31" s="739"/>
      <c r="G31" s="738"/>
      <c r="H31" s="738"/>
      <c r="I31" s="738"/>
      <c r="J31" s="740"/>
      <c r="K31" s="506"/>
      <c r="L31" s="741" t="s">
        <v>2395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2396</v>
      </c>
      <c r="C32" s="745" t="s">
        <v>2397</v>
      </c>
      <c r="D32" s="745" t="s">
        <v>692</v>
      </c>
      <c r="E32" s="746" t="s">
        <v>2398</v>
      </c>
      <c r="F32" s="747"/>
      <c r="G32" s="599"/>
      <c r="H32" s="599"/>
      <c r="I32" s="599"/>
      <c r="J32" s="600"/>
      <c r="K32" s="506"/>
      <c r="L32" s="748" t="s">
        <v>2367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2399</v>
      </c>
      <c r="C33" s="753" t="e">
        <f>ROUND(C5*C22*C23*C24*C25*C28,0)</f>
        <v>#DIV/0!</v>
      </c>
      <c r="D33" s="754"/>
      <c r="E33" s="755" t="e">
        <f>ROUND(C33*D33/10000,0)</f>
        <v>#DIV/0!</v>
      </c>
      <c r="F33" s="756" t="s">
        <v>2400</v>
      </c>
      <c r="G33" s="757"/>
      <c r="H33" s="757"/>
      <c r="I33" s="757"/>
      <c r="J33" s="758"/>
      <c r="K33" s="506"/>
      <c r="L33" s="759" t="s">
        <v>2401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2402</v>
      </c>
      <c r="C34" s="658" t="e">
        <f>ROUND(IF(E2="工业",C33*M42,IF(B25="楼层修正",SUM(V2:V16)*M41*10000/D34,C33*M41)),0)</f>
        <v>#DIV/0!</v>
      </c>
      <c r="D34" s="763"/>
      <c r="E34" s="755" t="e">
        <f>ROUND(IF(B25="楼层修正",SUM(V2:V16)*M40,C34*D34/10000),0)</f>
        <v>#DIV/0!</v>
      </c>
      <c r="F34" s="764" t="s">
        <v>2403</v>
      </c>
      <c r="G34" s="765"/>
      <c r="H34" s="765"/>
      <c r="I34" s="765"/>
      <c r="J34" s="766"/>
      <c r="K34" s="506"/>
      <c r="L34" s="759" t="s">
        <v>2404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2405</v>
      </c>
      <c r="C35" s="769" t="s">
        <v>2406</v>
      </c>
      <c r="D35" s="599"/>
      <c r="E35" s="770"/>
      <c r="F35" s="770"/>
      <c r="G35" s="597" t="s">
        <v>2403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2397</v>
      </c>
      <c r="D36" s="774" t="s">
        <v>692</v>
      </c>
      <c r="E36" s="774" t="s">
        <v>2398</v>
      </c>
      <c r="F36" s="513" t="s">
        <v>2407</v>
      </c>
      <c r="G36" s="775" t="s">
        <v>2397</v>
      </c>
      <c r="H36" s="775" t="s">
        <v>692</v>
      </c>
      <c r="I36" s="775" t="s">
        <v>2398</v>
      </c>
      <c r="J36" s="393"/>
      <c r="K36" s="776" t="s">
        <v>2408</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539"/>
      <c r="B37" s="779" t="s">
        <v>2409</v>
      </c>
      <c r="C37" s="753" t="e">
        <f>ROUND(D5*C22*C23*C24*C28*F37,0)</f>
        <v>#DIV/0!</v>
      </c>
      <c r="D37" s="754"/>
      <c r="E37" s="526" t="e">
        <f>ROUND(C37*D37/10000,0)</f>
        <v>#DIV/0!</v>
      </c>
      <c r="F37" s="526">
        <f>SUMIF(修正!A59:A70,G2,修正!B59:B70)</f>
        <v>0.6</v>
      </c>
      <c r="G37" s="526" t="e">
        <f>ROUND(IF(E2="工业",C37*$M$42,C37*$M$41),0)</f>
        <v>#DIV/0!</v>
      </c>
      <c r="H37" s="526">
        <f>D37</f>
        <v>0</v>
      </c>
      <c r="I37" s="526" t="e">
        <f>ROUND(G37*H37/10000,0)</f>
        <v>#DIV/0!</v>
      </c>
      <c r="J37" s="780"/>
      <c r="K37" s="781" t="s">
        <v>2410</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540"/>
      <c r="B38" s="606" t="s">
        <v>2411</v>
      </c>
      <c r="C38" s="753" t="e">
        <f>ROUND(D5*C22*C23*C24*C28*F38,0)</f>
        <v>#DIV/0!</v>
      </c>
      <c r="D38" s="754"/>
      <c r="E38" s="526" t="e">
        <f t="shared" ref="E38:E42" si="4">ROUND(C38*D38/10000,0)</f>
        <v>#DIV/0!</v>
      </c>
      <c r="F38" s="526">
        <f>SUMIF(修正!A59:A70,G2,修正!C59:C70)</f>
        <v>0.3</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540"/>
      <c r="B39" s="606" t="s">
        <v>2412</v>
      </c>
      <c r="C39" s="753" t="e">
        <f>ROUND(D5*C22*C23*C24*C28*F39,0)</f>
        <v>#DIV/0!</v>
      </c>
      <c r="D39" s="754"/>
      <c r="E39" s="526" t="e">
        <f t="shared" si="4"/>
        <v>#DIV/0!</v>
      </c>
      <c r="F39" s="526">
        <f>SUMIF(修正!A59:A70,G2,修正!D59:D70)</f>
        <v>0.25</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2413</v>
      </c>
      <c r="C40" s="526" t="e">
        <f>ROUND(D5*C22*C23*C24*C28*F40,0)</f>
        <v>#DIV/0!</v>
      </c>
      <c r="D40" s="754"/>
      <c r="E40" s="526" t="e">
        <f t="shared" si="4"/>
        <v>#DIV/0!</v>
      </c>
      <c r="F40" s="753">
        <f>SUMIF(修正!A59:A70,G2,修正!E59:E70)</f>
        <v>0.25</v>
      </c>
      <c r="G40" s="526" t="e">
        <f>ROUND(IF(E2="工业",C40*$M$42,C40*$M$41),0)</f>
        <v>#DIV/0!</v>
      </c>
      <c r="H40" s="526">
        <f t="shared" si="5"/>
        <v>0</v>
      </c>
      <c r="I40" s="526" t="e">
        <f t="shared" si="6"/>
        <v>#DIV/0!</v>
      </c>
      <c r="J40" s="784"/>
      <c r="L40" s="785" t="s">
        <v>2414</v>
      </c>
      <c r="M40" s="786"/>
      <c r="Z40" s="627"/>
      <c r="AA40" s="627"/>
      <c r="AB40" s="627"/>
      <c r="AC40" s="627"/>
      <c r="AD40" s="627"/>
      <c r="AE40" s="627"/>
      <c r="AF40" s="627"/>
      <c r="AG40" s="627"/>
      <c r="AH40" s="627"/>
      <c r="AI40" s="627"/>
      <c r="AJ40" s="627"/>
    </row>
    <row r="41" spans="1:37" s="506" customFormat="1">
      <c r="A41" s="783"/>
      <c r="B41" s="606" t="s">
        <v>2415</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2416</v>
      </c>
      <c r="M41" s="788">
        <v>0.25</v>
      </c>
      <c r="Z41" s="627"/>
      <c r="AA41" s="627"/>
      <c r="AB41" s="627"/>
      <c r="AC41" s="627"/>
      <c r="AD41" s="627"/>
      <c r="AE41" s="627"/>
      <c r="AF41" s="627"/>
      <c r="AG41" s="627"/>
      <c r="AH41" s="627"/>
      <c r="AI41" s="627"/>
      <c r="AJ41" s="627"/>
    </row>
    <row r="42" spans="1:37" s="506" customFormat="1">
      <c r="A42" s="761"/>
      <c r="B42" s="789" t="s">
        <v>2417</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2393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2418</v>
      </c>
      <c r="C44" s="513">
        <f>ROUND(POWER(1+E44,H44-G44)*(POWER(1+E44,G44)-1)/(POWER(1+E44,H44)-1),4)</f>
        <v>0</v>
      </c>
      <c r="D44" s="526" t="s">
        <v>2367</v>
      </c>
      <c r="E44" s="795">
        <f>G24</f>
        <v>5.5E-2</v>
      </c>
      <c r="F44" s="526" t="s">
        <v>2368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2419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c r="A48" s="800" t="s">
        <v>2420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c r="A49" s="806" t="s">
        <v>2421</v>
      </c>
      <c r="B49" s="807" t="s">
        <v>2422</v>
      </c>
      <c r="C49" s="807" t="s">
        <v>2423</v>
      </c>
      <c r="D49" s="807" t="s">
        <v>2424</v>
      </c>
      <c r="E49" s="808" t="s">
        <v>2425</v>
      </c>
      <c r="F49" s="809" t="s">
        <v>2426</v>
      </c>
      <c r="G49" s="807" t="s">
        <v>2249</v>
      </c>
      <c r="H49" s="810" t="s">
        <v>2427</v>
      </c>
      <c r="I49" s="807" t="s">
        <v>2428</v>
      </c>
      <c r="J49" s="811" t="s">
        <v>1219</v>
      </c>
      <c r="K49" s="811" t="s">
        <v>1220</v>
      </c>
      <c r="L49" s="811" t="s">
        <v>1221</v>
      </c>
      <c r="M49" s="811" t="s">
        <v>1222</v>
      </c>
      <c r="N49" s="811" t="s">
        <v>1223</v>
      </c>
      <c r="AA49" s="627"/>
      <c r="AB49" s="627"/>
      <c r="AC49" s="627"/>
      <c r="AD49" s="627"/>
      <c r="AE49" s="627"/>
      <c r="AF49" s="627"/>
      <c r="AG49" s="627"/>
      <c r="AH49" s="627"/>
      <c r="AI49" s="627"/>
      <c r="AJ49" s="627"/>
      <c r="AK49" s="627"/>
    </row>
    <row r="50" spans="1:37" s="506" customFormat="1" ht="39.6">
      <c r="A50" s="806" t="s">
        <v>2429</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c r="A51" s="806" t="s">
        <v>2430</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c r="A52" s="821" t="s">
        <v>2431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c r="A53" s="806" t="s">
        <v>2432</v>
      </c>
      <c r="B53" s="822" t="s">
        <v>2433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2434</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c r="A55" s="806" t="s">
        <v>2435</v>
      </c>
      <c r="B55" s="823" t="s">
        <v>2436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c r="A56" s="824" t="s">
        <v>2437</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c r="A57" s="824" t="s">
        <v>2438</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c r="A58" s="826" t="s">
        <v>2439</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2440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2421</v>
      </c>
      <c r="B60" s="807"/>
      <c r="C60" s="807" t="s">
        <v>2423</v>
      </c>
      <c r="D60" s="807" t="s">
        <v>2424</v>
      </c>
      <c r="E60" s="808" t="s">
        <v>2425</v>
      </c>
      <c r="F60" s="809" t="s">
        <v>2441</v>
      </c>
      <c r="G60" s="807" t="s">
        <v>2249</v>
      </c>
      <c r="H60" s="810" t="s">
        <v>2427</v>
      </c>
      <c r="I60" s="807" t="s">
        <v>2428</v>
      </c>
      <c r="J60" s="811" t="s">
        <v>1219</v>
      </c>
      <c r="K60" s="811" t="s">
        <v>1220</v>
      </c>
      <c r="L60" s="811" t="s">
        <v>1221</v>
      </c>
      <c r="M60" s="811" t="s">
        <v>1222</v>
      </c>
      <c r="N60" s="811" t="s">
        <v>1223</v>
      </c>
      <c r="AA60" s="627"/>
      <c r="AB60" s="627"/>
      <c r="AC60" s="627"/>
      <c r="AD60" s="627"/>
      <c r="AE60" s="627"/>
      <c r="AF60" s="627"/>
      <c r="AG60" s="627"/>
      <c r="AH60" s="627"/>
      <c r="AI60" s="627"/>
      <c r="AJ60" s="627"/>
      <c r="AK60" s="627"/>
    </row>
    <row r="61" spans="1:37" s="506" customFormat="1" ht="24">
      <c r="A61" s="806" t="s">
        <v>2442</v>
      </c>
      <c r="B61" s="812">
        <f>估价对象房地状况!C17</f>
        <v>0</v>
      </c>
      <c r="C61" s="612"/>
      <c r="D61" s="813">
        <f t="shared" ref="D61:D69" si="12">SUMIF($J$60:$N$60,C61,J61:N61)</f>
        <v>0</v>
      </c>
      <c r="E61" s="814">
        <f>ROUND(SUM(D61:D69),4)</f>
        <v>0</v>
      </c>
      <c r="F61" s="815">
        <f>IF(E2="办公",SUMIF(L1:L12,G2,N1:N12),"——")</f>
        <v>0.13</v>
      </c>
      <c r="G61" s="816"/>
      <c r="H61" s="817">
        <f t="shared" ref="H61:H69" si="13">IFERROR(ROUNDDOWN($F$61*I61/2,4),"——")</f>
        <v>1.6199999999999999E-2</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2.8">
      <c r="A62" s="806" t="s">
        <v>2430</v>
      </c>
      <c r="B62" s="807" t="str">
        <f>估价对象房地状况!C18</f>
        <v>估价对象周边道路状况、公共交通通达情况、停车便捷程度，综合评价交通便捷度较好</v>
      </c>
      <c r="C62" s="612"/>
      <c r="D62" s="813">
        <f t="shared" si="12"/>
        <v>0</v>
      </c>
      <c r="E62" s="820"/>
      <c r="F62" s="815"/>
      <c r="G62" s="816"/>
      <c r="H62" s="817">
        <f t="shared" si="13"/>
        <v>1.6899999999999998E-2</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48">
      <c r="A63" s="821" t="s">
        <v>2431</v>
      </c>
      <c r="B63" s="807">
        <f>估价对象房地状况!C19</f>
        <v>0</v>
      </c>
      <c r="C63" s="612"/>
      <c r="D63" s="813">
        <f t="shared" si="12"/>
        <v>0</v>
      </c>
      <c r="E63" s="820"/>
      <c r="F63" s="815"/>
      <c r="G63" s="816"/>
      <c r="H63" s="817">
        <f t="shared" si="13"/>
        <v>7.1000000000000004E-3</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7.200000000000003">
      <c r="A64" s="806" t="s">
        <v>2432</v>
      </c>
      <c r="B64" s="822" t="s">
        <v>2433</v>
      </c>
      <c r="C64" s="612"/>
      <c r="D64" s="813">
        <f t="shared" si="12"/>
        <v>0</v>
      </c>
      <c r="E64" s="820"/>
      <c r="F64" s="815"/>
      <c r="G64" s="816"/>
      <c r="H64" s="817">
        <f t="shared" si="13"/>
        <v>3.2000000000000002E-3</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2434</v>
      </c>
      <c r="B65" s="807" t="str">
        <f>估价对象房地状况!C24</f>
        <v>次干道-兴海路</v>
      </c>
      <c r="C65" s="612"/>
      <c r="D65" s="813">
        <f t="shared" si="12"/>
        <v>0</v>
      </c>
      <c r="E65" s="820"/>
      <c r="F65" s="815"/>
      <c r="G65" s="816"/>
      <c r="H65" s="817">
        <f t="shared" si="13"/>
        <v>3.2000000000000002E-3</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36">
      <c r="A66" s="806" t="s">
        <v>2435</v>
      </c>
      <c r="B66" s="823" t="s">
        <v>2436</v>
      </c>
      <c r="C66" s="612"/>
      <c r="D66" s="813">
        <f t="shared" si="12"/>
        <v>0</v>
      </c>
      <c r="E66" s="820"/>
      <c r="F66" s="815"/>
      <c r="G66" s="816"/>
      <c r="H66" s="817">
        <f t="shared" si="13"/>
        <v>3.8999999999999998E-3</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4">
      <c r="A67" s="806" t="s">
        <v>2437</v>
      </c>
      <c r="B67" s="825" t="str">
        <f>估价对象房地状况!C21</f>
        <v>估价对象所在区域公共配套设施齐备情况</v>
      </c>
      <c r="C67" s="612"/>
      <c r="D67" s="813">
        <f t="shared" si="12"/>
        <v>0</v>
      </c>
      <c r="E67" s="820"/>
      <c r="F67" s="815"/>
      <c r="G67" s="816"/>
      <c r="H67" s="817">
        <f t="shared" si="13"/>
        <v>3.8999999999999998E-3</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4">
      <c r="A68" s="806" t="s">
        <v>2438</v>
      </c>
      <c r="B68" s="825" t="str">
        <f>估价对象房地状况!C22</f>
        <v>估价对象所在区域基础设施水平</v>
      </c>
      <c r="C68" s="612"/>
      <c r="D68" s="813">
        <f t="shared" si="12"/>
        <v>0</v>
      </c>
      <c r="E68" s="820"/>
      <c r="F68" s="815"/>
      <c r="G68" s="816"/>
      <c r="H68" s="817">
        <f t="shared" si="13"/>
        <v>5.7999999999999996E-3</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39.6">
      <c r="A69" s="826" t="s">
        <v>2439</v>
      </c>
      <c r="B69" s="830" t="str">
        <f>估价对象房地状况!C20</f>
        <v>区域自然环境：；人文环境；综合评价环境状况一般</v>
      </c>
      <c r="C69" s="612"/>
      <c r="D69" s="813">
        <f t="shared" si="12"/>
        <v>0</v>
      </c>
      <c r="E69" s="828"/>
      <c r="F69" s="815"/>
      <c r="G69" s="816"/>
      <c r="H69" s="817">
        <f t="shared" si="13"/>
        <v>4.4999999999999997E-3</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4">
      <c r="A70" s="800" t="s">
        <v>2443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2421</v>
      </c>
      <c r="B71" s="807"/>
      <c r="C71" s="807" t="s">
        <v>2423</v>
      </c>
      <c r="D71" s="807" t="s">
        <v>2424</v>
      </c>
      <c r="E71" s="808" t="s">
        <v>2425</v>
      </c>
      <c r="F71" s="809" t="s">
        <v>2441</v>
      </c>
      <c r="G71" s="807" t="s">
        <v>2249</v>
      </c>
      <c r="H71" s="810" t="s">
        <v>2427</v>
      </c>
      <c r="I71" s="807" t="s">
        <v>2428</v>
      </c>
      <c r="J71" s="811" t="s">
        <v>1219</v>
      </c>
      <c r="K71" s="811" t="s">
        <v>1220</v>
      </c>
      <c r="L71" s="811" t="s">
        <v>1221</v>
      </c>
      <c r="M71" s="811" t="s">
        <v>1222</v>
      </c>
      <c r="N71" s="811" t="s">
        <v>1223</v>
      </c>
      <c r="AA71" s="627"/>
      <c r="AB71" s="627"/>
      <c r="AC71" s="627"/>
      <c r="AD71" s="627"/>
      <c r="AE71" s="627"/>
      <c r="AF71" s="627"/>
      <c r="AG71" s="627"/>
      <c r="AH71" s="627"/>
      <c r="AI71" s="627"/>
      <c r="AJ71" s="627"/>
      <c r="AK71" s="627"/>
    </row>
    <row r="72" spans="1:37" s="506" customFormat="1" ht="24">
      <c r="A72" s="806" t="s">
        <v>2444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2430</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2431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2445</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2437</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2438</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2435</v>
      </c>
      <c r="B78" s="823" t="s">
        <v>2436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2439</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2446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2447</v>
      </c>
      <c r="B81" s="801">
        <f>1+E83</f>
        <v>1</v>
      </c>
      <c r="C81" s="803"/>
      <c r="D81" s="803"/>
      <c r="E81" s="804"/>
      <c r="F81" s="805"/>
      <c r="G81" s="601"/>
      <c r="H81" s="601"/>
      <c r="I81" s="601"/>
      <c r="J81" s="602"/>
      <c r="K81" s="602"/>
      <c r="L81" s="602"/>
      <c r="M81" s="602"/>
      <c r="N81" s="602"/>
      <c r="Z81" s="510"/>
      <c r="AA81" s="508"/>
      <c r="AG81" s="512"/>
      <c r="AK81" s="508"/>
    </row>
    <row r="82" spans="1:37" ht="25.2">
      <c r="A82" s="806" t="s">
        <v>2421</v>
      </c>
      <c r="B82" s="807"/>
      <c r="C82" s="807" t="s">
        <v>2423</v>
      </c>
      <c r="D82" s="807" t="s">
        <v>2424</v>
      </c>
      <c r="E82" s="808" t="s">
        <v>2425</v>
      </c>
      <c r="F82" s="809" t="s">
        <v>2441</v>
      </c>
      <c r="G82" s="807" t="s">
        <v>2249</v>
      </c>
      <c r="H82" s="810" t="s">
        <v>2427</v>
      </c>
      <c r="I82" s="807" t="s">
        <v>2428</v>
      </c>
      <c r="J82" s="811" t="s">
        <v>1219</v>
      </c>
      <c r="K82" s="811" t="s">
        <v>1220</v>
      </c>
      <c r="L82" s="811" t="s">
        <v>1221</v>
      </c>
      <c r="M82" s="811" t="s">
        <v>1222</v>
      </c>
      <c r="N82" s="811" t="s">
        <v>1223</v>
      </c>
      <c r="Z82" s="510"/>
      <c r="AA82" s="508"/>
      <c r="AG82" s="512"/>
      <c r="AK82" s="508"/>
    </row>
    <row r="83" spans="1:37" ht="39.6">
      <c r="A83" s="806" t="s">
        <v>2448</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2430</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2431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2445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2437</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2438</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2435</v>
      </c>
      <c r="B89" s="823" t="s">
        <v>2449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2450</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2421</v>
      </c>
      <c r="B92" s="629"/>
      <c r="C92" s="629" t="s">
        <v>2423</v>
      </c>
      <c r="D92" s="629" t="s">
        <v>2424</v>
      </c>
      <c r="E92" s="742" t="s">
        <v>2425</v>
      </c>
      <c r="F92" s="844" t="s">
        <v>2441</v>
      </c>
      <c r="G92" s="629" t="s">
        <v>2249</v>
      </c>
      <c r="H92" s="845" t="s">
        <v>2427</v>
      </c>
      <c r="I92" s="629" t="s">
        <v>2428</v>
      </c>
      <c r="J92" s="846" t="s">
        <v>1219</v>
      </c>
      <c r="K92" s="846" t="s">
        <v>1220</v>
      </c>
      <c r="L92" s="846" t="s">
        <v>1221</v>
      </c>
      <c r="M92" s="846" t="s">
        <v>1222</v>
      </c>
      <c r="N92" s="846" t="s">
        <v>1223</v>
      </c>
    </row>
    <row r="93" spans="1:37" ht="24">
      <c r="A93" s="821" t="s">
        <v>2451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2430</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2431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2432</v>
      </c>
      <c r="B96" s="852" t="s">
        <v>2433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2434</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2435</v>
      </c>
      <c r="B98" s="853" t="s">
        <v>2436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2437</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2438</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2439</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535" t="s">
        <v>2452</v>
      </c>
      <c r="B103" s="3535"/>
      <c r="C103" s="3535"/>
      <c r="D103" s="3535"/>
      <c r="E103" s="3535"/>
      <c r="F103" s="3535"/>
      <c r="G103" s="3535"/>
      <c r="H103" s="3535"/>
      <c r="I103" s="3535"/>
      <c r="J103" s="3535"/>
      <c r="K103" s="857"/>
      <c r="L103" s="857"/>
      <c r="M103" s="857"/>
      <c r="N103" s="857"/>
    </row>
    <row r="104" spans="1:14">
      <c r="A104" s="3541" t="s">
        <v>2453</v>
      </c>
      <c r="B104" s="3541" t="s">
        <v>2454</v>
      </c>
      <c r="C104" s="859" t="s">
        <v>2455</v>
      </c>
      <c r="D104" s="860"/>
      <c r="E104" s="860"/>
      <c r="F104" s="860"/>
      <c r="G104" s="860"/>
      <c r="H104" s="860"/>
      <c r="I104" s="860"/>
      <c r="J104" s="861"/>
      <c r="K104" s="862"/>
      <c r="L104" s="862"/>
      <c r="M104" s="862"/>
      <c r="N104" s="862"/>
    </row>
    <row r="105" spans="1:14">
      <c r="A105" s="3541"/>
      <c r="B105" s="3541"/>
      <c r="C105" s="858" t="s">
        <v>2306</v>
      </c>
      <c r="D105" s="858" t="s">
        <v>2307</v>
      </c>
      <c r="E105" s="858" t="s">
        <v>2308</v>
      </c>
      <c r="F105" s="858" t="s">
        <v>2309</v>
      </c>
      <c r="G105" s="858" t="s">
        <v>2310</v>
      </c>
      <c r="H105" s="858" t="s">
        <v>2311</v>
      </c>
      <c r="I105" s="858" t="s">
        <v>2312</v>
      </c>
      <c r="J105" s="858" t="s">
        <v>2313</v>
      </c>
      <c r="K105" s="858" t="s">
        <v>2314</v>
      </c>
      <c r="L105" s="858" t="s">
        <v>2315</v>
      </c>
      <c r="M105" s="858" t="s">
        <v>2316</v>
      </c>
      <c r="N105" s="858" t="s">
        <v>2317</v>
      </c>
    </row>
    <row r="106" spans="1:14">
      <c r="A106" s="3542" t="s">
        <v>2456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543"/>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543"/>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543"/>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543"/>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543"/>
      <c r="B111" s="858" t="s">
        <v>2322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544"/>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36" t="s">
        <v>2457</v>
      </c>
      <c r="B113" s="3536"/>
      <c r="C113" s="3536"/>
      <c r="D113" s="3536"/>
      <c r="E113" s="3536"/>
      <c r="F113" s="3536"/>
      <c r="G113" s="3536"/>
      <c r="H113" s="3536"/>
      <c r="I113" s="3536"/>
      <c r="J113" s="3536"/>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2458</v>
      </c>
      <c r="B116" s="867">
        <f>G3</f>
        <v>0</v>
      </c>
      <c r="C116" s="868" t="s">
        <v>2459</v>
      </c>
      <c r="D116" s="869">
        <f>SUMPRODUCT((A118:A122=F116)*(B117:M117=H116)*B118:M122)</f>
        <v>0.9415</v>
      </c>
      <c r="E116" s="524" t="s">
        <v>2282</v>
      </c>
      <c r="F116" s="870" t="str">
        <f>E2</f>
        <v>办公</v>
      </c>
      <c r="G116" s="524" t="s">
        <v>2283</v>
      </c>
      <c r="H116" s="870" t="str">
        <f>G2</f>
        <v>七级</v>
      </c>
      <c r="I116" s="524"/>
      <c r="J116" s="871"/>
      <c r="K116" s="871"/>
      <c r="L116" s="871"/>
      <c r="M116" s="871"/>
      <c r="N116" s="865"/>
    </row>
    <row r="117" spans="1:14">
      <c r="A117" s="872"/>
      <c r="B117" s="873" t="s">
        <v>2460</v>
      </c>
      <c r="C117" s="873" t="s">
        <v>2461</v>
      </c>
      <c r="D117" s="873" t="s">
        <v>2462</v>
      </c>
      <c r="E117" s="874" t="s">
        <v>2463</v>
      </c>
      <c r="F117" s="874" t="s">
        <v>2464</v>
      </c>
      <c r="G117" s="874" t="s">
        <v>2465</v>
      </c>
      <c r="H117" s="875" t="s">
        <v>2466</v>
      </c>
      <c r="I117" s="875" t="s">
        <v>2467</v>
      </c>
      <c r="J117" s="876" t="s">
        <v>2468</v>
      </c>
      <c r="K117" s="876" t="s">
        <v>2469</v>
      </c>
      <c r="L117" s="876" t="s">
        <v>2470</v>
      </c>
      <c r="M117" s="877" t="s">
        <v>2471</v>
      </c>
      <c r="N117" s="865"/>
    </row>
    <row r="118" spans="1:14">
      <c r="A118" s="741" t="s">
        <v>2390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2391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2392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2393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537</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2472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2473</v>
      </c>
      <c r="B18" s="470"/>
      <c r="C18" s="471"/>
      <c r="D18" s="471"/>
      <c r="E18" s="470"/>
      <c r="F18" s="471"/>
      <c r="G18" s="471"/>
    </row>
    <row r="19" spans="1:13" ht="19.5" customHeight="1">
      <c r="A19" s="468" t="s">
        <v>2474</v>
      </c>
      <c r="B19" s="472" t="s">
        <v>2475</v>
      </c>
      <c r="C19" s="472" t="s">
        <v>2476</v>
      </c>
      <c r="D19" s="473"/>
      <c r="E19" s="468" t="s">
        <v>2477</v>
      </c>
      <c r="F19" s="474"/>
      <c r="G19" s="474"/>
    </row>
    <row r="20" spans="1:13" ht="19.5" customHeight="1">
      <c r="A20" s="3546" t="s">
        <v>229</v>
      </c>
      <c r="B20" s="3552" t="s">
        <v>2478</v>
      </c>
      <c r="C20" s="475" t="s">
        <v>244</v>
      </c>
      <c r="D20" s="475"/>
      <c r="E20" s="476">
        <v>1</v>
      </c>
      <c r="F20" s="477" t="s">
        <v>2479</v>
      </c>
      <c r="G20" s="477"/>
    </row>
    <row r="21" spans="1:13" ht="19.5" customHeight="1">
      <c r="A21" s="3547"/>
      <c r="B21" s="3553"/>
      <c r="C21" s="478" t="s">
        <v>259</v>
      </c>
      <c r="D21" s="478"/>
      <c r="E21" s="479">
        <v>1</v>
      </c>
      <c r="F21" s="477" t="s">
        <v>2480</v>
      </c>
      <c r="G21" s="477"/>
    </row>
    <row r="22" spans="1:13" ht="19.5" customHeight="1">
      <c r="A22" s="3547"/>
      <c r="B22" s="3553"/>
      <c r="C22" s="478" t="s">
        <v>270</v>
      </c>
      <c r="D22" s="478"/>
      <c r="E22" s="479">
        <v>0.9</v>
      </c>
      <c r="F22" s="477" t="s">
        <v>2481</v>
      </c>
      <c r="G22" s="477"/>
    </row>
    <row r="23" spans="1:13" ht="19.5" customHeight="1">
      <c r="A23" s="3547"/>
      <c r="B23" s="3553"/>
      <c r="C23" s="478" t="s">
        <v>281</v>
      </c>
      <c r="D23" s="478"/>
      <c r="E23" s="479">
        <v>0.9</v>
      </c>
      <c r="F23" s="477" t="s">
        <v>2482</v>
      </c>
      <c r="G23" s="477"/>
    </row>
    <row r="24" spans="1:13" ht="19.5" customHeight="1">
      <c r="A24" s="3547"/>
      <c r="B24" s="3553"/>
      <c r="C24" s="478" t="s">
        <v>290</v>
      </c>
      <c r="D24" s="478"/>
      <c r="E24" s="479">
        <v>0.8</v>
      </c>
      <c r="F24" s="477" t="s">
        <v>2483</v>
      </c>
      <c r="G24" s="477"/>
    </row>
    <row r="25" spans="1:13" ht="19.5" customHeight="1">
      <c r="A25" s="3547"/>
      <c r="B25" s="3553"/>
      <c r="C25" s="478" t="s">
        <v>298</v>
      </c>
      <c r="D25" s="478"/>
      <c r="E25" s="479">
        <v>0.8</v>
      </c>
      <c r="F25" s="477"/>
      <c r="G25" s="477"/>
    </row>
    <row r="26" spans="1:13" ht="19.5" customHeight="1">
      <c r="A26" s="3547"/>
      <c r="B26" s="3553"/>
      <c r="C26" s="478" t="s">
        <v>306</v>
      </c>
      <c r="D26" s="478"/>
      <c r="E26" s="479">
        <v>0.43</v>
      </c>
      <c r="F26" s="477"/>
      <c r="G26" s="477"/>
    </row>
    <row r="27" spans="1:13" ht="19.5" customHeight="1">
      <c r="A27" s="3548"/>
      <c r="B27" s="3554"/>
      <c r="C27" s="480" t="s">
        <v>313</v>
      </c>
      <c r="D27" s="480"/>
      <c r="E27" s="481">
        <f>E26*0.9</f>
        <v>0.38700000000000001</v>
      </c>
      <c r="F27" s="477" t="s">
        <v>2484</v>
      </c>
      <c r="G27" s="477"/>
    </row>
    <row r="28" spans="1:13" ht="19.5" customHeight="1">
      <c r="A28" s="482" t="s">
        <v>230</v>
      </c>
      <c r="B28" s="483" t="s">
        <v>2478</v>
      </c>
      <c r="C28" s="484" t="s">
        <v>245</v>
      </c>
      <c r="D28" s="485"/>
      <c r="E28" s="486">
        <v>1</v>
      </c>
      <c r="F28" s="477" t="s">
        <v>2485</v>
      </c>
      <c r="G28" s="477"/>
    </row>
    <row r="29" spans="1:13" ht="19.5" customHeight="1">
      <c r="A29" s="3549" t="s">
        <v>231</v>
      </c>
      <c r="B29" s="3555" t="s">
        <v>231</v>
      </c>
      <c r="C29" s="487" t="s">
        <v>246</v>
      </c>
      <c r="D29" s="488"/>
      <c r="E29" s="476">
        <v>1</v>
      </c>
      <c r="F29" s="477" t="s">
        <v>2486</v>
      </c>
      <c r="G29" s="477"/>
    </row>
    <row r="30" spans="1:13" ht="19.5" customHeight="1">
      <c r="A30" s="3550"/>
      <c r="B30" s="3556"/>
      <c r="C30" s="489" t="s">
        <v>260</v>
      </c>
      <c r="D30" s="490"/>
      <c r="E30" s="479">
        <v>1</v>
      </c>
      <c r="F30" s="477" t="s">
        <v>2487</v>
      </c>
      <c r="G30" s="477"/>
    </row>
    <row r="31" spans="1:13" ht="19.5" customHeight="1">
      <c r="A31" s="3550"/>
      <c r="B31" s="3556"/>
      <c r="C31" s="489" t="s">
        <v>271</v>
      </c>
      <c r="D31" s="490"/>
      <c r="E31" s="479">
        <v>0.8</v>
      </c>
      <c r="F31" s="477" t="s">
        <v>2488</v>
      </c>
      <c r="G31" s="477"/>
    </row>
    <row r="32" spans="1:13" ht="19.5" customHeight="1">
      <c r="A32" s="3550"/>
      <c r="B32" s="3556"/>
      <c r="C32" s="489" t="s">
        <v>282</v>
      </c>
      <c r="D32" s="490"/>
      <c r="E32" s="479">
        <v>0.8</v>
      </c>
      <c r="F32" s="477" t="s">
        <v>2489</v>
      </c>
      <c r="G32" s="477"/>
    </row>
    <row r="33" spans="1:7" ht="19.5" customHeight="1">
      <c r="A33" s="3550"/>
      <c r="B33" s="3556"/>
      <c r="C33" s="489" t="s">
        <v>291</v>
      </c>
      <c r="D33" s="490"/>
      <c r="E33" s="479">
        <v>0.8</v>
      </c>
      <c r="F33" s="477" t="s">
        <v>2490</v>
      </c>
      <c r="G33" s="477"/>
    </row>
    <row r="34" spans="1:7" ht="19.5" customHeight="1">
      <c r="A34" s="3550"/>
      <c r="B34" s="3556"/>
      <c r="C34" s="489" t="s">
        <v>299</v>
      </c>
      <c r="D34" s="490"/>
      <c r="E34" s="479">
        <v>0.7</v>
      </c>
      <c r="F34" s="477" t="s">
        <v>2491</v>
      </c>
      <c r="G34" s="477"/>
    </row>
    <row r="35" spans="1:7" ht="19.5" customHeight="1">
      <c r="A35" s="3550"/>
      <c r="B35" s="3556"/>
      <c r="C35" s="489" t="s">
        <v>307</v>
      </c>
      <c r="D35" s="490"/>
      <c r="E35" s="479">
        <v>0.8</v>
      </c>
      <c r="F35" s="477" t="s">
        <v>2492</v>
      </c>
      <c r="G35" s="477"/>
    </row>
    <row r="36" spans="1:7" ht="19.5" customHeight="1">
      <c r="A36" s="3550"/>
      <c r="B36" s="3556"/>
      <c r="C36" s="489" t="s">
        <v>314</v>
      </c>
      <c r="D36" s="490"/>
      <c r="E36" s="479">
        <v>0.6</v>
      </c>
      <c r="F36" s="477" t="s">
        <v>2493</v>
      </c>
      <c r="G36" s="477"/>
    </row>
    <row r="37" spans="1:7" ht="19.5" customHeight="1">
      <c r="A37" s="3550"/>
      <c r="B37" s="3556"/>
      <c r="C37" s="489" t="s">
        <v>320</v>
      </c>
      <c r="D37" s="490"/>
      <c r="E37" s="479">
        <v>0.2</v>
      </c>
      <c r="F37" s="477" t="s">
        <v>2494</v>
      </c>
      <c r="G37" s="477"/>
    </row>
    <row r="38" spans="1:7" ht="19.5" customHeight="1">
      <c r="A38" s="3550"/>
      <c r="B38" s="3556"/>
      <c r="C38" s="489" t="s">
        <v>326</v>
      </c>
      <c r="D38" s="490"/>
      <c r="E38" s="479">
        <v>0.2</v>
      </c>
      <c r="F38" s="477" t="s">
        <v>2495</v>
      </c>
      <c r="G38" s="477"/>
    </row>
    <row r="39" spans="1:7" ht="19.5" customHeight="1">
      <c r="A39" s="3550"/>
      <c r="B39" s="3557" t="s">
        <v>2496</v>
      </c>
      <c r="C39" s="489" t="s">
        <v>332</v>
      </c>
      <c r="D39" s="490"/>
      <c r="E39" s="479">
        <v>0.6</v>
      </c>
      <c r="F39" s="477" t="s">
        <v>2497</v>
      </c>
      <c r="G39" s="477"/>
    </row>
    <row r="40" spans="1:7" ht="19.5" customHeight="1">
      <c r="A40" s="3550"/>
      <c r="B40" s="3556"/>
      <c r="C40" s="489" t="s">
        <v>338</v>
      </c>
      <c r="D40" s="490"/>
      <c r="E40" s="479">
        <v>0.6</v>
      </c>
      <c r="F40" s="477" t="s">
        <v>2498</v>
      </c>
      <c r="G40" s="477"/>
    </row>
    <row r="41" spans="1:7" ht="19.5" customHeight="1">
      <c r="A41" s="3551"/>
      <c r="B41" s="3558"/>
      <c r="C41" s="491" t="s">
        <v>342</v>
      </c>
      <c r="D41" s="492"/>
      <c r="E41" s="481">
        <v>0.6</v>
      </c>
      <c r="F41" s="477" t="s">
        <v>2499</v>
      </c>
      <c r="G41" s="477"/>
    </row>
    <row r="42" spans="1:7" ht="19.5" customHeight="1">
      <c r="A42" s="493" t="s">
        <v>232</v>
      </c>
      <c r="B42" s="494" t="s">
        <v>232</v>
      </c>
      <c r="C42" s="495" t="s">
        <v>247</v>
      </c>
      <c r="D42" s="496"/>
      <c r="E42" s="497">
        <v>1</v>
      </c>
      <c r="F42" s="477" t="s">
        <v>2500</v>
      </c>
      <c r="G42" s="477"/>
    </row>
    <row r="43" spans="1:7" ht="19.5" customHeight="1">
      <c r="A43" s="3546" t="s">
        <v>233</v>
      </c>
      <c r="B43" s="3555" t="s">
        <v>2501</v>
      </c>
      <c r="C43" s="487" t="s">
        <v>248</v>
      </c>
      <c r="D43" s="488"/>
      <c r="E43" s="476">
        <v>1</v>
      </c>
      <c r="F43" s="477" t="s">
        <v>2502</v>
      </c>
      <c r="G43" s="477"/>
    </row>
    <row r="44" spans="1:7" ht="19.5" customHeight="1">
      <c r="A44" s="3547"/>
      <c r="B44" s="3556"/>
      <c r="C44" s="489" t="s">
        <v>261</v>
      </c>
      <c r="D44" s="490"/>
      <c r="E44" s="479">
        <v>1</v>
      </c>
      <c r="F44" s="477" t="s">
        <v>2503</v>
      </c>
      <c r="G44" s="477"/>
    </row>
    <row r="45" spans="1:7" ht="19.5" customHeight="1">
      <c r="A45" s="3547"/>
      <c r="B45" s="3559"/>
      <c r="C45" s="489" t="s">
        <v>272</v>
      </c>
      <c r="D45" s="490"/>
      <c r="E45" s="479">
        <v>1.5</v>
      </c>
      <c r="F45" s="477" t="s">
        <v>2504</v>
      </c>
      <c r="G45" s="477"/>
    </row>
    <row r="46" spans="1:7" ht="19.5" customHeight="1">
      <c r="A46" s="3547"/>
      <c r="B46" s="478" t="s">
        <v>231</v>
      </c>
      <c r="C46" s="489" t="s">
        <v>283</v>
      </c>
      <c r="D46" s="490"/>
      <c r="E46" s="479">
        <v>2</v>
      </c>
      <c r="F46" s="477" t="s">
        <v>2505</v>
      </c>
      <c r="G46" s="477"/>
    </row>
    <row r="47" spans="1:7" ht="19.5" customHeight="1">
      <c r="A47" s="3547"/>
      <c r="B47" s="3557" t="s">
        <v>2506</v>
      </c>
      <c r="C47" s="489" t="s">
        <v>292</v>
      </c>
      <c r="D47" s="490"/>
      <c r="E47" s="479">
        <v>1</v>
      </c>
      <c r="F47" s="477" t="s">
        <v>2507</v>
      </c>
      <c r="G47" s="477"/>
    </row>
    <row r="48" spans="1:7" ht="19.5" customHeight="1">
      <c r="A48" s="3547"/>
      <c r="B48" s="3556"/>
      <c r="C48" s="489" t="s">
        <v>300</v>
      </c>
      <c r="D48" s="490"/>
      <c r="E48" s="479">
        <v>1</v>
      </c>
      <c r="F48" s="477" t="s">
        <v>2508</v>
      </c>
      <c r="G48" s="477"/>
    </row>
    <row r="49" spans="1:7" ht="19.5" customHeight="1">
      <c r="A49" s="3547"/>
      <c r="B49" s="3556"/>
      <c r="C49" s="489" t="s">
        <v>308</v>
      </c>
      <c r="D49" s="490"/>
      <c r="E49" s="479">
        <v>1</v>
      </c>
      <c r="F49" s="477" t="s">
        <v>2509</v>
      </c>
      <c r="G49" s="477"/>
    </row>
    <row r="50" spans="1:7" ht="19.5" customHeight="1">
      <c r="A50" s="3547"/>
      <c r="B50" s="3556"/>
      <c r="C50" s="489" t="s">
        <v>315</v>
      </c>
      <c r="D50" s="490"/>
      <c r="E50" s="479">
        <v>1</v>
      </c>
      <c r="F50" s="477" t="s">
        <v>2510</v>
      </c>
      <c r="G50" s="477"/>
    </row>
    <row r="51" spans="1:7" ht="19.5" customHeight="1">
      <c r="A51" s="3547"/>
      <c r="B51" s="3556"/>
      <c r="C51" s="489" t="s">
        <v>321</v>
      </c>
      <c r="D51" s="490"/>
      <c r="E51" s="479">
        <v>1</v>
      </c>
      <c r="F51" s="477" t="s">
        <v>2511</v>
      </c>
      <c r="G51" s="477"/>
    </row>
    <row r="52" spans="1:7" ht="19.5" customHeight="1">
      <c r="A52" s="3547"/>
      <c r="B52" s="3556"/>
      <c r="C52" s="489" t="s">
        <v>327</v>
      </c>
      <c r="D52" s="490"/>
      <c r="E52" s="479">
        <v>1</v>
      </c>
      <c r="F52" s="477" t="s">
        <v>2512</v>
      </c>
      <c r="G52" s="477"/>
    </row>
    <row r="53" spans="1:7" ht="19.5" customHeight="1">
      <c r="A53" s="3548"/>
      <c r="B53" s="3558"/>
      <c r="C53" s="491" t="s">
        <v>333</v>
      </c>
      <c r="D53" s="492"/>
      <c r="E53" s="481">
        <v>1</v>
      </c>
      <c r="F53" s="477" t="s">
        <v>2513</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2514</v>
      </c>
      <c r="G56" s="468" t="s">
        <v>468</v>
      </c>
    </row>
    <row r="57" spans="1:7" ht="19.5" customHeight="1">
      <c r="A57" s="501"/>
      <c r="B57" s="468" t="s">
        <v>229</v>
      </c>
      <c r="C57" s="468" t="s">
        <v>229</v>
      </c>
      <c r="D57" s="468" t="s">
        <v>229</v>
      </c>
      <c r="E57" s="465" t="s">
        <v>230</v>
      </c>
      <c r="F57" s="465" t="s">
        <v>233</v>
      </c>
      <c r="G57" s="465" t="s">
        <v>585</v>
      </c>
    </row>
    <row r="58" spans="1:7" ht="19.5" customHeight="1">
      <c r="A58" s="502"/>
      <c r="B58" s="465">
        <v>1</v>
      </c>
      <c r="C58" s="465">
        <v>2</v>
      </c>
      <c r="D58" s="465">
        <v>3</v>
      </c>
      <c r="E58" s="503" t="s">
        <v>2515</v>
      </c>
      <c r="F58" s="503" t="s">
        <v>2515</v>
      </c>
      <c r="G58" s="503" t="s">
        <v>2515</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2516</v>
      </c>
      <c r="E72" s="504"/>
      <c r="F72" s="504"/>
    </row>
    <row r="73" spans="1:7" ht="19.5" customHeight="1">
      <c r="A73" s="478" t="s">
        <v>577</v>
      </c>
      <c r="B73" s="478" t="s">
        <v>1243</v>
      </c>
      <c r="C73" s="478" t="s">
        <v>2517</v>
      </c>
      <c r="D73" s="478" t="s">
        <v>2518</v>
      </c>
      <c r="E73" s="478" t="s">
        <v>2519</v>
      </c>
      <c r="F73" s="478" t="s">
        <v>2520</v>
      </c>
    </row>
    <row r="74" spans="1:7" ht="14.4">
      <c r="A74" s="478"/>
      <c r="B74" s="478"/>
      <c r="C74" s="478" t="s">
        <v>2521</v>
      </c>
      <c r="D74" s="478"/>
      <c r="E74" s="478" t="s">
        <v>124</v>
      </c>
      <c r="F74" s="478" t="s">
        <v>124</v>
      </c>
    </row>
    <row r="75" spans="1:7" ht="14.4">
      <c r="A75" s="478">
        <v>1</v>
      </c>
      <c r="B75" s="3557" t="s">
        <v>2522</v>
      </c>
      <c r="C75" s="465" t="s">
        <v>2523</v>
      </c>
      <c r="D75" s="465" t="s">
        <v>2524</v>
      </c>
      <c r="E75" s="478">
        <v>0.2</v>
      </c>
      <c r="F75" s="478">
        <v>25</v>
      </c>
    </row>
    <row r="76" spans="1:7" ht="24">
      <c r="A76" s="478">
        <v>2</v>
      </c>
      <c r="B76" s="3556"/>
      <c r="C76" s="465" t="s">
        <v>2525</v>
      </c>
      <c r="D76" s="465" t="s">
        <v>2526</v>
      </c>
      <c r="E76" s="478">
        <v>0.2</v>
      </c>
      <c r="F76" s="478">
        <v>25</v>
      </c>
    </row>
    <row r="77" spans="1:7" ht="24">
      <c r="A77" s="478">
        <v>3</v>
      </c>
      <c r="B77" s="3556"/>
      <c r="C77" s="465" t="s">
        <v>2527</v>
      </c>
      <c r="D77" s="465" t="s">
        <v>2528</v>
      </c>
      <c r="E77" s="478">
        <v>0.2</v>
      </c>
      <c r="F77" s="478">
        <v>25</v>
      </c>
    </row>
    <row r="78" spans="1:7" ht="14.4">
      <c r="A78" s="478">
        <v>4</v>
      </c>
      <c r="B78" s="3556"/>
      <c r="C78" s="465" t="s">
        <v>2529</v>
      </c>
      <c r="D78" s="465" t="s">
        <v>2530</v>
      </c>
      <c r="E78" s="478">
        <v>0.15</v>
      </c>
      <c r="F78" s="478">
        <v>20</v>
      </c>
    </row>
    <row r="79" spans="1:7" ht="24">
      <c r="A79" s="478">
        <v>5</v>
      </c>
      <c r="B79" s="3556"/>
      <c r="C79" s="465" t="s">
        <v>2531</v>
      </c>
      <c r="D79" s="465" t="s">
        <v>2532</v>
      </c>
      <c r="E79" s="478">
        <v>0.15</v>
      </c>
      <c r="F79" s="478">
        <v>20</v>
      </c>
    </row>
    <row r="80" spans="1:7" ht="24">
      <c r="A80" s="478">
        <v>6</v>
      </c>
      <c r="B80" s="3556"/>
      <c r="C80" s="465" t="s">
        <v>2533</v>
      </c>
      <c r="D80" s="465" t="s">
        <v>2534</v>
      </c>
      <c r="E80" s="478">
        <v>0.15</v>
      </c>
      <c r="F80" s="478">
        <v>20</v>
      </c>
    </row>
    <row r="81" spans="1:6" ht="24">
      <c r="A81" s="478">
        <v>7</v>
      </c>
      <c r="B81" s="3556"/>
      <c r="C81" s="465" t="s">
        <v>2535</v>
      </c>
      <c r="D81" s="465" t="s">
        <v>2536</v>
      </c>
      <c r="E81" s="478">
        <v>0.15</v>
      </c>
      <c r="F81" s="478">
        <v>20</v>
      </c>
    </row>
    <row r="82" spans="1:6" ht="24">
      <c r="A82" s="478">
        <v>8</v>
      </c>
      <c r="B82" s="3556"/>
      <c r="C82" s="465" t="s">
        <v>2537</v>
      </c>
      <c r="D82" s="465" t="s">
        <v>2538</v>
      </c>
      <c r="E82" s="478">
        <v>0.1</v>
      </c>
      <c r="F82" s="478">
        <v>15</v>
      </c>
    </row>
    <row r="83" spans="1:6" ht="24">
      <c r="A83" s="478">
        <v>9</v>
      </c>
      <c r="B83" s="3556"/>
      <c r="C83" s="465" t="s">
        <v>2539</v>
      </c>
      <c r="D83" s="465" t="s">
        <v>2540</v>
      </c>
      <c r="E83" s="478">
        <v>0.1</v>
      </c>
      <c r="F83" s="478">
        <v>15</v>
      </c>
    </row>
    <row r="84" spans="1:6" ht="24">
      <c r="A84" s="478">
        <v>10</v>
      </c>
      <c r="B84" s="3556"/>
      <c r="C84" s="465" t="s">
        <v>2541</v>
      </c>
      <c r="D84" s="465" t="s">
        <v>2542</v>
      </c>
      <c r="E84" s="478">
        <v>0.1</v>
      </c>
      <c r="F84" s="478">
        <v>15</v>
      </c>
    </row>
    <row r="85" spans="1:6" ht="24">
      <c r="A85" s="478">
        <v>11</v>
      </c>
      <c r="B85" s="3556"/>
      <c r="C85" s="465" t="s">
        <v>2543</v>
      </c>
      <c r="D85" s="465" t="s">
        <v>2544</v>
      </c>
      <c r="E85" s="478">
        <v>0.1</v>
      </c>
      <c r="F85" s="478">
        <v>15</v>
      </c>
    </row>
    <row r="86" spans="1:6" ht="24">
      <c r="A86" s="478">
        <v>12</v>
      </c>
      <c r="B86" s="3556"/>
      <c r="C86" s="465" t="s">
        <v>2545</v>
      </c>
      <c r="D86" s="465" t="s">
        <v>2546</v>
      </c>
      <c r="E86" s="478">
        <v>0.1</v>
      </c>
      <c r="F86" s="478">
        <v>15</v>
      </c>
    </row>
    <row r="87" spans="1:6" ht="24">
      <c r="A87" s="478">
        <v>13</v>
      </c>
      <c r="B87" s="3556"/>
      <c r="C87" s="465" t="s">
        <v>2547</v>
      </c>
      <c r="D87" s="465" t="s">
        <v>2548</v>
      </c>
      <c r="E87" s="478">
        <v>0.1</v>
      </c>
      <c r="F87" s="478">
        <v>15</v>
      </c>
    </row>
    <row r="88" spans="1:6" ht="24">
      <c r="A88" s="478">
        <v>14</v>
      </c>
      <c r="B88" s="3556"/>
      <c r="C88" s="465" t="s">
        <v>2549</v>
      </c>
      <c r="D88" s="465" t="s">
        <v>2550</v>
      </c>
      <c r="E88" s="478">
        <v>0.1</v>
      </c>
      <c r="F88" s="478">
        <v>15</v>
      </c>
    </row>
    <row r="89" spans="1:6" ht="24">
      <c r="A89" s="478">
        <v>15</v>
      </c>
      <c r="B89" s="3556"/>
      <c r="C89" s="465" t="s">
        <v>2551</v>
      </c>
      <c r="D89" s="465" t="s">
        <v>2552</v>
      </c>
      <c r="E89" s="478">
        <v>0.1</v>
      </c>
      <c r="F89" s="478">
        <v>15</v>
      </c>
    </row>
    <row r="90" spans="1:6" ht="24">
      <c r="A90" s="478">
        <v>16</v>
      </c>
      <c r="B90" s="3556"/>
      <c r="C90" s="465" t="s">
        <v>2553</v>
      </c>
      <c r="D90" s="465" t="s">
        <v>2554</v>
      </c>
      <c r="E90" s="478">
        <v>0.1</v>
      </c>
      <c r="F90" s="478">
        <v>15</v>
      </c>
    </row>
    <row r="91" spans="1:6" ht="24">
      <c r="A91" s="478">
        <v>17</v>
      </c>
      <c r="B91" s="3559"/>
      <c r="C91" s="465" t="s">
        <v>2555</v>
      </c>
      <c r="D91" s="465" t="s">
        <v>2556</v>
      </c>
      <c r="E91" s="478">
        <v>0.1</v>
      </c>
      <c r="F91" s="478">
        <v>15</v>
      </c>
    </row>
    <row r="92" spans="1:6" ht="14.4">
      <c r="A92" s="478">
        <v>18</v>
      </c>
      <c r="B92" s="3557" t="s">
        <v>2557</v>
      </c>
      <c r="C92" s="465" t="s">
        <v>2558</v>
      </c>
      <c r="D92" s="465" t="s">
        <v>2559</v>
      </c>
      <c r="E92" s="478">
        <v>0.2</v>
      </c>
      <c r="F92" s="478">
        <v>25</v>
      </c>
    </row>
    <row r="93" spans="1:6" ht="24">
      <c r="A93" s="478">
        <v>19</v>
      </c>
      <c r="B93" s="3556"/>
      <c r="C93" s="465" t="s">
        <v>2560</v>
      </c>
      <c r="D93" s="465" t="s">
        <v>2561</v>
      </c>
      <c r="E93" s="478">
        <v>0.2</v>
      </c>
      <c r="F93" s="478">
        <v>25</v>
      </c>
    </row>
    <row r="94" spans="1:6" ht="14.4">
      <c r="A94" s="478">
        <v>20</v>
      </c>
      <c r="B94" s="3556"/>
      <c r="C94" s="465" t="s">
        <v>2562</v>
      </c>
      <c r="D94" s="465" t="s">
        <v>2563</v>
      </c>
      <c r="E94" s="478">
        <v>0.15</v>
      </c>
      <c r="F94" s="478">
        <v>20</v>
      </c>
    </row>
    <row r="95" spans="1:6" ht="24">
      <c r="A95" s="478">
        <v>21</v>
      </c>
      <c r="B95" s="3556"/>
      <c r="C95" s="465" t="s">
        <v>2564</v>
      </c>
      <c r="D95" s="465" t="s">
        <v>2565</v>
      </c>
      <c r="E95" s="478">
        <v>0.15</v>
      </c>
      <c r="F95" s="478">
        <v>20</v>
      </c>
    </row>
    <row r="96" spans="1:6" ht="24">
      <c r="A96" s="478">
        <v>22</v>
      </c>
      <c r="B96" s="3556"/>
      <c r="C96" s="465" t="s">
        <v>2566</v>
      </c>
      <c r="D96" s="465" t="s">
        <v>2567</v>
      </c>
      <c r="E96" s="478">
        <v>0.15</v>
      </c>
      <c r="F96" s="478">
        <v>20</v>
      </c>
    </row>
    <row r="97" spans="1:6" ht="36">
      <c r="A97" s="478">
        <v>23</v>
      </c>
      <c r="B97" s="3556"/>
      <c r="C97" s="465" t="s">
        <v>2568</v>
      </c>
      <c r="D97" s="465" t="s">
        <v>2569</v>
      </c>
      <c r="E97" s="478">
        <v>0.15</v>
      </c>
      <c r="F97" s="478">
        <v>20</v>
      </c>
    </row>
    <row r="98" spans="1:6" ht="24">
      <c r="A98" s="478">
        <v>24</v>
      </c>
      <c r="B98" s="3556"/>
      <c r="C98" s="465" t="s">
        <v>2570</v>
      </c>
      <c r="D98" s="465" t="s">
        <v>2571</v>
      </c>
      <c r="E98" s="478">
        <v>0.1</v>
      </c>
      <c r="F98" s="478">
        <v>15</v>
      </c>
    </row>
    <row r="99" spans="1:6" ht="24">
      <c r="A99" s="478">
        <v>25</v>
      </c>
      <c r="B99" s="3556"/>
      <c r="C99" s="465" t="s">
        <v>2572</v>
      </c>
      <c r="D99" s="465" t="s">
        <v>2573</v>
      </c>
      <c r="E99" s="478">
        <v>0.1</v>
      </c>
      <c r="F99" s="478">
        <v>15</v>
      </c>
    </row>
    <row r="100" spans="1:6" ht="24">
      <c r="A100" s="478">
        <v>26</v>
      </c>
      <c r="B100" s="3556"/>
      <c r="C100" s="465" t="s">
        <v>2574</v>
      </c>
      <c r="D100" s="465" t="s">
        <v>2575</v>
      </c>
      <c r="E100" s="478">
        <v>0.1</v>
      </c>
      <c r="F100" s="478">
        <v>15</v>
      </c>
    </row>
    <row r="101" spans="1:6" ht="24">
      <c r="A101" s="478">
        <v>27</v>
      </c>
      <c r="B101" s="3556"/>
      <c r="C101" s="465" t="s">
        <v>2576</v>
      </c>
      <c r="D101" s="465" t="s">
        <v>2577</v>
      </c>
      <c r="E101" s="478">
        <v>0.1</v>
      </c>
      <c r="F101" s="478">
        <v>15</v>
      </c>
    </row>
    <row r="102" spans="1:6" ht="24">
      <c r="A102" s="478">
        <v>28</v>
      </c>
      <c r="B102" s="3556"/>
      <c r="C102" s="465" t="s">
        <v>2578</v>
      </c>
      <c r="D102" s="465" t="s">
        <v>2579</v>
      </c>
      <c r="E102" s="478">
        <v>0.1</v>
      </c>
      <c r="F102" s="478">
        <v>15</v>
      </c>
    </row>
    <row r="103" spans="1:6" ht="24">
      <c r="A103" s="478">
        <v>29</v>
      </c>
      <c r="B103" s="3556"/>
      <c r="C103" s="465" t="s">
        <v>2580</v>
      </c>
      <c r="D103" s="465" t="s">
        <v>2581</v>
      </c>
      <c r="E103" s="478">
        <v>0.1</v>
      </c>
      <c r="F103" s="478">
        <v>15</v>
      </c>
    </row>
    <row r="104" spans="1:6" ht="24">
      <c r="A104" s="478">
        <v>30</v>
      </c>
      <c r="B104" s="3556"/>
      <c r="C104" s="465" t="s">
        <v>2582</v>
      </c>
      <c r="D104" s="465" t="s">
        <v>2583</v>
      </c>
      <c r="E104" s="478">
        <v>0.1</v>
      </c>
      <c r="F104" s="478">
        <v>15</v>
      </c>
    </row>
    <row r="105" spans="1:6" ht="24">
      <c r="A105" s="478">
        <v>31</v>
      </c>
      <c r="B105" s="3556"/>
      <c r="C105" s="465" t="s">
        <v>2584</v>
      </c>
      <c r="D105" s="465" t="s">
        <v>2585</v>
      </c>
      <c r="E105" s="478">
        <v>0.1</v>
      </c>
      <c r="F105" s="478">
        <v>15</v>
      </c>
    </row>
    <row r="106" spans="1:6" ht="24">
      <c r="A106" s="478">
        <v>32</v>
      </c>
      <c r="B106" s="3556"/>
      <c r="C106" s="465" t="s">
        <v>2586</v>
      </c>
      <c r="D106" s="465" t="s">
        <v>2587</v>
      </c>
      <c r="E106" s="478">
        <v>0.1</v>
      </c>
      <c r="F106" s="478">
        <v>15</v>
      </c>
    </row>
    <row r="107" spans="1:6" ht="24">
      <c r="A107" s="478">
        <v>33</v>
      </c>
      <c r="B107" s="3556"/>
      <c r="C107" s="465" t="s">
        <v>2588</v>
      </c>
      <c r="D107" s="465" t="s">
        <v>2589</v>
      </c>
      <c r="E107" s="478">
        <v>0.1</v>
      </c>
      <c r="F107" s="478">
        <v>15</v>
      </c>
    </row>
    <row r="108" spans="1:6" ht="24">
      <c r="A108" s="478">
        <v>34</v>
      </c>
      <c r="B108" s="3559"/>
      <c r="C108" s="465" t="s">
        <v>2590</v>
      </c>
      <c r="D108" s="465" t="s">
        <v>2591</v>
      </c>
      <c r="E108" s="478">
        <v>0.1</v>
      </c>
      <c r="F108" s="478">
        <v>15</v>
      </c>
    </row>
    <row r="109" spans="1:6" ht="36">
      <c r="A109" s="478">
        <v>35</v>
      </c>
      <c r="B109" s="3557" t="s">
        <v>2592</v>
      </c>
      <c r="C109" s="478" t="s">
        <v>2593</v>
      </c>
      <c r="D109" s="465" t="s">
        <v>2594</v>
      </c>
      <c r="E109" s="478">
        <v>0.15</v>
      </c>
      <c r="F109" s="478">
        <v>20</v>
      </c>
    </row>
    <row r="110" spans="1:6" ht="24">
      <c r="A110" s="478">
        <v>36</v>
      </c>
      <c r="B110" s="3556"/>
      <c r="C110" s="478" t="s">
        <v>2595</v>
      </c>
      <c r="D110" s="465" t="s">
        <v>2596</v>
      </c>
      <c r="E110" s="478">
        <v>0.15</v>
      </c>
      <c r="F110" s="478">
        <v>20</v>
      </c>
    </row>
    <row r="111" spans="1:6" ht="24">
      <c r="A111" s="478">
        <v>37</v>
      </c>
      <c r="B111" s="3556"/>
      <c r="C111" s="478" t="s">
        <v>2597</v>
      </c>
      <c r="D111" s="465" t="s">
        <v>2598</v>
      </c>
      <c r="E111" s="478">
        <v>0.15</v>
      </c>
      <c r="F111" s="478">
        <v>20</v>
      </c>
    </row>
    <row r="112" spans="1:6" ht="24">
      <c r="A112" s="478">
        <v>38</v>
      </c>
      <c r="B112" s="3556"/>
      <c r="C112" s="478" t="s">
        <v>2599</v>
      </c>
      <c r="D112" s="465" t="s">
        <v>2600</v>
      </c>
      <c r="E112" s="478">
        <v>0.1</v>
      </c>
      <c r="F112" s="478">
        <v>15</v>
      </c>
    </row>
    <row r="113" spans="1:6" ht="24">
      <c r="A113" s="478">
        <v>39</v>
      </c>
      <c r="B113" s="3556"/>
      <c r="C113" s="478" t="s">
        <v>2601</v>
      </c>
      <c r="D113" s="465" t="s">
        <v>2602</v>
      </c>
      <c r="E113" s="478">
        <v>0.1</v>
      </c>
      <c r="F113" s="478">
        <v>15</v>
      </c>
    </row>
    <row r="114" spans="1:6" ht="24">
      <c r="A114" s="478">
        <v>40</v>
      </c>
      <c r="B114" s="3559"/>
      <c r="C114" s="478" t="s">
        <v>2603</v>
      </c>
      <c r="D114" s="465" t="s">
        <v>2604</v>
      </c>
      <c r="E114" s="478">
        <v>0.1</v>
      </c>
      <c r="F114" s="478">
        <v>15</v>
      </c>
    </row>
    <row r="115" spans="1:6" ht="24">
      <c r="A115" s="478">
        <v>41</v>
      </c>
      <c r="B115" s="3553" t="s">
        <v>2605</v>
      </c>
      <c r="C115" s="478" t="s">
        <v>2606</v>
      </c>
      <c r="D115" s="465" t="s">
        <v>2607</v>
      </c>
      <c r="E115" s="478">
        <v>0.1</v>
      </c>
      <c r="F115" s="478">
        <v>15</v>
      </c>
    </row>
    <row r="116" spans="1:6" ht="24">
      <c r="A116" s="478">
        <v>42</v>
      </c>
      <c r="B116" s="3553"/>
      <c r="C116" s="478" t="s">
        <v>2608</v>
      </c>
      <c r="D116" s="465" t="s">
        <v>2609</v>
      </c>
      <c r="E116" s="478">
        <v>0.1</v>
      </c>
      <c r="F116" s="478">
        <v>15</v>
      </c>
    </row>
    <row r="117" spans="1:6" ht="24">
      <c r="A117" s="478">
        <v>43</v>
      </c>
      <c r="B117" s="3553"/>
      <c r="C117" s="478" t="s">
        <v>2610</v>
      </c>
      <c r="D117" s="465" t="s">
        <v>2611</v>
      </c>
      <c r="E117" s="478">
        <v>0.1</v>
      </c>
      <c r="F117" s="478">
        <v>15</v>
      </c>
    </row>
    <row r="118" spans="1:6" ht="24">
      <c r="A118" s="478">
        <v>44</v>
      </c>
      <c r="B118" s="3557" t="s">
        <v>1498</v>
      </c>
      <c r="C118" s="478" t="s">
        <v>2612</v>
      </c>
      <c r="D118" s="465" t="s">
        <v>2613</v>
      </c>
      <c r="E118" s="478">
        <v>0.1</v>
      </c>
      <c r="F118" s="478">
        <v>15</v>
      </c>
    </row>
    <row r="119" spans="1:6" ht="24">
      <c r="A119" s="478">
        <v>45</v>
      </c>
      <c r="B119" s="3559"/>
      <c r="C119" s="465" t="s">
        <v>2614</v>
      </c>
      <c r="D119" s="465" t="s">
        <v>2615</v>
      </c>
      <c r="E119" s="478">
        <v>0.1</v>
      </c>
      <c r="F119" s="478">
        <v>15</v>
      </c>
    </row>
    <row r="120" spans="1:6" ht="24">
      <c r="A120" s="478">
        <v>46</v>
      </c>
      <c r="B120" s="3557" t="s">
        <v>2616</v>
      </c>
      <c r="C120" s="478" t="s">
        <v>2617</v>
      </c>
      <c r="D120" s="465" t="s">
        <v>2618</v>
      </c>
      <c r="E120" s="478">
        <v>0.1</v>
      </c>
      <c r="F120" s="478">
        <v>15</v>
      </c>
    </row>
    <row r="121" spans="1:6" ht="24">
      <c r="A121" s="478">
        <v>47</v>
      </c>
      <c r="B121" s="3559"/>
      <c r="C121" s="478" t="s">
        <v>2619</v>
      </c>
      <c r="D121" s="465" t="s">
        <v>2620</v>
      </c>
      <c r="E121" s="478">
        <v>0.1</v>
      </c>
      <c r="F121" s="478">
        <v>15</v>
      </c>
    </row>
    <row r="122" spans="1:6" ht="24">
      <c r="A122" s="478">
        <v>48</v>
      </c>
      <c r="B122" s="3557" t="s">
        <v>2621</v>
      </c>
      <c r="C122" s="478" t="s">
        <v>2622</v>
      </c>
      <c r="D122" s="465" t="s">
        <v>2623</v>
      </c>
      <c r="E122" s="478">
        <v>0.1</v>
      </c>
      <c r="F122" s="478">
        <v>15</v>
      </c>
    </row>
    <row r="123" spans="1:6" ht="24">
      <c r="A123" s="478">
        <v>49</v>
      </c>
      <c r="B123" s="3559"/>
      <c r="C123" s="478" t="s">
        <v>2624</v>
      </c>
      <c r="D123" s="465" t="s">
        <v>2625</v>
      </c>
      <c r="E123" s="478">
        <v>0.1</v>
      </c>
      <c r="F123" s="478">
        <v>15</v>
      </c>
    </row>
    <row r="124" spans="1:6" ht="24">
      <c r="A124" s="478">
        <v>50</v>
      </c>
      <c r="B124" s="3553" t="s">
        <v>1554</v>
      </c>
      <c r="C124" s="478" t="s">
        <v>2626</v>
      </c>
      <c r="D124" s="465" t="s">
        <v>2627</v>
      </c>
      <c r="E124" s="478">
        <v>0.1</v>
      </c>
      <c r="F124" s="478">
        <v>15</v>
      </c>
    </row>
    <row r="125" spans="1:6" ht="24">
      <c r="A125" s="478">
        <v>51</v>
      </c>
      <c r="B125" s="3553"/>
      <c r="C125" s="478" t="s">
        <v>2628</v>
      </c>
      <c r="D125" s="465" t="s">
        <v>2629</v>
      </c>
      <c r="E125" s="478">
        <v>0.1</v>
      </c>
      <c r="F125" s="478">
        <v>15</v>
      </c>
    </row>
    <row r="126" spans="1:6" ht="24">
      <c r="A126" s="478">
        <v>52</v>
      </c>
      <c r="B126" s="3553" t="s">
        <v>1332</v>
      </c>
      <c r="C126" s="478" t="s">
        <v>2630</v>
      </c>
      <c r="D126" s="465" t="s">
        <v>2631</v>
      </c>
      <c r="E126" s="478">
        <v>0.1</v>
      </c>
      <c r="F126" s="478">
        <v>15</v>
      </c>
    </row>
    <row r="127" spans="1:6" ht="24">
      <c r="A127" s="478">
        <v>53</v>
      </c>
      <c r="B127" s="3553"/>
      <c r="C127" s="478" t="s">
        <v>2632</v>
      </c>
      <c r="D127" s="465" t="s">
        <v>2633</v>
      </c>
      <c r="E127" s="478">
        <v>0.1</v>
      </c>
      <c r="F127" s="478">
        <v>15</v>
      </c>
    </row>
    <row r="128" spans="1:6" ht="24">
      <c r="A128" s="478">
        <v>54</v>
      </c>
      <c r="B128" s="478" t="s">
        <v>2634</v>
      </c>
      <c r="C128" s="478" t="s">
        <v>2635</v>
      </c>
      <c r="D128" s="465" t="s">
        <v>2636</v>
      </c>
      <c r="E128" s="478">
        <v>0.1</v>
      </c>
      <c r="F128" s="478">
        <v>15</v>
      </c>
    </row>
    <row r="129" spans="1:6" ht="24">
      <c r="A129" s="478">
        <v>55</v>
      </c>
      <c r="B129" s="3553" t="s">
        <v>2637</v>
      </c>
      <c r="C129" s="478" t="s">
        <v>2638</v>
      </c>
      <c r="D129" s="465" t="s">
        <v>2639</v>
      </c>
      <c r="E129" s="478">
        <v>0.1</v>
      </c>
      <c r="F129" s="478">
        <v>15</v>
      </c>
    </row>
    <row r="130" spans="1:6" ht="24">
      <c r="A130" s="478">
        <v>56</v>
      </c>
      <c r="B130" s="3553"/>
      <c r="C130" s="478" t="s">
        <v>2640</v>
      </c>
      <c r="D130" s="465" t="s">
        <v>2641</v>
      </c>
      <c r="E130" s="478">
        <v>0.1</v>
      </c>
      <c r="F130" s="478">
        <v>15</v>
      </c>
    </row>
    <row r="131" spans="1:6" ht="24">
      <c r="A131" s="478">
        <v>57</v>
      </c>
      <c r="B131" s="3553"/>
      <c r="C131" s="478" t="s">
        <v>2642</v>
      </c>
      <c r="D131" s="465" t="s">
        <v>2643</v>
      </c>
      <c r="E131" s="478">
        <v>0.1</v>
      </c>
      <c r="F131" s="478">
        <v>15</v>
      </c>
    </row>
    <row r="132" spans="1:6" ht="24">
      <c r="A132" s="478">
        <v>58</v>
      </c>
      <c r="B132" s="3553" t="s">
        <v>1308</v>
      </c>
      <c r="C132" s="478" t="s">
        <v>2644</v>
      </c>
      <c r="D132" s="465" t="s">
        <v>2645</v>
      </c>
      <c r="E132" s="478">
        <v>0.1</v>
      </c>
      <c r="F132" s="478">
        <v>15</v>
      </c>
    </row>
    <row r="133" spans="1:6" ht="24">
      <c r="A133" s="478">
        <v>59</v>
      </c>
      <c r="B133" s="3553"/>
      <c r="C133" s="478" t="s">
        <v>2646</v>
      </c>
      <c r="D133" s="465" t="s">
        <v>2647</v>
      </c>
      <c r="E133" s="478">
        <v>0.1</v>
      </c>
      <c r="F133" s="478">
        <v>15</v>
      </c>
    </row>
    <row r="134" spans="1:6" ht="24">
      <c r="A134" s="478">
        <v>60</v>
      </c>
      <c r="B134" s="3557" t="s">
        <v>2648</v>
      </c>
      <c r="C134" s="478" t="s">
        <v>2649</v>
      </c>
      <c r="D134" s="465" t="s">
        <v>2650</v>
      </c>
      <c r="E134" s="478">
        <v>0.1</v>
      </c>
      <c r="F134" s="478">
        <v>15</v>
      </c>
    </row>
    <row r="135" spans="1:6" ht="24">
      <c r="A135" s="478">
        <v>61</v>
      </c>
      <c r="B135" s="3559"/>
      <c r="C135" s="478" t="s">
        <v>2651</v>
      </c>
      <c r="D135" s="465" t="s">
        <v>2652</v>
      </c>
      <c r="E135" s="478">
        <v>0.1</v>
      </c>
      <c r="F135" s="478">
        <v>15</v>
      </c>
    </row>
    <row r="136" spans="1:6" ht="24">
      <c r="A136" s="478">
        <v>62</v>
      </c>
      <c r="B136" s="478" t="s">
        <v>2653</v>
      </c>
      <c r="C136" s="478" t="s">
        <v>2654</v>
      </c>
      <c r="D136" s="465" t="s">
        <v>2655</v>
      </c>
      <c r="E136" s="478">
        <v>0.1</v>
      </c>
      <c r="F136" s="478">
        <v>15</v>
      </c>
    </row>
    <row r="137" spans="1:6" ht="24">
      <c r="A137" s="478">
        <v>63</v>
      </c>
      <c r="B137" s="3553" t="s">
        <v>2656</v>
      </c>
      <c r="C137" s="478" t="s">
        <v>2657</v>
      </c>
      <c r="D137" s="465" t="s">
        <v>2658</v>
      </c>
      <c r="E137" s="478">
        <v>0.1</v>
      </c>
      <c r="F137" s="478">
        <v>15</v>
      </c>
    </row>
    <row r="138" spans="1:6" ht="24">
      <c r="A138" s="478">
        <v>64</v>
      </c>
      <c r="B138" s="3553"/>
      <c r="C138" s="478" t="s">
        <v>2659</v>
      </c>
      <c r="D138" s="465" t="s">
        <v>2660</v>
      </c>
      <c r="E138" s="478">
        <v>0.1</v>
      </c>
      <c r="F138" s="478">
        <v>15</v>
      </c>
    </row>
    <row r="139" spans="1:6" ht="24">
      <c r="A139" s="478">
        <v>65</v>
      </c>
      <c r="B139" s="478" t="s">
        <v>2661</v>
      </c>
      <c r="C139" s="478" t="s">
        <v>2662</v>
      </c>
      <c r="D139" s="465" t="s">
        <v>2663</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8" customWidth="1"/>
    <col min="2" max="2" width="37.21875" style="3188" customWidth="1"/>
    <col min="3" max="3" width="11.33203125" style="3188" customWidth="1"/>
    <col min="4" max="4" width="31.77734375" style="3188" customWidth="1"/>
    <col min="5" max="5" width="0.44140625" style="3188" customWidth="1"/>
    <col min="6" max="7" width="13" style="3188" customWidth="1"/>
    <col min="8" max="16384" width="9" style="3188"/>
  </cols>
  <sheetData>
    <row r="1" spans="1:5" ht="17.399999999999999">
      <c r="A1" s="3189" t="s">
        <v>94</v>
      </c>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7.399999999999999">
      <c r="A3" s="3239" t="str">
        <f>IF(项目基本情况!B9="房地产市场价值","估价结果一览表（市场价值不需“结果表-1”）","估价结果一览表")</f>
        <v>估价结果一览表</v>
      </c>
      <c r="B3" s="3239"/>
      <c r="C3" s="3239"/>
      <c r="D3" s="3239"/>
      <c r="E3" s="3239"/>
    </row>
    <row r="4" spans="1:5" ht="17.399999999999999">
      <c r="A4" s="3190"/>
      <c r="B4" s="3240" t="s">
        <v>95</v>
      </c>
      <c r="C4" s="3240"/>
      <c r="D4" s="3240"/>
      <c r="E4" s="3190"/>
    </row>
    <row r="5" spans="1:5" ht="15.6">
      <c r="B5" s="3241" t="s">
        <v>96</v>
      </c>
      <c r="C5" s="3191" t="s">
        <v>97</v>
      </c>
      <c r="D5" s="3192">
        <f ca="1">结果表!H101</f>
        <v>341568</v>
      </c>
    </row>
    <row r="6" spans="1:5" ht="31.2">
      <c r="B6" s="3241"/>
      <c r="C6" s="3191" t="s">
        <v>98</v>
      </c>
      <c r="D6" s="3192" t="str">
        <f ca="1">NUMBERSTRING(INT(D5*10000),2)&amp;"元整"</f>
        <v>叁拾肆亿壹仟伍佰陆拾捌万元整</v>
      </c>
    </row>
    <row r="7" spans="1:5" ht="15.6">
      <c r="B7" s="3242"/>
      <c r="C7" s="3193" t="s">
        <v>99</v>
      </c>
      <c r="D7" s="3194">
        <f ca="1">结果表!H102</f>
        <v>22136</v>
      </c>
    </row>
    <row r="8" spans="1:5" ht="15.6">
      <c r="B8" s="3243" t="str">
        <f>结果表!E103</f>
        <v>2.估价师知悉的法定优先受偿款</v>
      </c>
      <c r="C8" s="3195" t="s">
        <v>100</v>
      </c>
      <c r="D8" s="3194">
        <f>结果表!H103</f>
        <v>0</v>
      </c>
    </row>
    <row r="9" spans="1:5" ht="15.6">
      <c r="B9" s="3244"/>
      <c r="C9" s="3191" t="s">
        <v>98</v>
      </c>
      <c r="D9" s="3192" t="str">
        <f>NUMBERSTRING(INT(D8*10000),2)&amp;"元整"</f>
        <v>零元整</v>
      </c>
    </row>
    <row r="10" spans="1:5" ht="15.6">
      <c r="B10" s="3196" t="s">
        <v>101</v>
      </c>
      <c r="C10" s="3197" t="s">
        <v>102</v>
      </c>
      <c r="D10" s="3198">
        <f>结果表!H104</f>
        <v>0</v>
      </c>
    </row>
    <row r="11" spans="1:5" ht="15.6">
      <c r="B11" s="3196" t="s">
        <v>103</v>
      </c>
      <c r="C11" s="3197" t="s">
        <v>102</v>
      </c>
      <c r="D11" s="3198">
        <f>结果表!H105</f>
        <v>0</v>
      </c>
    </row>
    <row r="12" spans="1:5" ht="15.6">
      <c r="B12" s="3196" t="s">
        <v>104</v>
      </c>
      <c r="C12" s="3197" t="s">
        <v>102</v>
      </c>
      <c r="D12" s="3198">
        <f>结果表!H106</f>
        <v>0</v>
      </c>
    </row>
    <row r="13" spans="1:5" ht="15.6">
      <c r="B13" s="3245" t="str">
        <f>结果表!E107</f>
        <v>3.房地产抵押价值</v>
      </c>
      <c r="C13" s="3199" t="s">
        <v>97</v>
      </c>
      <c r="D13" s="3200">
        <f ca="1">结果表!H107</f>
        <v>341568</v>
      </c>
    </row>
    <row r="14" spans="1:5" ht="31.2">
      <c r="B14" s="3241"/>
      <c r="C14" s="3191" t="s">
        <v>98</v>
      </c>
      <c r="D14" s="3192" t="str">
        <f ca="1">NUMBERSTRING(INT(D13*10000),2)&amp;"元整"</f>
        <v>叁拾肆亿壹仟伍佰陆拾捌万元整</v>
      </c>
    </row>
    <row r="15" spans="1:5" ht="15.6">
      <c r="B15" s="3242"/>
      <c r="C15" s="3193" t="s">
        <v>99</v>
      </c>
      <c r="D15" s="3201">
        <f ca="1">结果表!H108</f>
        <v>22136</v>
      </c>
    </row>
    <row r="16" spans="1:5" ht="15.6">
      <c r="B16" s="3243" t="str">
        <f>结果表!E109</f>
        <v>——</v>
      </c>
      <c r="C16" s="3199" t="s">
        <v>97</v>
      </c>
      <c r="D16" s="3202" t="str">
        <f>结果表!H109</f>
        <v>——</v>
      </c>
    </row>
    <row r="17" spans="1:5" ht="15.6">
      <c r="B17" s="3246"/>
      <c r="C17" s="3191" t="s">
        <v>98</v>
      </c>
      <c r="D17" s="3192" t="e">
        <f>NUMBERSTRING(INT(D16*10000),2)&amp;"元整"</f>
        <v>#VALUE!</v>
      </c>
    </row>
    <row r="18" spans="1:5" ht="15.6">
      <c r="B18" s="3244"/>
      <c r="C18" s="3193" t="s">
        <v>99</v>
      </c>
      <c r="D18" s="3201" t="str">
        <f>结果表!H110</f>
        <v>——</v>
      </c>
    </row>
    <row r="19" spans="1:5" ht="15.6">
      <c r="B19" s="3245" t="str">
        <f>结果表!E111</f>
        <v>——</v>
      </c>
      <c r="C19" s="3199" t="s">
        <v>97</v>
      </c>
      <c r="D19" s="3194" t="str">
        <f>结果表!H111</f>
        <v>——</v>
      </c>
    </row>
    <row r="20" spans="1:5" ht="15.6">
      <c r="B20" s="3241"/>
      <c r="C20" s="3191" t="s">
        <v>98</v>
      </c>
      <c r="D20" s="3192" t="e">
        <f>NUMBERSTRING(INT(D19*10000),2)&amp;"元整"</f>
        <v>#VALUE!</v>
      </c>
    </row>
    <row r="21" spans="1:5" ht="15.6">
      <c r="B21" s="3247"/>
      <c r="C21" s="3203" t="s">
        <v>99</v>
      </c>
      <c r="D21" s="3204" t="str">
        <f>结果表!H112</f>
        <v>——</v>
      </c>
    </row>
    <row r="22" spans="1:5">
      <c r="B22" s="3205" t="s">
        <v>105</v>
      </c>
    </row>
    <row r="24" spans="1:5" ht="17.399999999999999">
      <c r="A24" s="3206"/>
      <c r="B24" s="3207" t="s">
        <v>106</v>
      </c>
      <c r="C24" s="3206"/>
      <c r="D24" s="3206"/>
      <c r="E24" s="3206"/>
    </row>
    <row r="25" spans="1:5">
      <c r="A25" s="3206"/>
      <c r="B25" s="3206"/>
      <c r="C25" s="3206"/>
      <c r="D25" s="3206"/>
      <c r="E25" s="3206"/>
    </row>
    <row r="26" spans="1:5">
      <c r="A26" s="3206"/>
      <c r="B26" s="3206"/>
      <c r="C26" s="3206"/>
      <c r="D26" s="3206"/>
      <c r="E26" s="3206"/>
    </row>
    <row r="27" spans="1:5">
      <c r="A27" s="3206"/>
      <c r="B27" s="3206"/>
      <c r="C27" s="3206"/>
      <c r="D27" s="3206"/>
      <c r="E27" s="3206"/>
    </row>
    <row r="28" spans="1:5">
      <c r="A28" s="3206"/>
      <c r="B28" s="3206"/>
      <c r="C28" s="3206"/>
      <c r="D28" s="3206"/>
      <c r="E28" s="3206"/>
    </row>
    <row r="29" spans="1:5">
      <c r="A29" s="3206"/>
      <c r="B29" s="3206"/>
      <c r="C29" s="3206"/>
      <c r="D29" s="3206"/>
      <c r="E29" s="3206"/>
    </row>
    <row r="30" spans="1:5">
      <c r="A30" s="3206"/>
      <c r="B30" s="3206"/>
      <c r="C30" s="3206"/>
      <c r="D30" s="3206"/>
      <c r="E30" s="3206"/>
    </row>
    <row r="31" spans="1:5">
      <c r="A31" s="3206"/>
      <c r="B31" s="3206"/>
      <c r="C31" s="3206"/>
      <c r="D31" s="3206"/>
      <c r="E31" s="3206"/>
    </row>
    <row r="32" spans="1:5">
      <c r="A32" s="3206"/>
      <c r="B32" s="3206"/>
      <c r="C32" s="3206"/>
      <c r="D32" s="3206"/>
      <c r="E32" s="3206"/>
    </row>
    <row r="33" spans="1:5">
      <c r="A33" s="3206"/>
      <c r="B33" s="3206"/>
      <c r="C33" s="3206"/>
      <c r="D33" s="3206"/>
      <c r="E33" s="3206"/>
    </row>
    <row r="34" spans="1:5">
      <c r="A34" s="3206"/>
      <c r="B34" s="3206"/>
      <c r="C34" s="3206"/>
      <c r="D34" s="3206"/>
      <c r="E34" s="3206"/>
    </row>
    <row r="35" spans="1:5">
      <c r="A35" s="3206"/>
      <c r="B35" s="3206"/>
      <c r="C35" s="3206"/>
      <c r="D35" s="3206"/>
      <c r="E35" s="3206"/>
    </row>
    <row r="36" spans="1:5">
      <c r="A36" s="3206"/>
      <c r="B36" s="3206"/>
      <c r="C36" s="3206"/>
      <c r="D36" s="3206"/>
      <c r="E36" s="3206"/>
    </row>
    <row r="37" spans="1:5">
      <c r="A37" s="3206"/>
      <c r="B37" s="3206"/>
      <c r="C37" s="3206"/>
      <c r="D37" s="3206"/>
      <c r="E37" s="3206"/>
    </row>
    <row r="38" spans="1:5">
      <c r="A38" s="3206"/>
      <c r="B38" s="3206"/>
      <c r="C38" s="3206"/>
      <c r="D38" s="3206"/>
      <c r="E38" s="3206"/>
    </row>
    <row r="39" spans="1:5">
      <c r="A39" s="3206"/>
      <c r="B39" s="3206"/>
      <c r="C39" s="3206"/>
      <c r="D39" s="3206"/>
      <c r="E39" s="3206"/>
    </row>
    <row r="40" spans="1:5">
      <c r="A40" s="3206"/>
      <c r="B40" s="3206"/>
      <c r="C40" s="3206"/>
      <c r="D40" s="3206"/>
      <c r="E40" s="3206"/>
    </row>
    <row r="41" spans="1:5">
      <c r="A41" s="3206"/>
      <c r="B41" s="3206"/>
      <c r="C41" s="3206"/>
      <c r="D41" s="3206"/>
      <c r="E41" s="3206"/>
    </row>
    <row r="42" spans="1:5">
      <c r="A42" s="3206"/>
      <c r="B42" s="3206"/>
      <c r="C42" s="3206"/>
      <c r="D42" s="3206"/>
      <c r="E42" s="32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2664</v>
      </c>
      <c r="B1" s="424"/>
      <c r="C1" s="424"/>
      <c r="D1" s="424"/>
      <c r="E1" s="424"/>
      <c r="F1" s="424"/>
      <c r="G1" s="424"/>
      <c r="H1" s="424"/>
      <c r="I1" s="424"/>
      <c r="J1" s="424"/>
      <c r="K1" s="424"/>
      <c r="L1" s="424"/>
      <c r="M1" s="424"/>
      <c r="N1" s="425"/>
    </row>
    <row r="2" spans="1:20">
      <c r="A2" s="426" t="s">
        <v>1258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2665</v>
      </c>
      <c r="R2" s="431" t="s">
        <v>2666</v>
      </c>
      <c r="S2" s="431" t="s">
        <v>2667</v>
      </c>
      <c r="T2" s="431" t="s">
        <v>2668</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2669</v>
      </c>
      <c r="B93" s="424"/>
      <c r="C93" s="424"/>
      <c r="D93" s="424"/>
      <c r="E93" s="424"/>
      <c r="F93" s="424"/>
      <c r="G93" s="424"/>
      <c r="H93" s="424"/>
      <c r="I93" s="424"/>
      <c r="J93" s="424"/>
      <c r="K93" s="424"/>
      <c r="L93" s="424"/>
      <c r="M93" s="424"/>
    </row>
    <row r="94" spans="1:20">
      <c r="A94" s="426" t="s">
        <v>1258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2665</v>
      </c>
      <c r="R94" s="431" t="s">
        <v>2666</v>
      </c>
      <c r="S94" s="431" t="s">
        <v>2667</v>
      </c>
      <c r="T94" s="431" t="s">
        <v>2668</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2670</v>
      </c>
      <c r="B185" s="424"/>
      <c r="C185" s="424"/>
      <c r="D185" s="424"/>
      <c r="E185" s="424"/>
      <c r="F185" s="424"/>
      <c r="G185" s="424"/>
      <c r="H185" s="424"/>
      <c r="I185" s="424"/>
      <c r="J185" s="424"/>
      <c r="K185" s="424"/>
      <c r="L185" s="424"/>
      <c r="M185" s="424"/>
    </row>
    <row r="186" spans="1:20">
      <c r="A186" s="426" t="s">
        <v>1258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2665</v>
      </c>
      <c r="R186" s="431" t="s">
        <v>2666</v>
      </c>
      <c r="S186" s="431" t="s">
        <v>2667</v>
      </c>
      <c r="T186" s="431" t="s">
        <v>2668</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2671</v>
      </c>
      <c r="B277" s="424"/>
      <c r="C277" s="424"/>
      <c r="D277" s="424"/>
      <c r="E277" s="424"/>
      <c r="F277" s="424"/>
      <c r="G277" s="424"/>
      <c r="H277" s="424"/>
      <c r="I277" s="424"/>
      <c r="J277" s="424"/>
      <c r="K277" s="424"/>
      <c r="L277" s="424"/>
      <c r="M277" s="424"/>
    </row>
    <row r="278" spans="1:21">
      <c r="A278" s="426" t="s">
        <v>1258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2665</v>
      </c>
      <c r="R278" s="431" t="s">
        <v>2666</v>
      </c>
      <c r="S278" s="431" t="s">
        <v>2672</v>
      </c>
      <c r="T278" s="431" t="s">
        <v>2673</v>
      </c>
      <c r="U278" s="431" t="s">
        <v>2668</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2674</v>
      </c>
      <c r="B369" s="439"/>
      <c r="C369" s="439"/>
      <c r="D369" s="439"/>
      <c r="E369" s="439"/>
      <c r="F369" s="439"/>
      <c r="G369" s="439"/>
      <c r="H369" s="439"/>
      <c r="I369" s="439"/>
      <c r="J369" s="439"/>
      <c r="K369" s="439"/>
      <c r="L369" s="439"/>
      <c r="M369" s="439"/>
    </row>
    <row r="370" spans="1:20">
      <c r="A370" s="426" t="s">
        <v>1258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2665</v>
      </c>
      <c r="R370" s="431" t="s">
        <v>2666</v>
      </c>
      <c r="S370" s="431" t="s">
        <v>2667</v>
      </c>
      <c r="T370" s="431" t="s">
        <v>2668</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2675</v>
      </c>
      <c r="B1" s="342"/>
      <c r="C1" s="343"/>
      <c r="D1" s="343"/>
      <c r="E1" s="343"/>
      <c r="F1" s="343"/>
      <c r="G1" s="344"/>
    </row>
    <row r="2" spans="1:7" s="333" customFormat="1" ht="18" customHeight="1">
      <c r="A2" s="345" t="s">
        <v>2676</v>
      </c>
      <c r="B2" s="346">
        <f ca="1">C52</f>
        <v>192917</v>
      </c>
      <c r="C2" s="347" t="s">
        <v>2040</v>
      </c>
      <c r="D2" s="344"/>
      <c r="E2" s="344"/>
      <c r="F2" s="344"/>
      <c r="G2" s="344"/>
    </row>
    <row r="3" spans="1:7" s="333" customFormat="1" ht="18" customHeight="1">
      <c r="A3" s="348" t="s">
        <v>2677</v>
      </c>
      <c r="B3" s="349">
        <f ca="1">ROUND(B2*10000/'数据-汇总表'!E3,0)</f>
        <v>12502</v>
      </c>
      <c r="C3" s="347" t="s">
        <v>2235</v>
      </c>
      <c r="D3" s="344"/>
      <c r="E3" s="344"/>
      <c r="F3" s="344"/>
      <c r="G3" s="344"/>
    </row>
    <row r="4" spans="1:7" s="334" customFormat="1" ht="16.2">
      <c r="A4" s="350" t="s">
        <v>2678</v>
      </c>
      <c r="B4" s="351"/>
      <c r="C4" s="351"/>
      <c r="D4" s="351"/>
      <c r="E4" s="351"/>
      <c r="F4" s="351"/>
      <c r="G4" s="352"/>
    </row>
    <row r="5" spans="1:7" s="335" customFormat="1" ht="13.5" customHeight="1">
      <c r="A5" s="353" t="s">
        <v>1694</v>
      </c>
      <c r="B5" s="354" t="s">
        <v>2679</v>
      </c>
      <c r="C5" s="355">
        <f>C6+C7+C8</f>
        <v>20610</v>
      </c>
      <c r="D5" s="355" t="s">
        <v>2680</v>
      </c>
      <c r="E5" s="356" t="s">
        <v>2681</v>
      </c>
      <c r="F5" s="356" t="s">
        <v>2682</v>
      </c>
      <c r="G5" s="357"/>
    </row>
    <row r="6" spans="1:7" s="335" customFormat="1" ht="13.5" customHeight="1">
      <c r="A6" s="358" t="s">
        <v>1698</v>
      </c>
      <c r="B6" s="359" t="s">
        <v>2683</v>
      </c>
      <c r="C6" s="360">
        <v>20000</v>
      </c>
      <c r="D6" s="361"/>
      <c r="E6" s="362"/>
      <c r="F6" s="362"/>
      <c r="G6" s="363"/>
    </row>
    <row r="7" spans="1:7" s="335" customFormat="1" ht="13.5" customHeight="1">
      <c r="A7" s="358" t="s">
        <v>1700</v>
      </c>
      <c r="B7" s="359" t="s">
        <v>2684</v>
      </c>
      <c r="C7" s="364">
        <f>ROUND(C6*F7,0)</f>
        <v>610</v>
      </c>
      <c r="D7" s="364"/>
      <c r="E7" s="362"/>
      <c r="F7" s="365">
        <f>'数据-取费表'!B48+'数据-取费表'!B49</f>
        <v>3.0499999999999999E-2</v>
      </c>
      <c r="G7" s="363"/>
    </row>
    <row r="8" spans="1:7" s="336" customFormat="1">
      <c r="A8" s="358" t="s">
        <v>1702</v>
      </c>
      <c r="B8" s="359" t="s">
        <v>2685</v>
      </c>
      <c r="C8" s="364" t="str">
        <f>IF(G8="已包含在土地购买价格中","0",'数据-取费表'!B29)</f>
        <v>0</v>
      </c>
      <c r="D8" s="366"/>
      <c r="E8" s="364"/>
      <c r="F8" s="365"/>
      <c r="G8" s="367" t="s">
        <v>2686</v>
      </c>
    </row>
    <row r="9" spans="1:7" s="335" customFormat="1" ht="13.5" customHeight="1">
      <c r="A9" s="368" t="s">
        <v>1705</v>
      </c>
      <c r="B9" s="369" t="s">
        <v>2687</v>
      </c>
      <c r="C9" s="370">
        <f>ROUND(D9*E9/10000,0)</f>
        <v>0</v>
      </c>
      <c r="D9" s="371">
        <f>'数据-汇总表'!E5</f>
        <v>0</v>
      </c>
      <c r="E9" s="370">
        <f>'数据-取费表'!B27</f>
        <v>150</v>
      </c>
      <c r="F9" s="365"/>
      <c r="G9" s="372"/>
    </row>
    <row r="10" spans="1:7" s="335" customFormat="1" ht="13.5" customHeight="1">
      <c r="A10" s="368" t="s">
        <v>1709</v>
      </c>
      <c r="B10" s="369" t="s">
        <v>2688</v>
      </c>
      <c r="C10" s="370">
        <f>ROUND(D10*E10/10000,0)</f>
        <v>2932</v>
      </c>
      <c r="D10" s="371">
        <f>'数据-汇总表'!E6</f>
        <v>154306.03</v>
      </c>
      <c r="E10" s="370">
        <f>'数据-取费表'!B28</f>
        <v>190</v>
      </c>
      <c r="F10" s="365"/>
      <c r="G10" s="372"/>
    </row>
    <row r="11" spans="1:7" s="335" customFormat="1" ht="13.5" hidden="1" customHeight="1">
      <c r="A11" s="373" t="s">
        <v>1711</v>
      </c>
      <c r="B11" s="359" t="s">
        <v>2689</v>
      </c>
      <c r="C11" s="355"/>
      <c r="D11" s="362"/>
      <c r="E11" s="362"/>
      <c r="F11" s="362"/>
      <c r="G11" s="363"/>
    </row>
    <row r="12" spans="1:7" s="335" customFormat="1" ht="13.5" hidden="1" customHeight="1">
      <c r="A12" s="373" t="s">
        <v>1713</v>
      </c>
      <c r="B12" s="359" t="s">
        <v>2690</v>
      </c>
      <c r="C12" s="355">
        <v>0</v>
      </c>
      <c r="D12" s="362"/>
      <c r="E12" s="374"/>
      <c r="F12" s="365">
        <v>3.0499999999999999E-2</v>
      </c>
      <c r="G12" s="363"/>
    </row>
    <row r="13" spans="1:7" s="335" customFormat="1" ht="13.5" hidden="1" customHeight="1">
      <c r="A13" s="373" t="s">
        <v>1714</v>
      </c>
      <c r="B13" s="359" t="s">
        <v>2691</v>
      </c>
      <c r="C13" s="355"/>
      <c r="D13" s="362"/>
      <c r="E13" s="362"/>
      <c r="F13" s="362"/>
      <c r="G13" s="363"/>
    </row>
    <row r="14" spans="1:7" s="335" customFormat="1" ht="13.5" hidden="1" customHeight="1">
      <c r="A14" s="373" t="s">
        <v>1716</v>
      </c>
      <c r="B14" s="359" t="s">
        <v>2685</v>
      </c>
      <c r="C14" s="355"/>
      <c r="D14" s="362"/>
      <c r="E14" s="362"/>
      <c r="F14" s="362"/>
      <c r="G14" s="363" t="s">
        <v>2692</v>
      </c>
    </row>
    <row r="15" spans="1:7" s="335" customFormat="1" ht="13.5" hidden="1" customHeight="1">
      <c r="A15" s="373" t="s">
        <v>1718</v>
      </c>
      <c r="B15" s="359" t="s">
        <v>2693</v>
      </c>
      <c r="C15" s="364"/>
      <c r="D15" s="362"/>
      <c r="E15" s="362"/>
      <c r="F15" s="362"/>
      <c r="G15" s="363" t="s">
        <v>2694</v>
      </c>
    </row>
    <row r="16" spans="1:7" s="335" customFormat="1" ht="13.5" hidden="1" customHeight="1">
      <c r="A16" s="373" t="s">
        <v>1721</v>
      </c>
      <c r="B16" s="359" t="s">
        <v>2685</v>
      </c>
      <c r="C16" s="364"/>
      <c r="D16" s="362"/>
      <c r="E16" s="362"/>
      <c r="F16" s="362"/>
      <c r="G16" s="363"/>
    </row>
    <row r="17" spans="1:7" s="335" customFormat="1" ht="13.5" hidden="1" customHeight="1">
      <c r="A17" s="373" t="s">
        <v>1722</v>
      </c>
      <c r="B17" s="359" t="s">
        <v>2695</v>
      </c>
      <c r="C17" s="375"/>
      <c r="D17" s="375"/>
      <c r="E17" s="375"/>
      <c r="F17" s="375"/>
      <c r="G17" s="363" t="s">
        <v>2694</v>
      </c>
    </row>
    <row r="18" spans="1:7" s="335" customFormat="1" ht="13.5" hidden="1" customHeight="1">
      <c r="A18" s="373" t="s">
        <v>1724</v>
      </c>
      <c r="B18" s="359" t="s">
        <v>2696</v>
      </c>
      <c r="C18" s="364">
        <v>0</v>
      </c>
      <c r="D18" s="362"/>
      <c r="E18" s="362"/>
      <c r="F18" s="365">
        <v>3.0499999999999999E-2</v>
      </c>
      <c r="G18" s="363" t="s">
        <v>2697</v>
      </c>
    </row>
    <row r="19" spans="1:7" s="336" customFormat="1" ht="13.5" customHeight="1">
      <c r="A19" s="376" t="s">
        <v>2295</v>
      </c>
      <c r="B19" s="354" t="s">
        <v>2698</v>
      </c>
      <c r="C19" s="355">
        <f>IF(G19="已包含在土地取得成本中","0",ROUND(D19*E19/10000,0))</f>
        <v>3086</v>
      </c>
      <c r="D19" s="356">
        <f>'数据-汇总表'!E3</f>
        <v>154306.03</v>
      </c>
      <c r="E19" s="355">
        <f>'数据-取费表'!B31</f>
        <v>200</v>
      </c>
      <c r="F19" s="377"/>
      <c r="G19" s="367" t="s">
        <v>2699</v>
      </c>
    </row>
    <row r="20" spans="1:7" s="335" customFormat="1" ht="13.5" customHeight="1">
      <c r="A20" s="376" t="s">
        <v>2331</v>
      </c>
      <c r="B20" s="354" t="s">
        <v>2700</v>
      </c>
      <c r="C20" s="378">
        <f>ROUND((C5+C19)*F20,0)</f>
        <v>711</v>
      </c>
      <c r="D20" s="378"/>
      <c r="E20" s="378"/>
      <c r="F20" s="379">
        <f>'数据-取费表'!B37</f>
        <v>0.03</v>
      </c>
      <c r="G20" s="380" t="s">
        <v>2701</v>
      </c>
    </row>
    <row r="21" spans="1:7" s="335" customFormat="1" ht="13.5" customHeight="1">
      <c r="A21" s="376" t="s">
        <v>2336</v>
      </c>
      <c r="B21" s="354" t="s">
        <v>2702</v>
      </c>
      <c r="C21" s="381">
        <f>F21</f>
        <v>0.02</v>
      </c>
      <c r="D21" s="382" t="s">
        <v>2703</v>
      </c>
      <c r="E21" s="378"/>
      <c r="F21" s="379">
        <f>'数据-取费表'!B38</f>
        <v>0.02</v>
      </c>
      <c r="G21" s="383" t="s">
        <v>2704</v>
      </c>
    </row>
    <row r="22" spans="1:7" s="335" customFormat="1" ht="13.5" customHeight="1">
      <c r="A22" s="376" t="s">
        <v>2345</v>
      </c>
      <c r="B22" s="354" t="s">
        <v>2705</v>
      </c>
      <c r="C22" s="384">
        <f ca="1">ROUND(SUM(C23:C25),0)</f>
        <v>2421</v>
      </c>
      <c r="D22" s="381">
        <f ca="1">C26</f>
        <v>1E-3</v>
      </c>
      <c r="E22" s="382" t="s">
        <v>2703</v>
      </c>
      <c r="F22" s="385">
        <f ca="1">'数据-取费表'!B40</f>
        <v>3.2500000000000001E-2</v>
      </c>
      <c r="G22" s="380" t="str">
        <f>IF('数据-取费表'!B22&lt;=1,"单利计息","复利计息")</f>
        <v>复利计息</v>
      </c>
    </row>
    <row r="23" spans="1:7" s="335" customFormat="1" ht="13.5" customHeight="1">
      <c r="A23" s="386" t="s">
        <v>1698</v>
      </c>
      <c r="B23" s="359" t="s">
        <v>2706</v>
      </c>
      <c r="C23" s="387">
        <f ca="1">ROUND(IF('数据-取费表'!B22&lt;=1,C5*F22*'数据-取费表'!B23,C5*(POWER((1+F22),'数据-取费表'!B23)-1)),0)</f>
        <v>2075</v>
      </c>
      <c r="D23" s="388"/>
      <c r="E23" s="388"/>
      <c r="F23" s="389"/>
      <c r="G23" s="390" t="s">
        <v>2707</v>
      </c>
    </row>
    <row r="24" spans="1:7" s="335" customFormat="1" ht="13.5" customHeight="1">
      <c r="A24" s="386" t="s">
        <v>1700</v>
      </c>
      <c r="B24" s="359" t="s">
        <v>2708</v>
      </c>
      <c r="C24" s="387">
        <f ca="1">ROUND(IF('数据-取费表'!B22&lt;=1,C19*F22*('数据-取费表'!B19/2+'数据-取费表'!B21),C19*(POWER((1+F22),('数据-取费表'!B19/2+'数据-取费表'!B21))-1)),0)</f>
        <v>311</v>
      </c>
      <c r="D24" s="388"/>
      <c r="E24" s="388"/>
      <c r="F24" s="389"/>
      <c r="G24" s="390" t="s">
        <v>2709</v>
      </c>
    </row>
    <row r="25" spans="1:7" s="335" customFormat="1" ht="24">
      <c r="A25" s="386" t="s">
        <v>1702</v>
      </c>
      <c r="B25" s="359" t="s">
        <v>2710</v>
      </c>
      <c r="C25" s="387">
        <f ca="1">ROUND(IF('数据-取费表'!B22&lt;=1,C20*F22*'数据-取费表'!B23/2,C20*(POWER((1+F22),'数据-取费表'!B23/2)-1)),0)</f>
        <v>35</v>
      </c>
      <c r="D25" s="388"/>
      <c r="E25" s="391"/>
      <c r="F25" s="389"/>
      <c r="G25" s="392" t="s">
        <v>2711</v>
      </c>
    </row>
    <row r="26" spans="1:7" s="335" customFormat="1">
      <c r="A26" s="386" t="s">
        <v>1745</v>
      </c>
      <c r="B26" s="359" t="s">
        <v>2712</v>
      </c>
      <c r="C26" s="388">
        <f ca="1">ROUND(IF('数据-取费表'!B22&lt;=1,F21*F22*'数据-取费表'!B23/2,F21*(POWER((1+F22),'数据-取费表'!B23/2)-1)),4)</f>
        <v>1E-3</v>
      </c>
      <c r="D26" s="388"/>
      <c r="E26" s="391"/>
      <c r="F26" s="389"/>
      <c r="G26" s="393"/>
    </row>
    <row r="27" spans="1:7" s="335" customFormat="1" ht="26.4">
      <c r="A27" s="376" t="s">
        <v>2354</v>
      </c>
      <c r="B27" s="394" t="s">
        <v>2713</v>
      </c>
      <c r="C27" s="395">
        <f>C28</f>
        <v>6102</v>
      </c>
      <c r="D27" s="381">
        <f>C29</f>
        <v>5.0000000000000001E-3</v>
      </c>
      <c r="E27" s="382" t="s">
        <v>2703</v>
      </c>
      <c r="F27" s="396">
        <f>'数据-取费表'!Q16</f>
        <v>0.25</v>
      </c>
      <c r="G27" s="397" t="s">
        <v>2714</v>
      </c>
    </row>
    <row r="28" spans="1:7" s="335" customFormat="1" ht="13.5" customHeight="1">
      <c r="A28" s="386" t="s">
        <v>1698</v>
      </c>
      <c r="B28" s="398" t="s">
        <v>2715</v>
      </c>
      <c r="C28" s="399">
        <f>ROUND((C5+C19+C20)*F27*'数据-取费表'!B21/'数据-取费表'!B20,0)</f>
        <v>6102</v>
      </c>
      <c r="D28" s="381"/>
      <c r="E28" s="382"/>
      <c r="F28" s="396"/>
      <c r="G28" s="397"/>
    </row>
    <row r="29" spans="1:7" s="335" customFormat="1" ht="13.5" customHeight="1">
      <c r="A29" s="386" t="s">
        <v>1700</v>
      </c>
      <c r="B29" s="398" t="s">
        <v>2716</v>
      </c>
      <c r="C29" s="388">
        <f>ROUND(C21*F27*'数据-取费表'!B21/'数据-取费表'!B20,4)</f>
        <v>5.0000000000000001E-3</v>
      </c>
      <c r="D29" s="381"/>
      <c r="E29" s="382"/>
      <c r="F29" s="396"/>
      <c r="G29" s="397"/>
    </row>
    <row r="30" spans="1:7" s="335" customFormat="1" ht="13.5" customHeight="1">
      <c r="A30" s="376" t="s">
        <v>2717</v>
      </c>
      <c r="B30" s="354" t="s">
        <v>2718</v>
      </c>
      <c r="C30" s="381">
        <f>F30</f>
        <v>5.5E-2</v>
      </c>
      <c r="D30" s="382" t="s">
        <v>2719</v>
      </c>
      <c r="E30" s="391"/>
      <c r="F30" s="385">
        <f>'数据-取费表'!B41</f>
        <v>5.5E-2</v>
      </c>
      <c r="G30" s="383" t="s">
        <v>2720</v>
      </c>
    </row>
    <row r="31" spans="1:7" ht="16.5" customHeight="1">
      <c r="A31" s="400">
        <v>1</v>
      </c>
      <c r="B31" s="354" t="s">
        <v>2721</v>
      </c>
      <c r="C31" s="355">
        <f ca="1">ROUND((C5+C19+C20+C22+C27)/(1-C21-D22-D27-C30/(1+'数据-取费表'!B42)),0)</f>
        <v>35731</v>
      </c>
      <c r="D31" s="401"/>
      <c r="E31" s="355"/>
      <c r="F31" s="402"/>
      <c r="G31" s="383" t="s">
        <v>2722</v>
      </c>
    </row>
    <row r="32" spans="1:7" s="334" customFormat="1" ht="16.2">
      <c r="A32" s="403" t="s">
        <v>2723</v>
      </c>
      <c r="B32" s="404"/>
      <c r="C32" s="404"/>
      <c r="D32" s="404"/>
      <c r="E32" s="404"/>
      <c r="F32" s="404"/>
      <c r="G32" s="405"/>
    </row>
    <row r="33" spans="1:7" s="335" customFormat="1" ht="13.5" customHeight="1">
      <c r="A33" s="353" t="s">
        <v>1694</v>
      </c>
      <c r="B33" s="354" t="s">
        <v>2724</v>
      </c>
      <c r="C33" s="406">
        <f>SUM(C34:C38)</f>
        <v>116409</v>
      </c>
      <c r="D33" s="378"/>
      <c r="E33" s="356"/>
      <c r="F33" s="391"/>
      <c r="G33" s="383"/>
    </row>
    <row r="34" spans="1:7" s="337" customFormat="1" ht="13.5" customHeight="1">
      <c r="A34" s="386" t="s">
        <v>1698</v>
      </c>
      <c r="B34" s="359" t="s">
        <v>2725</v>
      </c>
      <c r="C34" s="364">
        <f>IF(F34=100%,'数据-取费表'!M16-SUMIF('数据-取费表'!C:C,"公共配套",'数据-取费表'!M:M),'数据-取费表'!O16-SUMIF('数据-取费表'!C:C,"公共配套",'数据-取费表'!O:O))</f>
        <v>104928</v>
      </c>
      <c r="D34" s="361"/>
      <c r="E34" s="364"/>
      <c r="F34" s="407">
        <f>IF('数据-取费表'!B24=0,1,'数据-取费表'!N16)</f>
        <v>1</v>
      </c>
      <c r="G34" s="363" t="s">
        <v>2726</v>
      </c>
    </row>
    <row r="35" spans="1:7" ht="13.5" customHeight="1">
      <c r="A35" s="386" t="s">
        <v>1700</v>
      </c>
      <c r="B35" s="359" t="s">
        <v>2727</v>
      </c>
      <c r="C35" s="364">
        <f>ROUND(C34*F35,0)</f>
        <v>6296</v>
      </c>
      <c r="D35" s="364"/>
      <c r="E35" s="364"/>
      <c r="F35" s="408">
        <f>'数据-取费表'!B33</f>
        <v>0.06</v>
      </c>
      <c r="G35" s="363" t="s">
        <v>2728</v>
      </c>
    </row>
    <row r="36" spans="1:7" ht="24">
      <c r="A36" s="386" t="s">
        <v>1702</v>
      </c>
      <c r="B36" s="359" t="s">
        <v>2729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2730</v>
      </c>
    </row>
    <row r="37" spans="1:7" s="337" customFormat="1" ht="13.5" customHeight="1">
      <c r="A37" s="386" t="s">
        <v>1745</v>
      </c>
      <c r="B37" s="359" t="s">
        <v>2731</v>
      </c>
      <c r="C37" s="399">
        <f>ROUND(E37*D37*F34/10000,0)</f>
        <v>3086</v>
      </c>
      <c r="D37" s="361">
        <f>'数据-汇总表'!E3</f>
        <v>154306.03</v>
      </c>
      <c r="E37" s="399">
        <f>'数据-取费表'!B35</f>
        <v>200</v>
      </c>
      <c r="F37" s="408"/>
      <c r="G37" s="410" t="s">
        <v>2732</v>
      </c>
    </row>
    <row r="38" spans="1:7" ht="13.5" customHeight="1">
      <c r="A38" s="386" t="s">
        <v>1767</v>
      </c>
      <c r="B38" s="359" t="s">
        <v>2690</v>
      </c>
      <c r="C38" s="364">
        <f>ROUND(C34*F38,0)</f>
        <v>2099</v>
      </c>
      <c r="D38" s="364"/>
      <c r="E38" s="364"/>
      <c r="F38" s="408">
        <f>'数据-取费表'!B36</f>
        <v>0.02</v>
      </c>
      <c r="G38" s="363" t="s">
        <v>2728</v>
      </c>
    </row>
    <row r="39" spans="1:7" s="335" customFormat="1" ht="13.5" customHeight="1">
      <c r="A39" s="376" t="s">
        <v>2295</v>
      </c>
      <c r="B39" s="354" t="s">
        <v>2700</v>
      </c>
      <c r="C39" s="378">
        <f>ROUND(C33*F20,0)</f>
        <v>3492</v>
      </c>
      <c r="D39" s="378"/>
      <c r="E39" s="378"/>
      <c r="F39" s="379"/>
      <c r="G39" s="380" t="s">
        <v>2733</v>
      </c>
    </row>
    <row r="40" spans="1:7" s="335" customFormat="1" ht="13.5" customHeight="1">
      <c r="A40" s="376" t="s">
        <v>2331</v>
      </c>
      <c r="B40" s="354" t="s">
        <v>2702</v>
      </c>
      <c r="C40" s="411">
        <f>F21</f>
        <v>0.02</v>
      </c>
      <c r="D40" s="382" t="s">
        <v>2734</v>
      </c>
      <c r="E40" s="378"/>
      <c r="F40" s="379"/>
      <c r="G40" s="383" t="s">
        <v>2735</v>
      </c>
    </row>
    <row r="41" spans="1:7" s="335" customFormat="1" ht="13.5" customHeight="1">
      <c r="A41" s="376" t="s">
        <v>2336</v>
      </c>
      <c r="B41" s="354" t="s">
        <v>2705</v>
      </c>
      <c r="C41" s="378">
        <f ca="1">ROUND(SUM(C42:C43),0)</f>
        <v>5893</v>
      </c>
      <c r="D41" s="381">
        <f ca="1">C44</f>
        <v>1E-3</v>
      </c>
      <c r="E41" s="382" t="s">
        <v>2734</v>
      </c>
      <c r="F41" s="385"/>
      <c r="G41" s="380" t="str">
        <f>IF('数据-取费表'!B22&lt;=1,"单利计息","复利计息")</f>
        <v>复利计息</v>
      </c>
    </row>
    <row r="42" spans="1:7" ht="13.5" customHeight="1">
      <c r="A42" s="386" t="s">
        <v>1698</v>
      </c>
      <c r="B42" s="359" t="s">
        <v>2706</v>
      </c>
      <c r="C42" s="388">
        <f ca="1">ROUND(IF('数据-取费表'!B22&lt;=1,C33*F22*'数据-取费表'!B21/2,C33*(POWER((1+F22),'数据-取费表'!B21/2)-1)),0)</f>
        <v>5721</v>
      </c>
      <c r="D42" s="388"/>
      <c r="E42" s="388"/>
      <c r="F42" s="389"/>
      <c r="G42" s="3465" t="s">
        <v>2736</v>
      </c>
    </row>
    <row r="43" spans="1:7" ht="13.5" customHeight="1">
      <c r="A43" s="386" t="s">
        <v>1700</v>
      </c>
      <c r="B43" s="359" t="s">
        <v>2708</v>
      </c>
      <c r="C43" s="388">
        <f ca="1">ROUND(IF('数据-取费表'!B22&lt;=1,C39*F22*'数据-取费表'!B21/2,C39*(POWER((1+F22),'数据-取费表'!B21/2)-1)),0)</f>
        <v>172</v>
      </c>
      <c r="D43" s="388"/>
      <c r="E43" s="388"/>
      <c r="F43" s="389"/>
      <c r="G43" s="3466"/>
    </row>
    <row r="44" spans="1:7" ht="13.5" customHeight="1">
      <c r="A44" s="386" t="s">
        <v>1702</v>
      </c>
      <c r="B44" s="359" t="s">
        <v>2710</v>
      </c>
      <c r="C44" s="388">
        <f ca="1">ROUND(IF('数据-取费表'!B22&lt;=1,C40*F22*'数据-取费表'!B21/2,C40*(POWER((1+F22),'数据-取费表'!B21/2)-1)),4)</f>
        <v>1E-3</v>
      </c>
      <c r="D44" s="388"/>
      <c r="E44" s="388"/>
      <c r="F44" s="389"/>
      <c r="G44" s="3467"/>
    </row>
    <row r="45" spans="1:7" s="335" customFormat="1" ht="13.5" customHeight="1">
      <c r="A45" s="376" t="s">
        <v>2345</v>
      </c>
      <c r="B45" s="394" t="s">
        <v>2713</v>
      </c>
      <c r="C45" s="395">
        <f>C46</f>
        <v>29975</v>
      </c>
      <c r="D45" s="381">
        <f>C47</f>
        <v>5.0000000000000001E-3</v>
      </c>
      <c r="E45" s="382" t="s">
        <v>2734</v>
      </c>
      <c r="F45" s="396"/>
      <c r="G45" s="397" t="s">
        <v>2737</v>
      </c>
    </row>
    <row r="46" spans="1:7" s="335" customFormat="1" ht="13.5" customHeight="1">
      <c r="A46" s="386" t="s">
        <v>1698</v>
      </c>
      <c r="B46" s="398" t="s">
        <v>2738</v>
      </c>
      <c r="C46" s="399">
        <f>ROUND((C33+C39)*F27,0)</f>
        <v>29975</v>
      </c>
      <c r="D46" s="412"/>
      <c r="E46" s="382"/>
      <c r="F46" s="396"/>
      <c r="G46" s="397"/>
    </row>
    <row r="47" spans="1:7" s="335" customFormat="1" ht="13.5" customHeight="1">
      <c r="A47" s="386" t="s">
        <v>1700</v>
      </c>
      <c r="B47" s="398" t="s">
        <v>2739</v>
      </c>
      <c r="C47" s="388">
        <f>ROUND(C40*F27,4)</f>
        <v>5.0000000000000001E-3</v>
      </c>
      <c r="D47" s="412"/>
      <c r="E47" s="382"/>
      <c r="F47" s="396"/>
      <c r="G47" s="397"/>
    </row>
    <row r="48" spans="1:7" s="335" customFormat="1" ht="13.5" customHeight="1">
      <c r="A48" s="376" t="s">
        <v>2354</v>
      </c>
      <c r="B48" s="354" t="s">
        <v>2718</v>
      </c>
      <c r="C48" s="411">
        <f>F30</f>
        <v>5.5E-2</v>
      </c>
      <c r="D48" s="382" t="s">
        <v>2740</v>
      </c>
      <c r="E48" s="378"/>
      <c r="F48" s="385"/>
      <c r="G48" s="383" t="s">
        <v>2741</v>
      </c>
    </row>
    <row r="49" spans="1:7" ht="16.5" customHeight="1">
      <c r="A49" s="376" t="s">
        <v>2717</v>
      </c>
      <c r="B49" s="354" t="s">
        <v>2742</v>
      </c>
      <c r="C49" s="378">
        <f ca="1">ROUND((C33+C39+C41+C45)/(1-C40-D41-D45-C48/(1+'数据-取费表'!B42)),0)</f>
        <v>169017</v>
      </c>
      <c r="D49" s="378"/>
      <c r="E49" s="378"/>
      <c r="F49" s="413"/>
      <c r="G49" s="383" t="s">
        <v>2743</v>
      </c>
    </row>
    <row r="50" spans="1:7" s="337" customFormat="1" ht="24">
      <c r="A50" s="376" t="s">
        <v>2744</v>
      </c>
      <c r="B50" s="354" t="s">
        <v>2745</v>
      </c>
      <c r="C50" s="378"/>
      <c r="D50" s="378"/>
      <c r="E50" s="378"/>
      <c r="F50" s="413">
        <f>IF('数据-取费表'!B24=0,'数据-取费表'!N16,1)</f>
        <v>0.93</v>
      </c>
      <c r="G50" s="397" t="s">
        <v>2746</v>
      </c>
    </row>
    <row r="51" spans="1:7" ht="16.5" customHeight="1">
      <c r="A51" s="376" t="s">
        <v>2747</v>
      </c>
      <c r="B51" s="354" t="s">
        <v>2748</v>
      </c>
      <c r="C51" s="378">
        <f ca="1">ROUND(C49*F50,0)</f>
        <v>157186</v>
      </c>
      <c r="D51" s="378"/>
      <c r="E51" s="378"/>
      <c r="F51" s="413"/>
      <c r="G51" s="383" t="s">
        <v>2749</v>
      </c>
    </row>
    <row r="52" spans="1:7" s="334" customFormat="1" ht="16.2">
      <c r="A52" s="414" t="s">
        <v>2750</v>
      </c>
      <c r="B52" s="415"/>
      <c r="C52" s="416">
        <f ca="1">C31+C51</f>
        <v>192917</v>
      </c>
      <c r="D52" s="415"/>
      <c r="E52" s="415"/>
      <c r="F52" s="415"/>
      <c r="G52" s="417"/>
    </row>
    <row r="55" spans="1:7" ht="15">
      <c r="B55" s="418" t="s">
        <v>2751</v>
      </c>
      <c r="C55" s="419"/>
    </row>
    <row r="56" spans="1:7">
      <c r="B56" s="420" t="s">
        <v>2752</v>
      </c>
      <c r="C56" s="421">
        <f ca="1">ROUND(C51/C52,3)</f>
        <v>0.81499999999999995</v>
      </c>
    </row>
    <row r="57" spans="1:7">
      <c r="B57" s="420" t="s">
        <v>2753</v>
      </c>
      <c r="C57" s="422">
        <f ca="1">1-C56</f>
        <v>0.18500000000000005</v>
      </c>
    </row>
  </sheetData>
  <mergeCells count="1">
    <mergeCell ref="G42:G44"/>
  </mergeCells>
  <phoneticPr fontId="23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0" t="s">
        <v>2754</v>
      </c>
      <c r="B1" s="3560"/>
    </row>
    <row r="2" spans="1:7">
      <c r="A2" s="299"/>
      <c r="B2" s="299"/>
    </row>
    <row r="3" spans="1:7">
      <c r="A3" s="299"/>
      <c r="B3" s="299"/>
      <c r="C3" s="300" t="s">
        <v>229</v>
      </c>
      <c r="D3" s="300" t="s">
        <v>230</v>
      </c>
      <c r="E3" s="300" t="s">
        <v>232</v>
      </c>
      <c r="F3" s="300" t="s">
        <v>233</v>
      </c>
      <c r="G3" s="300" t="s">
        <v>231</v>
      </c>
    </row>
    <row r="4" spans="1:7">
      <c r="A4" s="301" t="s">
        <v>2755</v>
      </c>
      <c r="B4" s="302" t="s">
        <v>2756</v>
      </c>
      <c r="C4" s="300"/>
      <c r="D4" s="300"/>
      <c r="E4" s="300"/>
      <c r="F4" s="300"/>
      <c r="G4" s="300"/>
    </row>
    <row r="5" spans="1:7">
      <c r="A5" s="303" t="s">
        <v>235</v>
      </c>
      <c r="B5" s="304" t="s">
        <v>2757</v>
      </c>
      <c r="C5" s="305">
        <v>9.8000000000000004E-2</v>
      </c>
      <c r="D5" s="305">
        <v>8.6999999999999994E-2</v>
      </c>
      <c r="E5" s="305">
        <v>8.6999999999999994E-2</v>
      </c>
      <c r="F5" s="305">
        <v>9.8000000000000004E-2</v>
      </c>
      <c r="G5" s="306">
        <v>9.5000000000000001E-2</v>
      </c>
    </row>
    <row r="6" spans="1:7">
      <c r="A6" s="307" t="s">
        <v>235</v>
      </c>
      <c r="B6" s="308" t="s">
        <v>2758</v>
      </c>
      <c r="C6" s="309">
        <v>9.8000000000000004E-2</v>
      </c>
      <c r="D6" s="309">
        <v>9.8000000000000004E-2</v>
      </c>
      <c r="E6" s="309">
        <v>9.8000000000000004E-2</v>
      </c>
      <c r="F6" s="309">
        <v>0.1</v>
      </c>
      <c r="G6" s="310">
        <v>9.9000000000000005E-2</v>
      </c>
    </row>
    <row r="7" spans="1:7">
      <c r="A7" s="307" t="s">
        <v>235</v>
      </c>
      <c r="B7" s="308" t="s">
        <v>2759</v>
      </c>
      <c r="C7" s="309">
        <v>9.7000000000000003E-2</v>
      </c>
      <c r="D7" s="309">
        <v>9.7000000000000003E-2</v>
      </c>
      <c r="E7" s="309">
        <v>9.6000000000000002E-2</v>
      </c>
      <c r="F7" s="309">
        <v>0.1</v>
      </c>
      <c r="G7" s="310">
        <v>9.8000000000000004E-2</v>
      </c>
    </row>
    <row r="8" spans="1:7">
      <c r="A8" s="307" t="s">
        <v>235</v>
      </c>
      <c r="B8" s="308" t="s">
        <v>2760</v>
      </c>
      <c r="C8" s="309">
        <v>8.1000000000000003E-2</v>
      </c>
      <c r="D8" s="309">
        <v>8.2000000000000003E-2</v>
      </c>
      <c r="E8" s="309">
        <v>7.0000000000000007E-2</v>
      </c>
      <c r="F8" s="309">
        <v>9.6000000000000002E-2</v>
      </c>
      <c r="G8" s="310">
        <v>8.8999999999999996E-2</v>
      </c>
    </row>
    <row r="9" spans="1:7">
      <c r="A9" s="311" t="s">
        <v>235</v>
      </c>
      <c r="B9" s="312" t="s">
        <v>2761</v>
      </c>
      <c r="C9" s="313">
        <v>0.1</v>
      </c>
      <c r="D9" s="313">
        <v>0.1</v>
      </c>
      <c r="E9" s="313">
        <v>0.1</v>
      </c>
      <c r="F9" s="314"/>
      <c r="G9" s="315">
        <v>0.1</v>
      </c>
    </row>
    <row r="10" spans="1:7">
      <c r="A10" s="303" t="s">
        <v>251</v>
      </c>
      <c r="B10" s="304" t="s">
        <v>2762</v>
      </c>
      <c r="C10" s="305">
        <v>6.7000000000000004E-2</v>
      </c>
      <c r="D10" s="305">
        <v>7.9000000000000001E-2</v>
      </c>
      <c r="E10" s="305">
        <v>7.9000000000000001E-2</v>
      </c>
      <c r="F10" s="305">
        <v>0.1</v>
      </c>
      <c r="G10" s="306">
        <v>9.0999999999999998E-2</v>
      </c>
    </row>
    <row r="11" spans="1:7">
      <c r="A11" s="307" t="s">
        <v>251</v>
      </c>
      <c r="B11" s="308" t="s">
        <v>2763</v>
      </c>
      <c r="C11" s="309">
        <v>0.05</v>
      </c>
      <c r="D11" s="309">
        <v>5.2999999999999999E-2</v>
      </c>
      <c r="E11" s="309">
        <v>6.3E-2</v>
      </c>
      <c r="F11" s="309">
        <v>0.1</v>
      </c>
      <c r="G11" s="310">
        <v>7.1999999999999995E-2</v>
      </c>
    </row>
    <row r="12" spans="1:7">
      <c r="A12" s="307" t="s">
        <v>251</v>
      </c>
      <c r="B12" s="308" t="s">
        <v>2764</v>
      </c>
      <c r="C12" s="309">
        <v>5.2999999999999999E-2</v>
      </c>
      <c r="D12" s="309">
        <v>0.09</v>
      </c>
      <c r="E12" s="309">
        <v>7.1999999999999995E-2</v>
      </c>
      <c r="F12" s="309">
        <v>0.1</v>
      </c>
      <c r="G12" s="310">
        <v>9.7000000000000003E-2</v>
      </c>
    </row>
    <row r="13" spans="1:7">
      <c r="A13" s="307" t="s">
        <v>251</v>
      </c>
      <c r="B13" s="308" t="s">
        <v>2765</v>
      </c>
      <c r="C13" s="309">
        <v>9.7000000000000003E-2</v>
      </c>
      <c r="D13" s="309">
        <v>9.1999999999999998E-2</v>
      </c>
      <c r="E13" s="309">
        <v>9.5000000000000001E-2</v>
      </c>
      <c r="F13" s="309">
        <v>0.1</v>
      </c>
      <c r="G13" s="310">
        <v>9.7000000000000003E-2</v>
      </c>
    </row>
    <row r="14" spans="1:7">
      <c r="A14" s="307" t="s">
        <v>251</v>
      </c>
      <c r="B14" s="308" t="s">
        <v>2766</v>
      </c>
      <c r="C14" s="309">
        <v>9.7000000000000003E-2</v>
      </c>
      <c r="D14" s="309">
        <v>9.7000000000000003E-2</v>
      </c>
      <c r="E14" s="309">
        <v>9.7000000000000003E-2</v>
      </c>
      <c r="F14" s="309">
        <v>0.1</v>
      </c>
      <c r="G14" s="310">
        <v>9.8000000000000004E-2</v>
      </c>
    </row>
    <row r="15" spans="1:7">
      <c r="A15" s="307" t="s">
        <v>251</v>
      </c>
      <c r="B15" s="308" t="s">
        <v>2767</v>
      </c>
      <c r="C15" s="309">
        <v>9.8000000000000004E-2</v>
      </c>
      <c r="D15" s="309">
        <v>9.0999999999999998E-2</v>
      </c>
      <c r="E15" s="309">
        <v>0.06</v>
      </c>
      <c r="F15" s="309">
        <v>0.1</v>
      </c>
      <c r="G15" s="310">
        <v>9.7000000000000003E-2</v>
      </c>
    </row>
    <row r="16" spans="1:7">
      <c r="A16" s="307" t="s">
        <v>251</v>
      </c>
      <c r="B16" s="308" t="s">
        <v>2768</v>
      </c>
      <c r="C16" s="309">
        <v>9.8000000000000004E-2</v>
      </c>
      <c r="D16" s="309">
        <v>9.7000000000000003E-2</v>
      </c>
      <c r="E16" s="309">
        <v>9.5000000000000001E-2</v>
      </c>
      <c r="F16" s="309">
        <v>0.1</v>
      </c>
      <c r="G16" s="310">
        <v>9.9000000000000005E-2</v>
      </c>
    </row>
    <row r="17" spans="1:7">
      <c r="A17" s="307" t="s">
        <v>251</v>
      </c>
      <c r="B17" s="308" t="s">
        <v>2769</v>
      </c>
      <c r="C17" s="309">
        <v>8.8999999999999996E-2</v>
      </c>
      <c r="D17" s="309">
        <v>9.1999999999999998E-2</v>
      </c>
      <c r="E17" s="309">
        <v>6.0999999999999999E-2</v>
      </c>
      <c r="F17" s="309">
        <v>0.1</v>
      </c>
      <c r="G17" s="310">
        <v>9.7000000000000003E-2</v>
      </c>
    </row>
    <row r="18" spans="1:7">
      <c r="A18" s="307" t="s">
        <v>251</v>
      </c>
      <c r="B18" s="308" t="s">
        <v>2770</v>
      </c>
      <c r="C18" s="309">
        <v>9.8000000000000004E-2</v>
      </c>
      <c r="D18" s="309">
        <v>9.8000000000000004E-2</v>
      </c>
      <c r="E18" s="309">
        <v>9.8000000000000004E-2</v>
      </c>
      <c r="F18" s="316"/>
      <c r="G18" s="310">
        <v>9.9000000000000005E-2</v>
      </c>
    </row>
    <row r="19" spans="1:7">
      <c r="A19" s="307" t="s">
        <v>251</v>
      </c>
      <c r="B19" s="308" t="s">
        <v>2771</v>
      </c>
      <c r="C19" s="309">
        <v>9.9000000000000005E-2</v>
      </c>
      <c r="D19" s="309">
        <v>7.3999999999999996E-2</v>
      </c>
      <c r="E19" s="309">
        <v>8.1000000000000003E-2</v>
      </c>
      <c r="F19" s="316"/>
      <c r="G19" s="310">
        <v>9.2999999999999999E-2</v>
      </c>
    </row>
    <row r="20" spans="1:7">
      <c r="A20" s="307" t="s">
        <v>251</v>
      </c>
      <c r="B20" s="308" t="s">
        <v>2772</v>
      </c>
      <c r="C20" s="309">
        <v>0.1</v>
      </c>
      <c r="D20" s="309">
        <v>8.8999999999999996E-2</v>
      </c>
      <c r="E20" s="309">
        <v>8.8999999999999996E-2</v>
      </c>
      <c r="F20" s="316"/>
      <c r="G20" s="310">
        <v>9.5000000000000001E-2</v>
      </c>
    </row>
    <row r="21" spans="1:7">
      <c r="A21" s="307" t="s">
        <v>251</v>
      </c>
      <c r="B21" s="308" t="s">
        <v>2773</v>
      </c>
      <c r="C21" s="309">
        <v>0.1</v>
      </c>
      <c r="D21" s="309">
        <v>9.0999999999999998E-2</v>
      </c>
      <c r="E21" s="309">
        <v>8.2000000000000003E-2</v>
      </c>
      <c r="F21" s="316"/>
      <c r="G21" s="310">
        <v>9.7000000000000003E-2</v>
      </c>
    </row>
    <row r="22" spans="1:7">
      <c r="A22" s="307" t="s">
        <v>251</v>
      </c>
      <c r="B22" s="308" t="s">
        <v>2774</v>
      </c>
      <c r="C22" s="309">
        <v>9.5000000000000001E-2</v>
      </c>
      <c r="D22" s="309">
        <v>9.9000000000000005E-2</v>
      </c>
      <c r="E22" s="309">
        <v>9.8000000000000004E-2</v>
      </c>
      <c r="F22" s="316"/>
      <c r="G22" s="310">
        <v>0.1</v>
      </c>
    </row>
    <row r="23" spans="1:7">
      <c r="A23" s="307" t="s">
        <v>251</v>
      </c>
      <c r="B23" s="308" t="s">
        <v>2775</v>
      </c>
      <c r="C23" s="309">
        <v>9.9000000000000005E-2</v>
      </c>
      <c r="D23" s="309">
        <v>0.1</v>
      </c>
      <c r="E23" s="309">
        <v>0.1</v>
      </c>
      <c r="F23" s="316"/>
      <c r="G23" s="310">
        <v>0.1</v>
      </c>
    </row>
    <row r="24" spans="1:7">
      <c r="A24" s="307" t="s">
        <v>251</v>
      </c>
      <c r="B24" s="308" t="s">
        <v>2776</v>
      </c>
      <c r="C24" s="309">
        <v>9.5000000000000001E-2</v>
      </c>
      <c r="D24" s="309">
        <v>0.1</v>
      </c>
      <c r="E24" s="309">
        <v>9.8000000000000004E-2</v>
      </c>
      <c r="F24" s="316"/>
      <c r="G24" s="310">
        <v>0.1</v>
      </c>
    </row>
    <row r="25" spans="1:7">
      <c r="A25" s="307" t="s">
        <v>251</v>
      </c>
      <c r="B25" s="308" t="s">
        <v>2777</v>
      </c>
      <c r="C25" s="309">
        <v>0.05</v>
      </c>
      <c r="D25" s="309">
        <v>9.6000000000000002E-2</v>
      </c>
      <c r="E25" s="309">
        <v>9.6000000000000002E-2</v>
      </c>
      <c r="F25" s="316"/>
      <c r="G25" s="310">
        <v>9.6000000000000002E-2</v>
      </c>
    </row>
    <row r="26" spans="1:7">
      <c r="A26" s="307" t="s">
        <v>251</v>
      </c>
      <c r="B26" s="308" t="s">
        <v>2778</v>
      </c>
      <c r="C26" s="309">
        <v>6.3E-2</v>
      </c>
      <c r="D26" s="309">
        <v>9.9000000000000005E-2</v>
      </c>
      <c r="E26" s="309">
        <v>9.8000000000000004E-2</v>
      </c>
      <c r="F26" s="316"/>
      <c r="G26" s="310">
        <v>0.1</v>
      </c>
    </row>
    <row r="27" spans="1:7">
      <c r="A27" s="307" t="s">
        <v>251</v>
      </c>
      <c r="B27" s="308" t="s">
        <v>2779</v>
      </c>
      <c r="C27" s="309">
        <v>5.1999999999999998E-2</v>
      </c>
      <c r="D27" s="309">
        <v>9.5000000000000001E-2</v>
      </c>
      <c r="E27" s="309">
        <v>6.4000000000000001E-2</v>
      </c>
      <c r="F27" s="316"/>
      <c r="G27" s="310">
        <v>9.7000000000000003E-2</v>
      </c>
    </row>
    <row r="28" spans="1:7">
      <c r="A28" s="307" t="s">
        <v>251</v>
      </c>
      <c r="B28" s="308" t="s">
        <v>2780</v>
      </c>
      <c r="C28" s="316"/>
      <c r="D28" s="309">
        <v>6.3E-2</v>
      </c>
      <c r="E28" s="309">
        <v>5.1999999999999998E-2</v>
      </c>
      <c r="F28" s="316"/>
      <c r="G28" s="310">
        <v>6.3E-2</v>
      </c>
    </row>
    <row r="29" spans="1:7">
      <c r="A29" s="311" t="s">
        <v>251</v>
      </c>
      <c r="B29" s="312" t="s">
        <v>2781</v>
      </c>
      <c r="C29" s="317"/>
      <c r="D29" s="313">
        <v>5.1999999999999998E-2</v>
      </c>
      <c r="E29" s="313">
        <v>7.0000000000000007E-2</v>
      </c>
      <c r="F29" s="317"/>
      <c r="G29" s="315">
        <v>7.0999999999999994E-2</v>
      </c>
    </row>
    <row r="30" spans="1:7">
      <c r="A30" s="318" t="s">
        <v>264</v>
      </c>
      <c r="B30" s="304" t="s">
        <v>2782</v>
      </c>
      <c r="C30" s="305">
        <v>6.6000000000000003E-2</v>
      </c>
      <c r="D30" s="305">
        <v>6.6000000000000003E-2</v>
      </c>
      <c r="E30" s="305">
        <v>5.7000000000000002E-2</v>
      </c>
      <c r="F30" s="305">
        <v>0.1</v>
      </c>
      <c r="G30" s="306">
        <v>6.8000000000000005E-2</v>
      </c>
    </row>
    <row r="31" spans="1:7">
      <c r="A31" s="319" t="s">
        <v>264</v>
      </c>
      <c r="B31" s="308" t="s">
        <v>2783</v>
      </c>
      <c r="C31" s="309">
        <v>5.5E-2</v>
      </c>
      <c r="D31" s="309">
        <v>8.2000000000000003E-2</v>
      </c>
      <c r="E31" s="309">
        <v>6.4000000000000001E-2</v>
      </c>
      <c r="F31" s="309">
        <v>0.1</v>
      </c>
      <c r="G31" s="310">
        <v>9.5000000000000001E-2</v>
      </c>
    </row>
    <row r="32" spans="1:7">
      <c r="A32" s="319" t="s">
        <v>264</v>
      </c>
      <c r="B32" s="308" t="s">
        <v>2784</v>
      </c>
      <c r="C32" s="309">
        <v>8.2000000000000003E-2</v>
      </c>
      <c r="D32" s="309">
        <v>8.6999999999999994E-2</v>
      </c>
      <c r="E32" s="309">
        <v>9.5000000000000001E-2</v>
      </c>
      <c r="F32" s="309">
        <v>0.1</v>
      </c>
      <c r="G32" s="310">
        <v>9.6000000000000002E-2</v>
      </c>
    </row>
    <row r="33" spans="1:7">
      <c r="A33" s="319" t="s">
        <v>264</v>
      </c>
      <c r="B33" s="308" t="s">
        <v>2785</v>
      </c>
      <c r="C33" s="309">
        <v>9.9000000000000005E-2</v>
      </c>
      <c r="D33" s="309">
        <v>9.1999999999999998E-2</v>
      </c>
      <c r="E33" s="309">
        <v>8.6999999999999994E-2</v>
      </c>
      <c r="F33" s="309">
        <v>0.1</v>
      </c>
      <c r="G33" s="310">
        <v>9.7000000000000003E-2</v>
      </c>
    </row>
    <row r="34" spans="1:7">
      <c r="A34" s="319" t="s">
        <v>264</v>
      </c>
      <c r="B34" s="308" t="s">
        <v>2786</v>
      </c>
      <c r="C34" s="309">
        <v>8.4000000000000005E-2</v>
      </c>
      <c r="D34" s="309">
        <v>9.7000000000000003E-2</v>
      </c>
      <c r="E34" s="309">
        <v>7.0999999999999994E-2</v>
      </c>
      <c r="F34" s="309">
        <v>0.1</v>
      </c>
      <c r="G34" s="310">
        <v>9.8000000000000004E-2</v>
      </c>
    </row>
    <row r="35" spans="1:7">
      <c r="A35" s="319" t="s">
        <v>264</v>
      </c>
      <c r="B35" s="308" t="s">
        <v>2787</v>
      </c>
      <c r="C35" s="309">
        <v>8.3000000000000004E-2</v>
      </c>
      <c r="D35" s="309">
        <v>9.7000000000000003E-2</v>
      </c>
      <c r="E35" s="309">
        <v>6.0999999999999999E-2</v>
      </c>
      <c r="F35" s="309">
        <v>0.1</v>
      </c>
      <c r="G35" s="310">
        <v>9.9000000000000005E-2</v>
      </c>
    </row>
    <row r="36" spans="1:7">
      <c r="A36" s="319" t="s">
        <v>264</v>
      </c>
      <c r="B36" s="308" t="s">
        <v>2788</v>
      </c>
      <c r="C36" s="309">
        <v>9.7000000000000003E-2</v>
      </c>
      <c r="D36" s="309">
        <v>9.7000000000000003E-2</v>
      </c>
      <c r="E36" s="309">
        <v>7.8E-2</v>
      </c>
      <c r="F36" s="309">
        <v>0.1</v>
      </c>
      <c r="G36" s="310">
        <v>9.9000000000000005E-2</v>
      </c>
    </row>
    <row r="37" spans="1:7">
      <c r="A37" s="319" t="s">
        <v>264</v>
      </c>
      <c r="B37" s="308" t="s">
        <v>2789</v>
      </c>
      <c r="C37" s="309">
        <v>9.7000000000000003E-2</v>
      </c>
      <c r="D37" s="309">
        <v>9.5000000000000001E-2</v>
      </c>
      <c r="E37" s="309">
        <v>7.8E-2</v>
      </c>
      <c r="F37" s="309">
        <v>0.1</v>
      </c>
      <c r="G37" s="310">
        <v>9.7000000000000003E-2</v>
      </c>
    </row>
    <row r="38" spans="1:7">
      <c r="A38" s="319" t="s">
        <v>264</v>
      </c>
      <c r="B38" s="308" t="s">
        <v>2790</v>
      </c>
      <c r="C38" s="309">
        <v>9.7000000000000003E-2</v>
      </c>
      <c r="D38" s="309">
        <v>7.6999999999999999E-2</v>
      </c>
      <c r="E38" s="309">
        <v>7.0000000000000007E-2</v>
      </c>
      <c r="F38" s="309">
        <v>0.1</v>
      </c>
      <c r="G38" s="310">
        <v>7.6999999999999999E-2</v>
      </c>
    </row>
    <row r="39" spans="1:7">
      <c r="A39" s="319" t="s">
        <v>264</v>
      </c>
      <c r="B39" s="308" t="s">
        <v>2791</v>
      </c>
      <c r="C39" s="309">
        <v>9.5000000000000001E-2</v>
      </c>
      <c r="D39" s="309">
        <v>7.6999999999999999E-2</v>
      </c>
      <c r="E39" s="309">
        <v>6.6000000000000003E-2</v>
      </c>
      <c r="F39" s="309">
        <v>0.1</v>
      </c>
      <c r="G39" s="310">
        <v>8.5999999999999993E-2</v>
      </c>
    </row>
    <row r="40" spans="1:7">
      <c r="A40" s="319" t="s">
        <v>264</v>
      </c>
      <c r="B40" s="308" t="s">
        <v>2792</v>
      </c>
      <c r="C40" s="309">
        <v>7.6999999999999999E-2</v>
      </c>
      <c r="D40" s="309">
        <v>7.8E-2</v>
      </c>
      <c r="E40" s="309">
        <v>8.2000000000000003E-2</v>
      </c>
      <c r="F40" s="320"/>
      <c r="G40" s="310">
        <v>7.8E-2</v>
      </c>
    </row>
    <row r="41" spans="1:7">
      <c r="A41" s="319" t="s">
        <v>264</v>
      </c>
      <c r="B41" s="308" t="s">
        <v>2793</v>
      </c>
      <c r="C41" s="309">
        <v>7.8E-2</v>
      </c>
      <c r="D41" s="309">
        <v>7.8E-2</v>
      </c>
      <c r="E41" s="309">
        <v>8.2000000000000003E-2</v>
      </c>
      <c r="F41" s="320"/>
      <c r="G41" s="310">
        <v>8.5999999999999993E-2</v>
      </c>
    </row>
    <row r="42" spans="1:7">
      <c r="A42" s="319" t="s">
        <v>264</v>
      </c>
      <c r="B42" s="308" t="s">
        <v>2794</v>
      </c>
      <c r="C42" s="309">
        <v>7.8E-2</v>
      </c>
      <c r="D42" s="309">
        <v>9.6000000000000002E-2</v>
      </c>
      <c r="E42" s="309">
        <v>7.1999999999999995E-2</v>
      </c>
      <c r="F42" s="320"/>
      <c r="G42" s="310">
        <v>9.8000000000000004E-2</v>
      </c>
    </row>
    <row r="43" spans="1:7">
      <c r="A43" s="319" t="s">
        <v>264</v>
      </c>
      <c r="B43" s="308" t="s">
        <v>2795</v>
      </c>
      <c r="C43" s="309">
        <v>7.8E-2</v>
      </c>
      <c r="D43" s="309">
        <v>9.9000000000000005E-2</v>
      </c>
      <c r="E43" s="309">
        <v>9.6000000000000002E-2</v>
      </c>
      <c r="F43" s="320"/>
      <c r="G43" s="310">
        <v>0.1</v>
      </c>
    </row>
    <row r="44" spans="1:7">
      <c r="A44" s="319" t="s">
        <v>264</v>
      </c>
      <c r="B44" s="308" t="s">
        <v>2796</v>
      </c>
      <c r="C44" s="309">
        <v>9.6000000000000002E-2</v>
      </c>
      <c r="D44" s="309">
        <v>0.1</v>
      </c>
      <c r="E44" s="309">
        <v>9.8000000000000004E-2</v>
      </c>
      <c r="F44" s="320"/>
      <c r="G44" s="310">
        <v>0.1</v>
      </c>
    </row>
    <row r="45" spans="1:7">
      <c r="A45" s="319" t="s">
        <v>264</v>
      </c>
      <c r="B45" s="308" t="s">
        <v>2797</v>
      </c>
      <c r="C45" s="309">
        <v>9.9000000000000005E-2</v>
      </c>
      <c r="D45" s="309">
        <v>9.8000000000000004E-2</v>
      </c>
      <c r="E45" s="309">
        <v>9.5000000000000001E-2</v>
      </c>
      <c r="F45" s="320"/>
      <c r="G45" s="310">
        <v>9.8000000000000004E-2</v>
      </c>
    </row>
    <row r="46" spans="1:7">
      <c r="A46" s="319" t="s">
        <v>264</v>
      </c>
      <c r="B46" s="308" t="s">
        <v>2798</v>
      </c>
      <c r="C46" s="309">
        <v>0.1</v>
      </c>
      <c r="D46" s="309">
        <v>9.9000000000000005E-2</v>
      </c>
      <c r="E46" s="309">
        <v>9.6000000000000002E-2</v>
      </c>
      <c r="F46" s="320"/>
      <c r="G46" s="310">
        <v>0.1</v>
      </c>
    </row>
    <row r="47" spans="1:7">
      <c r="A47" s="319" t="s">
        <v>264</v>
      </c>
      <c r="B47" s="308" t="s">
        <v>2799</v>
      </c>
      <c r="C47" s="309">
        <v>9.8000000000000004E-2</v>
      </c>
      <c r="D47" s="309">
        <v>8.6999999999999994E-2</v>
      </c>
      <c r="E47" s="309">
        <v>5.8999999999999997E-2</v>
      </c>
      <c r="F47" s="320"/>
      <c r="G47" s="310">
        <v>9.6000000000000002E-2</v>
      </c>
    </row>
    <row r="48" spans="1:7">
      <c r="A48" s="319" t="s">
        <v>264</v>
      </c>
      <c r="B48" s="308" t="s">
        <v>2800</v>
      </c>
      <c r="C48" s="309">
        <v>9.9000000000000005E-2</v>
      </c>
      <c r="D48" s="309">
        <v>9.8000000000000004E-2</v>
      </c>
      <c r="E48" s="309">
        <v>9.5000000000000001E-2</v>
      </c>
      <c r="F48" s="320"/>
      <c r="G48" s="310">
        <v>9.8000000000000004E-2</v>
      </c>
    </row>
    <row r="49" spans="1:7">
      <c r="A49" s="319" t="s">
        <v>264</v>
      </c>
      <c r="B49" s="308" t="s">
        <v>2801</v>
      </c>
      <c r="C49" s="309">
        <v>8.7999999999999995E-2</v>
      </c>
      <c r="D49" s="309">
        <v>9.9000000000000005E-2</v>
      </c>
      <c r="E49" s="309">
        <v>7.0000000000000007E-2</v>
      </c>
      <c r="F49" s="320"/>
      <c r="G49" s="310">
        <v>0.1</v>
      </c>
    </row>
    <row r="50" spans="1:7">
      <c r="A50" s="319" t="s">
        <v>264</v>
      </c>
      <c r="B50" s="308" t="s">
        <v>2802</v>
      </c>
      <c r="C50" s="309">
        <v>9.8000000000000004E-2</v>
      </c>
      <c r="D50" s="309">
        <v>7.2999999999999995E-2</v>
      </c>
      <c r="E50" s="309">
        <v>7.0999999999999994E-2</v>
      </c>
      <c r="F50" s="320"/>
      <c r="G50" s="310">
        <v>7.2999999999999995E-2</v>
      </c>
    </row>
    <row r="51" spans="1:7">
      <c r="A51" s="319" t="s">
        <v>264</v>
      </c>
      <c r="B51" s="308" t="s">
        <v>2803</v>
      </c>
      <c r="C51" s="309">
        <v>9.9000000000000005E-2</v>
      </c>
      <c r="D51" s="309">
        <v>8.5000000000000006E-2</v>
      </c>
      <c r="E51" s="309">
        <v>6.3E-2</v>
      </c>
      <c r="F51" s="320"/>
      <c r="G51" s="310">
        <v>9.6000000000000002E-2</v>
      </c>
    </row>
    <row r="52" spans="1:7">
      <c r="A52" s="319" t="s">
        <v>264</v>
      </c>
      <c r="B52" s="308" t="s">
        <v>2804</v>
      </c>
      <c r="C52" s="309">
        <v>7.3999999999999996E-2</v>
      </c>
      <c r="D52" s="309">
        <v>9.6000000000000002E-2</v>
      </c>
      <c r="E52" s="309">
        <v>0.05</v>
      </c>
      <c r="F52" s="320"/>
      <c r="G52" s="310">
        <v>9.8000000000000004E-2</v>
      </c>
    </row>
    <row r="53" spans="1:7">
      <c r="A53" s="319" t="s">
        <v>264</v>
      </c>
      <c r="B53" s="308" t="s">
        <v>2805</v>
      </c>
      <c r="C53" s="309">
        <v>8.5999999999999993E-2</v>
      </c>
      <c r="D53" s="320"/>
      <c r="E53" s="309">
        <v>9.1999999999999998E-2</v>
      </c>
      <c r="F53" s="320"/>
      <c r="G53" s="321"/>
    </row>
    <row r="54" spans="1:7">
      <c r="A54" s="322" t="s">
        <v>264</v>
      </c>
      <c r="B54" s="312" t="s">
        <v>2806</v>
      </c>
      <c r="C54" s="313">
        <v>9.6000000000000002E-2</v>
      </c>
      <c r="D54" s="314"/>
      <c r="E54" s="323"/>
      <c r="F54" s="314"/>
      <c r="G54" s="324"/>
    </row>
    <row r="55" spans="1:7">
      <c r="A55" s="318" t="s">
        <v>275</v>
      </c>
      <c r="B55" s="304" t="s">
        <v>2807</v>
      </c>
      <c r="C55" s="305">
        <v>9.6000000000000002E-2</v>
      </c>
      <c r="D55" s="305">
        <v>8.4000000000000005E-2</v>
      </c>
      <c r="E55" s="305">
        <v>9.1999999999999998E-2</v>
      </c>
      <c r="F55" s="305">
        <v>0.1</v>
      </c>
      <c r="G55" s="306">
        <v>9.5000000000000001E-2</v>
      </c>
    </row>
    <row r="56" spans="1:7">
      <c r="A56" s="319" t="s">
        <v>275</v>
      </c>
      <c r="B56" s="308" t="s">
        <v>2808</v>
      </c>
      <c r="C56" s="309">
        <v>8.4000000000000005E-2</v>
      </c>
      <c r="D56" s="309">
        <v>9.1999999999999998E-2</v>
      </c>
      <c r="E56" s="309">
        <v>9.5000000000000001E-2</v>
      </c>
      <c r="F56" s="309">
        <v>9.1999999999999998E-2</v>
      </c>
      <c r="G56" s="310">
        <v>9.6000000000000002E-2</v>
      </c>
    </row>
    <row r="57" spans="1:7">
      <c r="A57" s="319" t="s">
        <v>275</v>
      </c>
      <c r="B57" s="308" t="s">
        <v>2809</v>
      </c>
      <c r="C57" s="309">
        <v>9.9000000000000005E-2</v>
      </c>
      <c r="D57" s="309">
        <v>9.6000000000000002E-2</v>
      </c>
      <c r="E57" s="309">
        <v>9.1999999999999998E-2</v>
      </c>
      <c r="F57" s="309">
        <v>0.1</v>
      </c>
      <c r="G57" s="310">
        <v>9.8000000000000004E-2</v>
      </c>
    </row>
    <row r="58" spans="1:7">
      <c r="A58" s="319" t="s">
        <v>275</v>
      </c>
      <c r="B58" s="308" t="s">
        <v>2810</v>
      </c>
      <c r="C58" s="309">
        <v>9.8000000000000004E-2</v>
      </c>
      <c r="D58" s="309">
        <v>9.5000000000000001E-2</v>
      </c>
      <c r="E58" s="309">
        <v>5.7000000000000002E-2</v>
      </c>
      <c r="F58" s="309">
        <v>0.1</v>
      </c>
      <c r="G58" s="310">
        <v>9.6000000000000002E-2</v>
      </c>
    </row>
    <row r="59" spans="1:7">
      <c r="A59" s="319" t="s">
        <v>275</v>
      </c>
      <c r="B59" s="308" t="s">
        <v>2811</v>
      </c>
      <c r="C59" s="309">
        <v>9.5000000000000001E-2</v>
      </c>
      <c r="D59" s="309">
        <v>0.1</v>
      </c>
      <c r="E59" s="309">
        <v>7.4999999999999997E-2</v>
      </c>
      <c r="F59" s="309">
        <v>0.1</v>
      </c>
      <c r="G59" s="310">
        <v>0.1</v>
      </c>
    </row>
    <row r="60" spans="1:7">
      <c r="A60" s="319" t="s">
        <v>275</v>
      </c>
      <c r="B60" s="308" t="s">
        <v>2812</v>
      </c>
      <c r="C60" s="309">
        <v>0.1</v>
      </c>
      <c r="D60" s="309">
        <v>9.7000000000000003E-2</v>
      </c>
      <c r="E60" s="309">
        <v>0.1</v>
      </c>
      <c r="F60" s="309">
        <v>0.1</v>
      </c>
      <c r="G60" s="310">
        <v>9.7000000000000003E-2</v>
      </c>
    </row>
    <row r="61" spans="1:7">
      <c r="A61" s="319" t="s">
        <v>275</v>
      </c>
      <c r="B61" s="308" t="s">
        <v>2813</v>
      </c>
      <c r="C61" s="309">
        <v>9.7000000000000003E-2</v>
      </c>
      <c r="D61" s="309">
        <v>0.1</v>
      </c>
      <c r="E61" s="309">
        <v>9.2999999999999999E-2</v>
      </c>
      <c r="F61" s="309">
        <v>0.1</v>
      </c>
      <c r="G61" s="310">
        <v>0.1</v>
      </c>
    </row>
    <row r="62" spans="1:7">
      <c r="A62" s="319" t="s">
        <v>275</v>
      </c>
      <c r="B62" s="308" t="s">
        <v>2814</v>
      </c>
      <c r="C62" s="309">
        <v>0.1</v>
      </c>
      <c r="D62" s="309">
        <v>9.7000000000000003E-2</v>
      </c>
      <c r="E62" s="309">
        <v>8.8999999999999996E-2</v>
      </c>
      <c r="F62" s="309">
        <v>0.1</v>
      </c>
      <c r="G62" s="310">
        <v>9.8000000000000004E-2</v>
      </c>
    </row>
    <row r="63" spans="1:7">
      <c r="A63" s="319" t="s">
        <v>275</v>
      </c>
      <c r="B63" s="308" t="s">
        <v>2815</v>
      </c>
      <c r="C63" s="309">
        <v>9.7000000000000003E-2</v>
      </c>
      <c r="D63" s="309">
        <v>9.7000000000000003E-2</v>
      </c>
      <c r="E63" s="309">
        <v>9.9000000000000005E-2</v>
      </c>
      <c r="F63" s="309">
        <v>0.1</v>
      </c>
      <c r="G63" s="310">
        <v>9.7000000000000003E-2</v>
      </c>
    </row>
    <row r="64" spans="1:7">
      <c r="A64" s="319" t="s">
        <v>275</v>
      </c>
      <c r="B64" s="308" t="s">
        <v>2816</v>
      </c>
      <c r="C64" s="309">
        <v>9.7000000000000003E-2</v>
      </c>
      <c r="D64" s="309">
        <v>7.3999999999999996E-2</v>
      </c>
      <c r="E64" s="309">
        <v>7.8E-2</v>
      </c>
      <c r="F64" s="309">
        <v>0.1</v>
      </c>
      <c r="G64" s="310">
        <v>8.8999999999999996E-2</v>
      </c>
    </row>
    <row r="65" spans="1:7">
      <c r="A65" s="319" t="s">
        <v>275</v>
      </c>
      <c r="B65" s="308" t="s">
        <v>2817</v>
      </c>
      <c r="C65" s="309">
        <v>7.2999999999999995E-2</v>
      </c>
      <c r="D65" s="309">
        <v>9.8000000000000004E-2</v>
      </c>
      <c r="E65" s="309">
        <v>9.5000000000000001E-2</v>
      </c>
      <c r="F65" s="309">
        <v>0.1</v>
      </c>
      <c r="G65" s="310">
        <v>9.9000000000000005E-2</v>
      </c>
    </row>
    <row r="66" spans="1:7">
      <c r="A66" s="319" t="s">
        <v>275</v>
      </c>
      <c r="B66" s="308" t="s">
        <v>2818</v>
      </c>
      <c r="C66" s="309">
        <v>9.8000000000000004E-2</v>
      </c>
      <c r="D66" s="309">
        <v>9.5000000000000001E-2</v>
      </c>
      <c r="E66" s="309">
        <v>0.05</v>
      </c>
      <c r="F66" s="309">
        <v>0.1</v>
      </c>
      <c r="G66" s="310">
        <v>9.7000000000000003E-2</v>
      </c>
    </row>
    <row r="67" spans="1:7">
      <c r="A67" s="319" t="s">
        <v>275</v>
      </c>
      <c r="B67" s="308" t="s">
        <v>2819</v>
      </c>
      <c r="C67" s="309">
        <v>9.5000000000000001E-2</v>
      </c>
      <c r="D67" s="309">
        <v>9.7000000000000003E-2</v>
      </c>
      <c r="E67" s="309">
        <v>9.7000000000000003E-2</v>
      </c>
      <c r="F67" s="309">
        <v>0.1</v>
      </c>
      <c r="G67" s="310">
        <v>9.9000000000000005E-2</v>
      </c>
    </row>
    <row r="68" spans="1:7">
      <c r="A68" s="319" t="s">
        <v>275</v>
      </c>
      <c r="B68" s="308" t="s">
        <v>2820</v>
      </c>
      <c r="C68" s="309">
        <v>9.7000000000000003E-2</v>
      </c>
      <c r="D68" s="309">
        <v>6.8000000000000005E-2</v>
      </c>
      <c r="E68" s="309">
        <v>6.6000000000000003E-2</v>
      </c>
      <c r="F68" s="309">
        <v>0.1</v>
      </c>
      <c r="G68" s="310">
        <v>8.4000000000000005E-2</v>
      </c>
    </row>
    <row r="69" spans="1:7">
      <c r="A69" s="319" t="s">
        <v>275</v>
      </c>
      <c r="B69" s="308" t="s">
        <v>2821</v>
      </c>
      <c r="C69" s="309">
        <v>6.8000000000000005E-2</v>
      </c>
      <c r="D69" s="309">
        <v>9.8000000000000004E-2</v>
      </c>
      <c r="E69" s="309">
        <v>9.5000000000000001E-2</v>
      </c>
      <c r="F69" s="309">
        <v>0.1</v>
      </c>
      <c r="G69" s="310">
        <v>0.1</v>
      </c>
    </row>
    <row r="70" spans="1:7">
      <c r="A70" s="319" t="s">
        <v>275</v>
      </c>
      <c r="B70" s="308" t="s">
        <v>2822</v>
      </c>
      <c r="C70" s="309">
        <v>9.8000000000000004E-2</v>
      </c>
      <c r="D70" s="309">
        <v>8.8999999999999996E-2</v>
      </c>
      <c r="E70" s="309">
        <v>5.8999999999999997E-2</v>
      </c>
      <c r="F70" s="309">
        <v>0.1</v>
      </c>
      <c r="G70" s="310">
        <v>9.6000000000000002E-2</v>
      </c>
    </row>
    <row r="71" spans="1:7">
      <c r="A71" s="319" t="s">
        <v>275</v>
      </c>
      <c r="B71" s="308" t="s">
        <v>2823</v>
      </c>
      <c r="C71" s="309">
        <v>8.8999999999999996E-2</v>
      </c>
      <c r="D71" s="309">
        <v>9.9000000000000005E-2</v>
      </c>
      <c r="E71" s="309">
        <v>9.6000000000000002E-2</v>
      </c>
      <c r="F71" s="309">
        <v>0.1</v>
      </c>
      <c r="G71" s="310">
        <v>0.1</v>
      </c>
    </row>
    <row r="72" spans="1:7">
      <c r="A72" s="319" t="s">
        <v>275</v>
      </c>
      <c r="B72" s="308" t="s">
        <v>2824</v>
      </c>
      <c r="C72" s="309">
        <v>9.9000000000000005E-2</v>
      </c>
      <c r="D72" s="309">
        <v>0.1</v>
      </c>
      <c r="E72" s="309">
        <v>7.0000000000000007E-2</v>
      </c>
      <c r="F72" s="320"/>
      <c r="G72" s="310">
        <v>0.1</v>
      </c>
    </row>
    <row r="73" spans="1:7">
      <c r="A73" s="319" t="s">
        <v>275</v>
      </c>
      <c r="B73" s="308" t="s">
        <v>2825</v>
      </c>
      <c r="C73" s="309">
        <v>0.1</v>
      </c>
      <c r="D73" s="309">
        <v>0.1</v>
      </c>
      <c r="E73" s="309">
        <v>9.6000000000000002E-2</v>
      </c>
      <c r="F73" s="320"/>
      <c r="G73" s="310">
        <v>0.1</v>
      </c>
    </row>
    <row r="74" spans="1:7">
      <c r="A74" s="319" t="s">
        <v>275</v>
      </c>
      <c r="B74" s="308" t="s">
        <v>2826</v>
      </c>
      <c r="C74" s="309">
        <v>0.1</v>
      </c>
      <c r="D74" s="309">
        <v>0.1</v>
      </c>
      <c r="E74" s="309">
        <v>9.8000000000000004E-2</v>
      </c>
      <c r="F74" s="320"/>
      <c r="G74" s="310">
        <v>0.1</v>
      </c>
    </row>
    <row r="75" spans="1:7">
      <c r="A75" s="319" t="s">
        <v>275</v>
      </c>
      <c r="B75" s="308" t="s">
        <v>2827</v>
      </c>
      <c r="C75" s="309">
        <v>0.1</v>
      </c>
      <c r="D75" s="309">
        <v>9.9000000000000005E-2</v>
      </c>
      <c r="E75" s="309">
        <v>9.8000000000000004E-2</v>
      </c>
      <c r="F75" s="320"/>
      <c r="G75" s="310">
        <v>0.1</v>
      </c>
    </row>
    <row r="76" spans="1:7">
      <c r="A76" s="319" t="s">
        <v>275</v>
      </c>
      <c r="B76" s="308" t="s">
        <v>2828</v>
      </c>
      <c r="C76" s="309">
        <v>9.9000000000000005E-2</v>
      </c>
      <c r="D76" s="309">
        <v>0.1</v>
      </c>
      <c r="E76" s="309">
        <v>9.7000000000000003E-2</v>
      </c>
      <c r="F76" s="320"/>
      <c r="G76" s="310">
        <v>0.1</v>
      </c>
    </row>
    <row r="77" spans="1:7">
      <c r="A77" s="319" t="s">
        <v>275</v>
      </c>
      <c r="B77" s="308" t="s">
        <v>2829</v>
      </c>
      <c r="C77" s="309">
        <v>0.1</v>
      </c>
      <c r="D77" s="309">
        <v>0.1</v>
      </c>
      <c r="E77" s="309">
        <v>9.6000000000000002E-2</v>
      </c>
      <c r="F77" s="320"/>
      <c r="G77" s="310">
        <v>0.1</v>
      </c>
    </row>
    <row r="78" spans="1:7">
      <c r="A78" s="319" t="s">
        <v>275</v>
      </c>
      <c r="B78" s="308" t="s">
        <v>2830</v>
      </c>
      <c r="C78" s="309">
        <v>0.1</v>
      </c>
      <c r="D78" s="309">
        <v>8.5000000000000006E-2</v>
      </c>
      <c r="E78" s="309">
        <v>9.6000000000000002E-2</v>
      </c>
      <c r="F78" s="320"/>
      <c r="G78" s="310">
        <v>9.6000000000000002E-2</v>
      </c>
    </row>
    <row r="79" spans="1:7">
      <c r="A79" s="319" t="s">
        <v>275</v>
      </c>
      <c r="B79" s="308" t="s">
        <v>2831</v>
      </c>
      <c r="C79" s="309">
        <v>0.05</v>
      </c>
      <c r="D79" s="309">
        <v>9.6000000000000002E-2</v>
      </c>
      <c r="E79" s="309">
        <v>9.5000000000000001E-2</v>
      </c>
      <c r="F79" s="320"/>
      <c r="G79" s="310">
        <v>9.8000000000000004E-2</v>
      </c>
    </row>
    <row r="80" spans="1:7">
      <c r="A80" s="319" t="s">
        <v>275</v>
      </c>
      <c r="B80" s="308" t="s">
        <v>2832</v>
      </c>
      <c r="C80" s="309">
        <v>8.5999999999999993E-2</v>
      </c>
      <c r="D80" s="325"/>
      <c r="E80" s="309">
        <v>0.1</v>
      </c>
      <c r="F80" s="320"/>
      <c r="G80" s="321"/>
    </row>
    <row r="81" spans="1:7">
      <c r="A81" s="319" t="s">
        <v>275</v>
      </c>
      <c r="B81" s="308" t="s">
        <v>2833</v>
      </c>
      <c r="C81" s="309">
        <v>9.6000000000000002E-2</v>
      </c>
      <c r="D81" s="320"/>
      <c r="E81" s="309">
        <v>9.8000000000000004E-2</v>
      </c>
      <c r="F81" s="320"/>
      <c r="G81" s="321"/>
    </row>
    <row r="82" spans="1:7">
      <c r="A82" s="319" t="s">
        <v>275</v>
      </c>
      <c r="B82" s="308" t="s">
        <v>2834</v>
      </c>
      <c r="C82" s="325"/>
      <c r="D82" s="320"/>
      <c r="E82" s="309">
        <v>7.6999999999999999E-2</v>
      </c>
      <c r="F82" s="320"/>
      <c r="G82" s="321"/>
    </row>
    <row r="83" spans="1:7">
      <c r="A83" s="319" t="s">
        <v>275</v>
      </c>
      <c r="B83" s="308" t="s">
        <v>2835</v>
      </c>
      <c r="C83" s="320"/>
      <c r="D83" s="320"/>
      <c r="E83" s="320"/>
      <c r="F83" s="309">
        <v>0.1</v>
      </c>
      <c r="G83" s="326"/>
    </row>
    <row r="84" spans="1:7">
      <c r="A84" s="319" t="s">
        <v>275</v>
      </c>
      <c r="B84" s="308" t="s">
        <v>2836</v>
      </c>
      <c r="C84" s="320"/>
      <c r="D84" s="320"/>
      <c r="E84" s="320"/>
      <c r="F84" s="309">
        <v>0.1</v>
      </c>
      <c r="G84" s="326"/>
    </row>
    <row r="85" spans="1:7">
      <c r="A85" s="319" t="s">
        <v>275</v>
      </c>
      <c r="B85" s="308" t="s">
        <v>2837</v>
      </c>
      <c r="C85" s="320"/>
      <c r="D85" s="320"/>
      <c r="E85" s="320"/>
      <c r="F85" s="309">
        <v>0.1</v>
      </c>
      <c r="G85" s="326"/>
    </row>
    <row r="86" spans="1:7">
      <c r="A86" s="322" t="s">
        <v>275</v>
      </c>
      <c r="B86" s="312" t="s">
        <v>2838</v>
      </c>
      <c r="C86" s="313">
        <v>9.8000000000000004E-2</v>
      </c>
      <c r="D86" s="313">
        <v>9.8000000000000004E-2</v>
      </c>
      <c r="E86" s="313">
        <v>9.6000000000000002E-2</v>
      </c>
      <c r="F86" s="323"/>
      <c r="G86" s="315">
        <v>0.1</v>
      </c>
    </row>
    <row r="87" spans="1:7">
      <c r="A87" s="318" t="s">
        <v>286</v>
      </c>
      <c r="B87" s="304" t="s">
        <v>2839</v>
      </c>
      <c r="C87" s="305">
        <v>0.1</v>
      </c>
      <c r="D87" s="305">
        <v>0.1</v>
      </c>
      <c r="E87" s="305">
        <v>9.8000000000000004E-2</v>
      </c>
      <c r="F87" s="305">
        <v>0.1</v>
      </c>
      <c r="G87" s="306">
        <v>0.1</v>
      </c>
    </row>
    <row r="88" spans="1:7">
      <c r="A88" s="319" t="s">
        <v>286</v>
      </c>
      <c r="B88" s="308" t="s">
        <v>2840</v>
      </c>
      <c r="C88" s="309">
        <v>9.0999999999999998E-2</v>
      </c>
      <c r="D88" s="309">
        <v>9.1999999999999998E-2</v>
      </c>
      <c r="E88" s="309">
        <v>0.1</v>
      </c>
      <c r="F88" s="309">
        <v>0.1</v>
      </c>
      <c r="G88" s="310">
        <v>9.6000000000000002E-2</v>
      </c>
    </row>
    <row r="89" spans="1:7">
      <c r="A89" s="319" t="s">
        <v>286</v>
      </c>
      <c r="B89" s="308" t="s">
        <v>2841</v>
      </c>
      <c r="C89" s="309">
        <v>0.1</v>
      </c>
      <c r="D89" s="309">
        <v>0.1</v>
      </c>
      <c r="E89" s="309">
        <v>6.7000000000000004E-2</v>
      </c>
      <c r="F89" s="309">
        <v>9.2999999999999999E-2</v>
      </c>
      <c r="G89" s="310">
        <v>0.1</v>
      </c>
    </row>
    <row r="90" spans="1:7">
      <c r="A90" s="319" t="s">
        <v>286</v>
      </c>
      <c r="B90" s="308" t="s">
        <v>2842</v>
      </c>
      <c r="C90" s="309">
        <v>9.6000000000000002E-2</v>
      </c>
      <c r="D90" s="309">
        <v>9.6000000000000002E-2</v>
      </c>
      <c r="E90" s="309">
        <v>0.1</v>
      </c>
      <c r="F90" s="309">
        <v>0.1</v>
      </c>
      <c r="G90" s="310">
        <v>9.8000000000000004E-2</v>
      </c>
    </row>
    <row r="91" spans="1:7">
      <c r="A91" s="319" t="s">
        <v>286</v>
      </c>
      <c r="B91" s="308" t="s">
        <v>2843</v>
      </c>
      <c r="C91" s="309">
        <v>7.6999999999999999E-2</v>
      </c>
      <c r="D91" s="309">
        <v>7.6999999999999999E-2</v>
      </c>
      <c r="E91" s="309">
        <v>9.6000000000000002E-2</v>
      </c>
      <c r="F91" s="309">
        <v>0.1</v>
      </c>
      <c r="G91" s="310">
        <v>7.6999999999999999E-2</v>
      </c>
    </row>
    <row r="92" spans="1:7">
      <c r="A92" s="319" t="s">
        <v>286</v>
      </c>
      <c r="B92" s="308" t="s">
        <v>2844</v>
      </c>
      <c r="C92" s="309">
        <v>0.1</v>
      </c>
      <c r="D92" s="309">
        <v>0.1</v>
      </c>
      <c r="E92" s="309">
        <v>9.1999999999999998E-2</v>
      </c>
      <c r="F92" s="309">
        <v>0.1</v>
      </c>
      <c r="G92" s="310">
        <v>0.1</v>
      </c>
    </row>
    <row r="93" spans="1:7">
      <c r="A93" s="319" t="s">
        <v>286</v>
      </c>
      <c r="B93" s="308" t="s">
        <v>2845</v>
      </c>
      <c r="C93" s="309">
        <v>9.8000000000000004E-2</v>
      </c>
      <c r="D93" s="309">
        <v>9.8000000000000004E-2</v>
      </c>
      <c r="E93" s="309">
        <v>9.6000000000000002E-2</v>
      </c>
      <c r="F93" s="309">
        <v>0.1</v>
      </c>
      <c r="G93" s="310">
        <v>9.9000000000000005E-2</v>
      </c>
    </row>
    <row r="94" spans="1:7">
      <c r="A94" s="319" t="s">
        <v>286</v>
      </c>
      <c r="B94" s="308" t="s">
        <v>2846</v>
      </c>
      <c r="C94" s="309">
        <v>8.7999999999999995E-2</v>
      </c>
      <c r="D94" s="309">
        <v>8.7999999999999995E-2</v>
      </c>
      <c r="E94" s="309">
        <v>9.6000000000000002E-2</v>
      </c>
      <c r="F94" s="309">
        <v>0.1</v>
      </c>
      <c r="G94" s="310">
        <v>8.7999999999999995E-2</v>
      </c>
    </row>
    <row r="95" spans="1:7">
      <c r="A95" s="319" t="s">
        <v>286</v>
      </c>
      <c r="B95" s="308" t="s">
        <v>2847</v>
      </c>
      <c r="C95" s="309">
        <v>9.6000000000000002E-2</v>
      </c>
      <c r="D95" s="309">
        <v>9.6000000000000002E-2</v>
      </c>
      <c r="E95" s="309">
        <v>0.1</v>
      </c>
      <c r="F95" s="309">
        <v>0.1</v>
      </c>
      <c r="G95" s="310">
        <v>9.8000000000000004E-2</v>
      </c>
    </row>
    <row r="96" spans="1:7">
      <c r="A96" s="319" t="s">
        <v>286</v>
      </c>
      <c r="B96" s="308" t="s">
        <v>2848</v>
      </c>
      <c r="C96" s="309">
        <v>9.7000000000000003E-2</v>
      </c>
      <c r="D96" s="309">
        <v>9.7000000000000003E-2</v>
      </c>
      <c r="E96" s="309">
        <v>0.1</v>
      </c>
      <c r="F96" s="309">
        <v>0.1</v>
      </c>
      <c r="G96" s="310">
        <v>9.8000000000000004E-2</v>
      </c>
    </row>
    <row r="97" spans="1:7">
      <c r="A97" s="319" t="s">
        <v>286</v>
      </c>
      <c r="B97" s="308" t="s">
        <v>2849</v>
      </c>
      <c r="C97" s="309">
        <v>9.6000000000000002E-2</v>
      </c>
      <c r="D97" s="309">
        <v>9.6000000000000002E-2</v>
      </c>
      <c r="E97" s="309">
        <v>9.9000000000000005E-2</v>
      </c>
      <c r="F97" s="309">
        <v>0.1</v>
      </c>
      <c r="G97" s="310">
        <v>9.8000000000000004E-2</v>
      </c>
    </row>
    <row r="98" spans="1:7">
      <c r="A98" s="319" t="s">
        <v>286</v>
      </c>
      <c r="B98" s="308" t="s">
        <v>2850</v>
      </c>
      <c r="C98" s="309">
        <v>9.8000000000000004E-2</v>
      </c>
      <c r="D98" s="309">
        <v>9.8000000000000004E-2</v>
      </c>
      <c r="E98" s="309">
        <v>0.1</v>
      </c>
      <c r="F98" s="309">
        <v>0.1</v>
      </c>
      <c r="G98" s="310">
        <v>9.9000000000000005E-2</v>
      </c>
    </row>
    <row r="99" spans="1:7">
      <c r="A99" s="319" t="s">
        <v>286</v>
      </c>
      <c r="B99" s="308" t="s">
        <v>2851</v>
      </c>
      <c r="C99" s="309">
        <v>9.6000000000000002E-2</v>
      </c>
      <c r="D99" s="309">
        <v>9.6000000000000002E-2</v>
      </c>
      <c r="E99" s="309">
        <v>0.1</v>
      </c>
      <c r="F99" s="309">
        <v>0.1</v>
      </c>
      <c r="G99" s="310">
        <v>9.7000000000000003E-2</v>
      </c>
    </row>
    <row r="100" spans="1:7">
      <c r="A100" s="319" t="s">
        <v>286</v>
      </c>
      <c r="B100" s="308" t="s">
        <v>2852</v>
      </c>
      <c r="C100" s="309">
        <v>0.1</v>
      </c>
      <c r="D100" s="309">
        <v>0.1</v>
      </c>
      <c r="E100" s="309">
        <v>9.7000000000000003E-2</v>
      </c>
      <c r="F100" s="309">
        <v>9.8000000000000004E-2</v>
      </c>
      <c r="G100" s="310">
        <v>0.1</v>
      </c>
    </row>
    <row r="101" spans="1:7">
      <c r="A101" s="319" t="s">
        <v>286</v>
      </c>
      <c r="B101" s="308" t="s">
        <v>2853</v>
      </c>
      <c r="C101" s="309">
        <v>0.1</v>
      </c>
      <c r="D101" s="309">
        <v>0.1</v>
      </c>
      <c r="E101" s="309">
        <v>9.5000000000000001E-2</v>
      </c>
      <c r="F101" s="309">
        <v>0.1</v>
      </c>
      <c r="G101" s="310">
        <v>0.1</v>
      </c>
    </row>
    <row r="102" spans="1:7">
      <c r="A102" s="319" t="s">
        <v>286</v>
      </c>
      <c r="B102" s="308" t="s">
        <v>2854</v>
      </c>
      <c r="C102" s="309">
        <v>0.1</v>
      </c>
      <c r="D102" s="309">
        <v>0.1</v>
      </c>
      <c r="E102" s="309">
        <v>9.9000000000000005E-2</v>
      </c>
      <c r="F102" s="309">
        <v>9.7000000000000003E-2</v>
      </c>
      <c r="G102" s="310">
        <v>0.1</v>
      </c>
    </row>
    <row r="103" spans="1:7">
      <c r="A103" s="319" t="s">
        <v>286</v>
      </c>
      <c r="B103" s="308" t="s">
        <v>2855</v>
      </c>
      <c r="C103" s="309">
        <v>0.1</v>
      </c>
      <c r="D103" s="309">
        <v>0.1</v>
      </c>
      <c r="E103" s="309">
        <v>9.8000000000000004E-2</v>
      </c>
      <c r="F103" s="309">
        <v>0.1</v>
      </c>
      <c r="G103" s="310">
        <v>0.1</v>
      </c>
    </row>
    <row r="104" spans="1:7">
      <c r="A104" s="319" t="s">
        <v>286</v>
      </c>
      <c r="B104" s="308" t="s">
        <v>2856</v>
      </c>
      <c r="C104" s="309">
        <v>0.1</v>
      </c>
      <c r="D104" s="309">
        <v>0.1</v>
      </c>
      <c r="E104" s="309">
        <v>9.8000000000000004E-2</v>
      </c>
      <c r="F104" s="309">
        <v>0.1</v>
      </c>
      <c r="G104" s="310">
        <v>0.1</v>
      </c>
    </row>
    <row r="105" spans="1:7">
      <c r="A105" s="319" t="s">
        <v>286</v>
      </c>
      <c r="B105" s="308" t="s">
        <v>2857</v>
      </c>
      <c r="C105" s="309">
        <v>9.8000000000000004E-2</v>
      </c>
      <c r="D105" s="309">
        <v>9.8000000000000004E-2</v>
      </c>
      <c r="E105" s="309">
        <v>9.8000000000000004E-2</v>
      </c>
      <c r="F105" s="309">
        <v>0.1</v>
      </c>
      <c r="G105" s="310">
        <v>9.9000000000000005E-2</v>
      </c>
    </row>
    <row r="106" spans="1:7">
      <c r="A106" s="319" t="s">
        <v>286</v>
      </c>
      <c r="B106" s="308" t="s">
        <v>2858</v>
      </c>
      <c r="C106" s="309">
        <v>9.7000000000000003E-2</v>
      </c>
      <c r="D106" s="309">
        <v>9.7000000000000003E-2</v>
      </c>
      <c r="E106" s="309">
        <v>9.7000000000000003E-2</v>
      </c>
      <c r="F106" s="309">
        <v>0.1</v>
      </c>
      <c r="G106" s="310">
        <v>9.9000000000000005E-2</v>
      </c>
    </row>
    <row r="107" spans="1:7">
      <c r="A107" s="319" t="s">
        <v>286</v>
      </c>
      <c r="B107" s="308" t="s">
        <v>2859</v>
      </c>
      <c r="C107" s="309">
        <v>0.1</v>
      </c>
      <c r="D107" s="309">
        <v>0.1</v>
      </c>
      <c r="E107" s="309">
        <v>8.5999999999999993E-2</v>
      </c>
      <c r="F107" s="309">
        <v>0.09</v>
      </c>
      <c r="G107" s="310">
        <v>0.1</v>
      </c>
    </row>
    <row r="108" spans="1:7">
      <c r="A108" s="319" t="s">
        <v>286</v>
      </c>
      <c r="B108" s="308" t="s">
        <v>2860</v>
      </c>
      <c r="C108" s="309">
        <v>0.1</v>
      </c>
      <c r="D108" s="309">
        <v>0.1</v>
      </c>
      <c r="E108" s="309">
        <v>9.6000000000000002E-2</v>
      </c>
      <c r="F108" s="320"/>
      <c r="G108" s="310">
        <v>0.1</v>
      </c>
    </row>
    <row r="109" spans="1:7">
      <c r="A109" s="319" t="s">
        <v>286</v>
      </c>
      <c r="B109" s="308" t="s">
        <v>2861</v>
      </c>
      <c r="C109" s="309">
        <v>0.1</v>
      </c>
      <c r="D109" s="309">
        <v>0.1</v>
      </c>
      <c r="E109" s="309">
        <v>0.1</v>
      </c>
      <c r="F109" s="320"/>
      <c r="G109" s="310">
        <v>0.1</v>
      </c>
    </row>
    <row r="110" spans="1:7">
      <c r="A110" s="319" t="s">
        <v>286</v>
      </c>
      <c r="B110" s="308" t="s">
        <v>2862</v>
      </c>
      <c r="C110" s="309">
        <v>0.1</v>
      </c>
      <c r="D110" s="309">
        <v>0.1</v>
      </c>
      <c r="E110" s="309">
        <v>0.1</v>
      </c>
      <c r="F110" s="320"/>
      <c r="G110" s="310">
        <v>0.1</v>
      </c>
    </row>
    <row r="111" spans="1:7">
      <c r="A111" s="319" t="s">
        <v>286</v>
      </c>
      <c r="B111" s="308" t="s">
        <v>2863</v>
      </c>
      <c r="C111" s="309">
        <v>0.1</v>
      </c>
      <c r="D111" s="309">
        <v>0.1</v>
      </c>
      <c r="E111" s="309">
        <v>9.5000000000000001E-2</v>
      </c>
      <c r="F111" s="320"/>
      <c r="G111" s="310">
        <v>0.1</v>
      </c>
    </row>
    <row r="112" spans="1:7">
      <c r="A112" s="319" t="s">
        <v>286</v>
      </c>
      <c r="B112" s="308" t="s">
        <v>2864</v>
      </c>
      <c r="C112" s="309">
        <v>9.7000000000000003E-2</v>
      </c>
      <c r="D112" s="309">
        <v>9.7000000000000003E-2</v>
      </c>
      <c r="E112" s="309">
        <v>0.05</v>
      </c>
      <c r="F112" s="320"/>
      <c r="G112" s="310">
        <v>9.8000000000000004E-2</v>
      </c>
    </row>
    <row r="113" spans="1:7">
      <c r="A113" s="319" t="s">
        <v>286</v>
      </c>
      <c r="B113" s="308" t="s">
        <v>2865</v>
      </c>
      <c r="C113" s="309">
        <v>0.1</v>
      </c>
      <c r="D113" s="309">
        <v>0.1</v>
      </c>
      <c r="E113" s="320"/>
      <c r="F113" s="320"/>
      <c r="G113" s="310">
        <v>0.1</v>
      </c>
    </row>
    <row r="114" spans="1:7">
      <c r="A114" s="319" t="s">
        <v>286</v>
      </c>
      <c r="B114" s="308" t="s">
        <v>2866</v>
      </c>
      <c r="C114" s="309">
        <v>9.7000000000000003E-2</v>
      </c>
      <c r="D114" s="309">
        <v>9.7000000000000003E-2</v>
      </c>
      <c r="E114" s="320"/>
      <c r="F114" s="320"/>
      <c r="G114" s="310">
        <v>9.9000000000000005E-2</v>
      </c>
    </row>
    <row r="115" spans="1:7">
      <c r="A115" s="319" t="s">
        <v>286</v>
      </c>
      <c r="B115" s="308" t="s">
        <v>2867</v>
      </c>
      <c r="C115" s="309">
        <v>0.1</v>
      </c>
      <c r="D115" s="309">
        <v>0.1</v>
      </c>
      <c r="E115" s="320"/>
      <c r="F115" s="320"/>
      <c r="G115" s="310">
        <v>0.1</v>
      </c>
    </row>
    <row r="116" spans="1:7">
      <c r="A116" s="319" t="s">
        <v>286</v>
      </c>
      <c r="B116" s="308" t="s">
        <v>2868</v>
      </c>
      <c r="C116" s="309">
        <v>0.1</v>
      </c>
      <c r="D116" s="309">
        <v>0.1</v>
      </c>
      <c r="E116" s="320"/>
      <c r="F116" s="320"/>
      <c r="G116" s="310">
        <v>0.1</v>
      </c>
    </row>
    <row r="117" spans="1:7">
      <c r="A117" s="319" t="s">
        <v>286</v>
      </c>
      <c r="B117" s="308" t="s">
        <v>2869</v>
      </c>
      <c r="C117" s="309">
        <v>9.7000000000000003E-2</v>
      </c>
      <c r="D117" s="309">
        <v>9.7000000000000003E-2</v>
      </c>
      <c r="E117" s="320"/>
      <c r="F117" s="320"/>
      <c r="G117" s="310">
        <v>9.7000000000000003E-2</v>
      </c>
    </row>
    <row r="118" spans="1:7">
      <c r="A118" s="319" t="s">
        <v>286</v>
      </c>
      <c r="B118" s="308" t="s">
        <v>2870</v>
      </c>
      <c r="C118" s="309">
        <v>0.1</v>
      </c>
      <c r="D118" s="309">
        <v>0.1</v>
      </c>
      <c r="E118" s="320"/>
      <c r="F118" s="320"/>
      <c r="G118" s="310">
        <v>0.1</v>
      </c>
    </row>
    <row r="119" spans="1:7">
      <c r="A119" s="319" t="s">
        <v>286</v>
      </c>
      <c r="B119" s="308" t="s">
        <v>2871</v>
      </c>
      <c r="C119" s="309">
        <v>5.0999999999999997E-2</v>
      </c>
      <c r="D119" s="309">
        <v>5.1999999999999998E-2</v>
      </c>
      <c r="E119" s="320"/>
      <c r="F119" s="325"/>
      <c r="G119" s="310">
        <v>0.06</v>
      </c>
    </row>
    <row r="120" spans="1:7">
      <c r="A120" s="319" t="s">
        <v>286</v>
      </c>
      <c r="B120" s="308" t="s">
        <v>2872</v>
      </c>
      <c r="C120" s="320"/>
      <c r="D120" s="320"/>
      <c r="E120" s="320"/>
      <c r="F120" s="309">
        <v>0.1</v>
      </c>
      <c r="G120" s="326"/>
    </row>
    <row r="121" spans="1:7">
      <c r="A121" s="319" t="s">
        <v>286</v>
      </c>
      <c r="B121" s="308" t="s">
        <v>2873</v>
      </c>
      <c r="C121" s="320"/>
      <c r="D121" s="320"/>
      <c r="E121" s="320"/>
      <c r="F121" s="309">
        <v>0.1</v>
      </c>
      <c r="G121" s="326"/>
    </row>
    <row r="122" spans="1:7">
      <c r="A122" s="319" t="s">
        <v>286</v>
      </c>
      <c r="B122" s="308" t="s">
        <v>2874</v>
      </c>
      <c r="C122" s="309">
        <v>0.1</v>
      </c>
      <c r="D122" s="309">
        <v>0.1</v>
      </c>
      <c r="E122" s="309">
        <v>9.8000000000000004E-2</v>
      </c>
      <c r="F122" s="309">
        <v>0.1</v>
      </c>
      <c r="G122" s="310">
        <v>0.1</v>
      </c>
    </row>
    <row r="123" spans="1:7">
      <c r="A123" s="319" t="s">
        <v>286</v>
      </c>
      <c r="B123" s="308" t="s">
        <v>2875</v>
      </c>
      <c r="C123" s="309">
        <v>0.1</v>
      </c>
      <c r="D123" s="309">
        <v>0.1</v>
      </c>
      <c r="E123" s="309">
        <v>9.8000000000000004E-2</v>
      </c>
      <c r="F123" s="309">
        <v>0.1</v>
      </c>
      <c r="G123" s="310">
        <v>0.1</v>
      </c>
    </row>
    <row r="124" spans="1:7">
      <c r="A124" s="319" t="s">
        <v>286</v>
      </c>
      <c r="B124" s="308" t="s">
        <v>2876</v>
      </c>
      <c r="C124" s="309">
        <v>0.1</v>
      </c>
      <c r="D124" s="309">
        <v>0.1</v>
      </c>
      <c r="E124" s="309">
        <v>9.8000000000000004E-2</v>
      </c>
      <c r="F124" s="325"/>
      <c r="G124" s="310">
        <v>0.1</v>
      </c>
    </row>
    <row r="125" spans="1:7">
      <c r="A125" s="319" t="s">
        <v>286</v>
      </c>
      <c r="B125" s="308" t="s">
        <v>2877</v>
      </c>
      <c r="C125" s="309">
        <v>9.8000000000000004E-2</v>
      </c>
      <c r="D125" s="309">
        <v>9.8000000000000004E-2</v>
      </c>
      <c r="E125" s="309">
        <v>9.6000000000000002E-2</v>
      </c>
      <c r="F125" s="325"/>
      <c r="G125" s="310">
        <v>0.1</v>
      </c>
    </row>
    <row r="126" spans="1:7">
      <c r="A126" s="322" t="s">
        <v>286</v>
      </c>
      <c r="B126" s="312" t="s">
        <v>2878</v>
      </c>
      <c r="C126" s="313">
        <v>0.1</v>
      </c>
      <c r="D126" s="313">
        <v>0.1</v>
      </c>
      <c r="E126" s="313">
        <v>9.8000000000000004E-2</v>
      </c>
      <c r="F126" s="313">
        <v>0.1</v>
      </c>
      <c r="G126" s="315">
        <v>0.1</v>
      </c>
    </row>
    <row r="127" spans="1:7">
      <c r="A127" s="318" t="s">
        <v>295</v>
      </c>
      <c r="B127" s="304" t="s">
        <v>2879</v>
      </c>
      <c r="C127" s="305">
        <v>0.121</v>
      </c>
      <c r="D127" s="305">
        <v>0.121</v>
      </c>
      <c r="E127" s="305">
        <v>0.107</v>
      </c>
      <c r="F127" s="305">
        <v>0.13</v>
      </c>
      <c r="G127" s="306">
        <v>0.122</v>
      </c>
    </row>
    <row r="128" spans="1:7">
      <c r="A128" s="319" t="s">
        <v>295</v>
      </c>
      <c r="B128" s="308" t="s">
        <v>2880</v>
      </c>
      <c r="C128" s="309">
        <v>0.11600000000000001</v>
      </c>
      <c r="D128" s="309">
        <v>0.11700000000000001</v>
      </c>
      <c r="E128" s="309">
        <v>0.104</v>
      </c>
      <c r="F128" s="309">
        <v>0.13</v>
      </c>
      <c r="G128" s="310">
        <v>0.11700000000000001</v>
      </c>
    </row>
    <row r="129" spans="1:7">
      <c r="A129" s="319" t="s">
        <v>295</v>
      </c>
      <c r="B129" s="308" t="s">
        <v>2881</v>
      </c>
      <c r="C129" s="309">
        <v>0.107</v>
      </c>
      <c r="D129" s="309">
        <v>0.108</v>
      </c>
      <c r="E129" s="309">
        <v>0.1</v>
      </c>
      <c r="F129" s="309">
        <v>0.13</v>
      </c>
      <c r="G129" s="310">
        <v>0.11700000000000001</v>
      </c>
    </row>
    <row r="130" spans="1:7">
      <c r="A130" s="319" t="s">
        <v>295</v>
      </c>
      <c r="B130" s="308" t="s">
        <v>2882</v>
      </c>
      <c r="C130" s="309">
        <v>0.13</v>
      </c>
      <c r="D130" s="309">
        <v>0.13</v>
      </c>
      <c r="E130" s="309">
        <v>0.126</v>
      </c>
      <c r="F130" s="309">
        <v>0.13</v>
      </c>
      <c r="G130" s="310">
        <v>0.13</v>
      </c>
    </row>
    <row r="131" spans="1:7">
      <c r="A131" s="319" t="s">
        <v>295</v>
      </c>
      <c r="B131" s="308" t="s">
        <v>2883</v>
      </c>
      <c r="C131" s="309">
        <v>0.13</v>
      </c>
      <c r="D131" s="309">
        <v>0.13</v>
      </c>
      <c r="E131" s="309">
        <v>0.13</v>
      </c>
      <c r="F131" s="309">
        <v>0.13</v>
      </c>
      <c r="G131" s="310">
        <v>0.13</v>
      </c>
    </row>
    <row r="132" spans="1:7">
      <c r="A132" s="319" t="s">
        <v>295</v>
      </c>
      <c r="B132" s="308" t="s">
        <v>2884</v>
      </c>
      <c r="C132" s="309">
        <v>0.13</v>
      </c>
      <c r="D132" s="309">
        <v>0.13</v>
      </c>
      <c r="E132" s="309">
        <v>0.126</v>
      </c>
      <c r="F132" s="309">
        <v>0.13</v>
      </c>
      <c r="G132" s="310">
        <v>0.13</v>
      </c>
    </row>
    <row r="133" spans="1:7">
      <c r="A133" s="319" t="s">
        <v>295</v>
      </c>
      <c r="B133" s="308" t="s">
        <v>2885</v>
      </c>
      <c r="C133" s="309">
        <v>0.111</v>
      </c>
      <c r="D133" s="309">
        <v>0.111</v>
      </c>
      <c r="E133" s="309">
        <v>0.10199999999999999</v>
      </c>
      <c r="F133" s="309">
        <v>0.13</v>
      </c>
      <c r="G133" s="310">
        <v>0.121</v>
      </c>
    </row>
    <row r="134" spans="1:7">
      <c r="A134" s="319" t="s">
        <v>295</v>
      </c>
      <c r="B134" s="308" t="s">
        <v>2886</v>
      </c>
      <c r="C134" s="309">
        <v>0.121</v>
      </c>
      <c r="D134" s="309">
        <v>0.121</v>
      </c>
      <c r="E134" s="309">
        <v>0.1</v>
      </c>
      <c r="F134" s="309">
        <v>0.13</v>
      </c>
      <c r="G134" s="310">
        <v>0.123</v>
      </c>
    </row>
    <row r="135" spans="1:7">
      <c r="A135" s="319" t="s">
        <v>295</v>
      </c>
      <c r="B135" s="308" t="s">
        <v>2887</v>
      </c>
      <c r="C135" s="309">
        <v>0.105</v>
      </c>
      <c r="D135" s="309">
        <v>0.106</v>
      </c>
      <c r="E135" s="309">
        <v>0.1</v>
      </c>
      <c r="F135" s="309">
        <v>0.13</v>
      </c>
      <c r="G135" s="310">
        <v>0.115</v>
      </c>
    </row>
    <row r="136" spans="1:7">
      <c r="A136" s="319" t="s">
        <v>295</v>
      </c>
      <c r="B136" s="308" t="s">
        <v>2888</v>
      </c>
      <c r="C136" s="309">
        <v>0.127</v>
      </c>
      <c r="D136" s="309">
        <v>0.127</v>
      </c>
      <c r="E136" s="309">
        <v>0.121</v>
      </c>
      <c r="F136" s="309">
        <v>0.123</v>
      </c>
      <c r="G136" s="310">
        <v>0.129</v>
      </c>
    </row>
    <row r="137" spans="1:7">
      <c r="A137" s="319" t="s">
        <v>295</v>
      </c>
      <c r="B137" s="308" t="s">
        <v>2889</v>
      </c>
      <c r="C137" s="309">
        <v>0.13</v>
      </c>
      <c r="D137" s="309">
        <v>0.13</v>
      </c>
      <c r="E137" s="309">
        <v>0.129</v>
      </c>
      <c r="F137" s="309">
        <v>0.13</v>
      </c>
      <c r="G137" s="310">
        <v>0.13</v>
      </c>
    </row>
    <row r="138" spans="1:7">
      <c r="A138" s="319" t="s">
        <v>295</v>
      </c>
      <c r="B138" s="308" t="s">
        <v>2890</v>
      </c>
      <c r="C138" s="309">
        <v>0.13</v>
      </c>
      <c r="D138" s="309">
        <v>0.13</v>
      </c>
      <c r="E138" s="309">
        <v>0.125</v>
      </c>
      <c r="F138" s="309">
        <v>0.13</v>
      </c>
      <c r="G138" s="310">
        <v>0.13</v>
      </c>
    </row>
    <row r="139" spans="1:7">
      <c r="A139" s="319" t="s">
        <v>295</v>
      </c>
      <c r="B139" s="308" t="s">
        <v>2891</v>
      </c>
      <c r="C139" s="309">
        <v>0.13</v>
      </c>
      <c r="D139" s="309">
        <v>0.13</v>
      </c>
      <c r="E139" s="309">
        <v>0.126</v>
      </c>
      <c r="F139" s="309">
        <v>0.13</v>
      </c>
      <c r="G139" s="310">
        <v>0.13</v>
      </c>
    </row>
    <row r="140" spans="1:7">
      <c r="A140" s="319" t="s">
        <v>295</v>
      </c>
      <c r="B140" s="308" t="s">
        <v>2892</v>
      </c>
      <c r="C140" s="309">
        <v>0.1</v>
      </c>
      <c r="D140" s="309">
        <v>0.1</v>
      </c>
      <c r="E140" s="309">
        <v>0.1</v>
      </c>
      <c r="F140" s="309">
        <v>0.123</v>
      </c>
      <c r="G140" s="310">
        <v>0.107</v>
      </c>
    </row>
    <row r="141" spans="1:7">
      <c r="A141" s="319" t="s">
        <v>295</v>
      </c>
      <c r="B141" s="308" t="s">
        <v>2893</v>
      </c>
      <c r="C141" s="309">
        <v>0.127</v>
      </c>
      <c r="D141" s="309">
        <v>0.127</v>
      </c>
      <c r="E141" s="309">
        <v>0.122</v>
      </c>
      <c r="F141" s="309">
        <v>0.1</v>
      </c>
      <c r="G141" s="310">
        <v>0.129</v>
      </c>
    </row>
    <row r="142" spans="1:7">
      <c r="A142" s="319" t="s">
        <v>295</v>
      </c>
      <c r="B142" s="308" t="s">
        <v>2894</v>
      </c>
      <c r="C142" s="309">
        <v>0.121</v>
      </c>
      <c r="D142" s="309">
        <v>0.122</v>
      </c>
      <c r="E142" s="309">
        <v>0.1</v>
      </c>
      <c r="F142" s="309">
        <v>0.123</v>
      </c>
      <c r="G142" s="310">
        <v>0.123</v>
      </c>
    </row>
    <row r="143" spans="1:7">
      <c r="A143" s="319" t="s">
        <v>295</v>
      </c>
      <c r="B143" s="308" t="s">
        <v>2895</v>
      </c>
      <c r="C143" s="309">
        <v>0.1</v>
      </c>
      <c r="D143" s="309">
        <v>0.1</v>
      </c>
      <c r="E143" s="309">
        <v>0.1</v>
      </c>
      <c r="F143" s="309">
        <v>0.13</v>
      </c>
      <c r="G143" s="310">
        <v>0.1</v>
      </c>
    </row>
    <row r="144" spans="1:7">
      <c r="A144" s="319" t="s">
        <v>295</v>
      </c>
      <c r="B144" s="308" t="s">
        <v>2896</v>
      </c>
      <c r="C144" s="309">
        <v>0.106</v>
      </c>
      <c r="D144" s="309">
        <v>0.105</v>
      </c>
      <c r="E144" s="309">
        <v>0.1</v>
      </c>
      <c r="F144" s="309">
        <v>0.13</v>
      </c>
      <c r="G144" s="310">
        <v>0.11799999999999999</v>
      </c>
    </row>
    <row r="145" spans="1:7">
      <c r="A145" s="319" t="s">
        <v>295</v>
      </c>
      <c r="B145" s="308" t="s">
        <v>2897</v>
      </c>
      <c r="C145" s="309">
        <v>0.123</v>
      </c>
      <c r="D145" s="309">
        <v>0.123</v>
      </c>
      <c r="E145" s="309">
        <v>0.11700000000000001</v>
      </c>
      <c r="F145" s="309">
        <v>0.13</v>
      </c>
      <c r="G145" s="310">
        <v>0.126</v>
      </c>
    </row>
    <row r="146" spans="1:7">
      <c r="A146" s="319" t="s">
        <v>295</v>
      </c>
      <c r="B146" s="308" t="s">
        <v>2898</v>
      </c>
      <c r="C146" s="309">
        <v>0.127</v>
      </c>
      <c r="D146" s="309">
        <v>0.127</v>
      </c>
      <c r="E146" s="309">
        <v>0.12</v>
      </c>
      <c r="F146" s="320"/>
      <c r="G146" s="310">
        <v>0.129</v>
      </c>
    </row>
    <row r="147" spans="1:7">
      <c r="A147" s="319" t="s">
        <v>295</v>
      </c>
      <c r="B147" s="308" t="s">
        <v>2899</v>
      </c>
      <c r="C147" s="309">
        <v>0.13</v>
      </c>
      <c r="D147" s="309">
        <v>0.13</v>
      </c>
      <c r="E147" s="309">
        <v>0.126</v>
      </c>
      <c r="F147" s="320"/>
      <c r="G147" s="310">
        <v>0.13</v>
      </c>
    </row>
    <row r="148" spans="1:7">
      <c r="A148" s="319" t="s">
        <v>295</v>
      </c>
      <c r="B148" s="308" t="s">
        <v>2900</v>
      </c>
      <c r="C148" s="309">
        <v>0.13</v>
      </c>
      <c r="D148" s="309">
        <v>0.13</v>
      </c>
      <c r="E148" s="309">
        <v>0.13</v>
      </c>
      <c r="F148" s="320"/>
      <c r="G148" s="310">
        <v>0.13</v>
      </c>
    </row>
    <row r="149" spans="1:7">
      <c r="A149" s="319" t="s">
        <v>295</v>
      </c>
      <c r="B149" s="308" t="s">
        <v>2901</v>
      </c>
      <c r="C149" s="309">
        <v>0.13</v>
      </c>
      <c r="D149" s="309">
        <v>0.13</v>
      </c>
      <c r="E149" s="309">
        <v>0.13</v>
      </c>
      <c r="F149" s="309">
        <v>0.13</v>
      </c>
      <c r="G149" s="310">
        <v>0.13</v>
      </c>
    </row>
    <row r="150" spans="1:7">
      <c r="A150" s="319" t="s">
        <v>295</v>
      </c>
      <c r="B150" s="308" t="s">
        <v>2902</v>
      </c>
      <c r="C150" s="309">
        <v>0.13</v>
      </c>
      <c r="D150" s="309">
        <v>0.13</v>
      </c>
      <c r="E150" s="309">
        <v>0.127</v>
      </c>
      <c r="F150" s="309">
        <v>0.13</v>
      </c>
      <c r="G150" s="310">
        <v>0.13</v>
      </c>
    </row>
    <row r="151" spans="1:7">
      <c r="A151" s="319" t="s">
        <v>295</v>
      </c>
      <c r="B151" s="308" t="s">
        <v>2903</v>
      </c>
      <c r="C151" s="309">
        <v>0.13</v>
      </c>
      <c r="D151" s="309">
        <v>0.13</v>
      </c>
      <c r="E151" s="309">
        <v>0.13</v>
      </c>
      <c r="F151" s="309">
        <v>0.13</v>
      </c>
      <c r="G151" s="310">
        <v>0.13</v>
      </c>
    </row>
    <row r="152" spans="1:7">
      <c r="A152" s="319" t="s">
        <v>295</v>
      </c>
      <c r="B152" s="308" t="s">
        <v>2904</v>
      </c>
      <c r="C152" s="309">
        <v>0.13</v>
      </c>
      <c r="D152" s="309">
        <v>0.13</v>
      </c>
      <c r="E152" s="309">
        <v>0.13</v>
      </c>
      <c r="F152" s="309">
        <v>0.13</v>
      </c>
      <c r="G152" s="310">
        <v>0.13</v>
      </c>
    </row>
    <row r="153" spans="1:7">
      <c r="A153" s="319" t="s">
        <v>295</v>
      </c>
      <c r="B153" s="308" t="s">
        <v>2905</v>
      </c>
      <c r="C153" s="309">
        <v>0.13</v>
      </c>
      <c r="D153" s="309">
        <v>0.13</v>
      </c>
      <c r="E153" s="309">
        <v>0.13</v>
      </c>
      <c r="F153" s="309">
        <v>0.13</v>
      </c>
      <c r="G153" s="310">
        <v>0.13</v>
      </c>
    </row>
    <row r="154" spans="1:7">
      <c r="A154" s="319" t="s">
        <v>295</v>
      </c>
      <c r="B154" s="308" t="s">
        <v>2906</v>
      </c>
      <c r="C154" s="309">
        <v>0.121</v>
      </c>
      <c r="D154" s="309">
        <v>0.121</v>
      </c>
      <c r="E154" s="309">
        <v>0.105</v>
      </c>
      <c r="F154" s="309">
        <v>0.121</v>
      </c>
      <c r="G154" s="310">
        <v>0.123</v>
      </c>
    </row>
    <row r="155" spans="1:7">
      <c r="A155" s="319" t="s">
        <v>295</v>
      </c>
      <c r="B155" s="308" t="s">
        <v>2907</v>
      </c>
      <c r="C155" s="309">
        <v>0.1</v>
      </c>
      <c r="D155" s="309">
        <v>0.1</v>
      </c>
      <c r="E155" s="309">
        <v>0.1</v>
      </c>
      <c r="F155" s="309">
        <v>0.1</v>
      </c>
      <c r="G155" s="310">
        <v>0.1</v>
      </c>
    </row>
    <row r="156" spans="1:7">
      <c r="A156" s="319" t="s">
        <v>295</v>
      </c>
      <c r="B156" s="308" t="s">
        <v>2908</v>
      </c>
      <c r="C156" s="309">
        <v>0.13</v>
      </c>
      <c r="D156" s="309">
        <v>0.13</v>
      </c>
      <c r="E156" s="309">
        <v>0.13</v>
      </c>
      <c r="F156" s="309">
        <v>0.13</v>
      </c>
      <c r="G156" s="310">
        <v>0.13</v>
      </c>
    </row>
    <row r="157" spans="1:7">
      <c r="A157" s="319" t="s">
        <v>295</v>
      </c>
      <c r="B157" s="308" t="s">
        <v>2909</v>
      </c>
      <c r="C157" s="309">
        <v>0.13</v>
      </c>
      <c r="D157" s="309">
        <v>0.13</v>
      </c>
      <c r="E157" s="309">
        <v>0.125</v>
      </c>
      <c r="F157" s="309">
        <v>0.13</v>
      </c>
      <c r="G157" s="310">
        <v>0.13</v>
      </c>
    </row>
    <row r="158" spans="1:7">
      <c r="A158" s="319" t="s">
        <v>295</v>
      </c>
      <c r="B158" s="308" t="s">
        <v>2910</v>
      </c>
      <c r="C158" s="309">
        <v>0.124</v>
      </c>
      <c r="D158" s="309">
        <v>0.124</v>
      </c>
      <c r="E158" s="309">
        <v>0.11700000000000001</v>
      </c>
      <c r="F158" s="309">
        <v>0.121</v>
      </c>
      <c r="G158" s="310">
        <v>0.124</v>
      </c>
    </row>
    <row r="159" spans="1:7">
      <c r="A159" s="319" t="s">
        <v>295</v>
      </c>
      <c r="B159" s="308" t="s">
        <v>2911</v>
      </c>
      <c r="C159" s="309">
        <v>0.127</v>
      </c>
      <c r="D159" s="309">
        <v>0.127</v>
      </c>
      <c r="E159" s="309">
        <v>0.122</v>
      </c>
      <c r="F159" s="309">
        <v>0.13</v>
      </c>
      <c r="G159" s="310">
        <v>0.129</v>
      </c>
    </row>
    <row r="160" spans="1:7">
      <c r="A160" s="319" t="s">
        <v>295</v>
      </c>
      <c r="B160" s="308" t="s">
        <v>2912</v>
      </c>
      <c r="C160" s="309">
        <v>0.13</v>
      </c>
      <c r="D160" s="309">
        <v>0.13</v>
      </c>
      <c r="E160" s="309">
        <v>0.124</v>
      </c>
      <c r="F160" s="309">
        <v>0.126</v>
      </c>
      <c r="G160" s="310">
        <v>0.13</v>
      </c>
    </row>
    <row r="161" spans="1:7">
      <c r="A161" s="319" t="s">
        <v>295</v>
      </c>
      <c r="B161" s="308" t="s">
        <v>2913</v>
      </c>
      <c r="C161" s="309">
        <v>0.13</v>
      </c>
      <c r="D161" s="309">
        <v>0.13</v>
      </c>
      <c r="E161" s="309">
        <v>0.124</v>
      </c>
      <c r="F161" s="309">
        <v>0.127</v>
      </c>
      <c r="G161" s="310">
        <v>0.13</v>
      </c>
    </row>
    <row r="162" spans="1:7">
      <c r="A162" s="319" t="s">
        <v>295</v>
      </c>
      <c r="B162" s="308" t="s">
        <v>2914</v>
      </c>
      <c r="C162" s="309">
        <v>0.1</v>
      </c>
      <c r="D162" s="309">
        <v>0.1</v>
      </c>
      <c r="E162" s="309">
        <v>0.1</v>
      </c>
      <c r="F162" s="309">
        <v>0.121</v>
      </c>
      <c r="G162" s="310">
        <v>0.105</v>
      </c>
    </row>
    <row r="163" spans="1:7">
      <c r="A163" s="319" t="s">
        <v>295</v>
      </c>
      <c r="B163" s="308" t="s">
        <v>2915</v>
      </c>
      <c r="C163" s="309">
        <v>0.1</v>
      </c>
      <c r="D163" s="309">
        <v>0.1</v>
      </c>
      <c r="E163" s="309">
        <v>0.1</v>
      </c>
      <c r="F163" s="309">
        <v>0.1</v>
      </c>
      <c r="G163" s="310">
        <v>0.1</v>
      </c>
    </row>
    <row r="164" spans="1:7">
      <c r="A164" s="319" t="s">
        <v>295</v>
      </c>
      <c r="B164" s="308" t="s">
        <v>2916</v>
      </c>
      <c r="C164" s="325"/>
      <c r="D164" s="325"/>
      <c r="E164" s="325"/>
      <c r="F164" s="309">
        <v>0.1</v>
      </c>
      <c r="G164" s="321"/>
    </row>
    <row r="165" spans="1:7">
      <c r="A165" s="319" t="s">
        <v>295</v>
      </c>
      <c r="B165" s="308" t="s">
        <v>2917</v>
      </c>
      <c r="C165" s="309">
        <v>0.126</v>
      </c>
      <c r="D165" s="309">
        <v>0.126</v>
      </c>
      <c r="E165" s="309">
        <v>0.11899999999999999</v>
      </c>
      <c r="F165" s="309">
        <v>0.13</v>
      </c>
      <c r="G165" s="310">
        <v>0.128</v>
      </c>
    </row>
    <row r="166" spans="1:7">
      <c r="A166" s="319" t="s">
        <v>295</v>
      </c>
      <c r="B166" s="308" t="s">
        <v>2918</v>
      </c>
      <c r="C166" s="309">
        <v>0.129</v>
      </c>
      <c r="D166" s="309">
        <v>0.129</v>
      </c>
      <c r="E166" s="309">
        <v>0.123</v>
      </c>
      <c r="F166" s="309">
        <v>0.128</v>
      </c>
      <c r="G166" s="310">
        <v>0.13</v>
      </c>
    </row>
    <row r="167" spans="1:7">
      <c r="A167" s="319" t="s">
        <v>295</v>
      </c>
      <c r="B167" s="308" t="s">
        <v>2919</v>
      </c>
      <c r="C167" s="309">
        <v>0.125</v>
      </c>
      <c r="D167" s="309">
        <v>0.125</v>
      </c>
      <c r="E167" s="309">
        <v>0.11700000000000001</v>
      </c>
      <c r="F167" s="309">
        <v>0.13</v>
      </c>
      <c r="G167" s="310">
        <v>0.126</v>
      </c>
    </row>
    <row r="168" spans="1:7">
      <c r="A168" s="319" t="s">
        <v>295</v>
      </c>
      <c r="B168" s="308" t="s">
        <v>2920</v>
      </c>
      <c r="C168" s="309">
        <v>0.128</v>
      </c>
      <c r="D168" s="309">
        <v>0.128</v>
      </c>
      <c r="E168" s="309">
        <v>0.123</v>
      </c>
      <c r="F168" s="320"/>
      <c r="G168" s="310">
        <v>0.13</v>
      </c>
    </row>
    <row r="169" spans="1:7">
      <c r="A169" s="319" t="s">
        <v>295</v>
      </c>
      <c r="B169" s="308" t="s">
        <v>2921</v>
      </c>
      <c r="C169" s="325"/>
      <c r="D169" s="325"/>
      <c r="E169" s="325"/>
      <c r="F169" s="309">
        <v>0.05</v>
      </c>
      <c r="G169" s="321"/>
    </row>
    <row r="170" spans="1:7">
      <c r="A170" s="319" t="s">
        <v>295</v>
      </c>
      <c r="B170" s="308" t="s">
        <v>2922</v>
      </c>
      <c r="C170" s="325"/>
      <c r="D170" s="325"/>
      <c r="E170" s="325"/>
      <c r="F170" s="309">
        <v>0.05</v>
      </c>
      <c r="G170" s="321"/>
    </row>
    <row r="171" spans="1:7">
      <c r="A171" s="319" t="s">
        <v>295</v>
      </c>
      <c r="B171" s="308" t="s">
        <v>2923</v>
      </c>
      <c r="C171" s="325"/>
      <c r="D171" s="325"/>
      <c r="E171" s="325"/>
      <c r="F171" s="309">
        <v>0.05</v>
      </c>
      <c r="G171" s="326"/>
    </row>
    <row r="172" spans="1:7">
      <c r="A172" s="319" t="s">
        <v>295</v>
      </c>
      <c r="B172" s="308" t="s">
        <v>2924</v>
      </c>
      <c r="C172" s="325"/>
      <c r="D172" s="325"/>
      <c r="E172" s="325"/>
      <c r="F172" s="309">
        <v>0.05</v>
      </c>
      <c r="G172" s="326"/>
    </row>
    <row r="173" spans="1:7">
      <c r="A173" s="319" t="s">
        <v>295</v>
      </c>
      <c r="B173" s="308" t="s">
        <v>2925</v>
      </c>
      <c r="C173" s="325"/>
      <c r="D173" s="325"/>
      <c r="E173" s="325"/>
      <c r="F173" s="309">
        <v>0.05</v>
      </c>
      <c r="G173" s="321"/>
    </row>
    <row r="174" spans="1:7">
      <c r="A174" s="319" t="s">
        <v>295</v>
      </c>
      <c r="B174" s="308" t="s">
        <v>2926</v>
      </c>
      <c r="C174" s="325"/>
      <c r="D174" s="325"/>
      <c r="E174" s="325"/>
      <c r="F174" s="309">
        <v>0.05</v>
      </c>
      <c r="G174" s="321"/>
    </row>
    <row r="175" spans="1:7">
      <c r="A175" s="319" t="s">
        <v>295</v>
      </c>
      <c r="B175" s="308" t="s">
        <v>2927</v>
      </c>
      <c r="C175" s="325"/>
      <c r="D175" s="325"/>
      <c r="E175" s="325"/>
      <c r="F175" s="309">
        <v>0.05</v>
      </c>
      <c r="G175" s="321"/>
    </row>
    <row r="176" spans="1:7">
      <c r="A176" s="319" t="s">
        <v>295</v>
      </c>
      <c r="B176" s="308" t="s">
        <v>2928</v>
      </c>
      <c r="C176" s="325"/>
      <c r="D176" s="325"/>
      <c r="E176" s="325"/>
      <c r="F176" s="309">
        <v>0.05</v>
      </c>
      <c r="G176" s="321"/>
    </row>
    <row r="177" spans="1:7">
      <c r="A177" s="319" t="s">
        <v>295</v>
      </c>
      <c r="B177" s="308" t="s">
        <v>2929</v>
      </c>
      <c r="C177" s="320"/>
      <c r="D177" s="320"/>
      <c r="E177" s="320"/>
      <c r="F177" s="309">
        <v>0.05</v>
      </c>
      <c r="G177" s="326"/>
    </row>
    <row r="178" spans="1:7">
      <c r="A178" s="319" t="s">
        <v>295</v>
      </c>
      <c r="B178" s="308" t="s">
        <v>2930</v>
      </c>
      <c r="C178" s="320"/>
      <c r="D178" s="320"/>
      <c r="E178" s="320"/>
      <c r="F178" s="309">
        <v>0.05</v>
      </c>
      <c r="G178" s="326"/>
    </row>
    <row r="179" spans="1:7">
      <c r="A179" s="319" t="s">
        <v>295</v>
      </c>
      <c r="B179" s="308" t="s">
        <v>2931</v>
      </c>
      <c r="C179" s="320"/>
      <c r="D179" s="320"/>
      <c r="E179" s="320"/>
      <c r="F179" s="309">
        <v>0.05</v>
      </c>
      <c r="G179" s="326"/>
    </row>
    <row r="180" spans="1:7">
      <c r="A180" s="319" t="s">
        <v>295</v>
      </c>
      <c r="B180" s="308" t="s">
        <v>2932</v>
      </c>
      <c r="C180" s="320"/>
      <c r="D180" s="320"/>
      <c r="E180" s="320"/>
      <c r="F180" s="309">
        <v>0.05</v>
      </c>
      <c r="G180" s="326"/>
    </row>
    <row r="181" spans="1:7">
      <c r="A181" s="319" t="s">
        <v>295</v>
      </c>
      <c r="B181" s="308" t="s">
        <v>2933</v>
      </c>
      <c r="C181" s="320"/>
      <c r="D181" s="320"/>
      <c r="E181" s="320"/>
      <c r="F181" s="309">
        <v>0.05</v>
      </c>
      <c r="G181" s="326"/>
    </row>
    <row r="182" spans="1:7">
      <c r="A182" s="319" t="s">
        <v>295</v>
      </c>
      <c r="B182" s="308" t="s">
        <v>2934</v>
      </c>
      <c r="C182" s="320"/>
      <c r="D182" s="320"/>
      <c r="E182" s="320"/>
      <c r="F182" s="309">
        <v>0.05</v>
      </c>
      <c r="G182" s="326"/>
    </row>
    <row r="183" spans="1:7">
      <c r="A183" s="319" t="s">
        <v>295</v>
      </c>
      <c r="B183" s="308" t="s">
        <v>2935</v>
      </c>
      <c r="C183" s="320"/>
      <c r="D183" s="320"/>
      <c r="E183" s="320"/>
      <c r="F183" s="309">
        <v>0.05</v>
      </c>
      <c r="G183" s="326"/>
    </row>
    <row r="184" spans="1:7">
      <c r="A184" s="319" t="s">
        <v>295</v>
      </c>
      <c r="B184" s="308" t="s">
        <v>2936</v>
      </c>
      <c r="C184" s="320"/>
      <c r="D184" s="320"/>
      <c r="E184" s="320"/>
      <c r="F184" s="309">
        <v>0.05</v>
      </c>
      <c r="G184" s="326"/>
    </row>
    <row r="185" spans="1:7">
      <c r="A185" s="319" t="s">
        <v>295</v>
      </c>
      <c r="B185" s="308" t="s">
        <v>2937</v>
      </c>
      <c r="C185" s="320"/>
      <c r="D185" s="320"/>
      <c r="E185" s="320"/>
      <c r="F185" s="309">
        <v>0.05</v>
      </c>
      <c r="G185" s="326"/>
    </row>
    <row r="186" spans="1:7">
      <c r="A186" s="319" t="s">
        <v>295</v>
      </c>
      <c r="B186" s="308" t="s">
        <v>2938</v>
      </c>
      <c r="C186" s="320"/>
      <c r="D186" s="320"/>
      <c r="E186" s="320"/>
      <c r="F186" s="309">
        <v>0.05</v>
      </c>
      <c r="G186" s="326"/>
    </row>
    <row r="187" spans="1:7">
      <c r="A187" s="319" t="s">
        <v>295</v>
      </c>
      <c r="B187" s="308" t="s">
        <v>2939</v>
      </c>
      <c r="C187" s="320"/>
      <c r="D187" s="320"/>
      <c r="E187" s="320"/>
      <c r="F187" s="309">
        <v>0.05</v>
      </c>
      <c r="G187" s="326"/>
    </row>
    <row r="188" spans="1:7">
      <c r="A188" s="319" t="s">
        <v>295</v>
      </c>
      <c r="B188" s="308" t="s">
        <v>2940</v>
      </c>
      <c r="C188" s="320"/>
      <c r="D188" s="320"/>
      <c r="E188" s="320"/>
      <c r="F188" s="309">
        <v>0.05</v>
      </c>
      <c r="G188" s="326"/>
    </row>
    <row r="189" spans="1:7">
      <c r="A189" s="322" t="s">
        <v>295</v>
      </c>
      <c r="B189" s="312" t="s">
        <v>2941</v>
      </c>
      <c r="C189" s="314"/>
      <c r="D189" s="314"/>
      <c r="E189" s="314"/>
      <c r="F189" s="313">
        <v>0.05</v>
      </c>
      <c r="G189" s="327"/>
    </row>
    <row r="190" spans="1:7">
      <c r="A190" s="318" t="s">
        <v>303</v>
      </c>
      <c r="B190" s="304" t="s">
        <v>2942</v>
      </c>
      <c r="C190" s="305">
        <v>0.124</v>
      </c>
      <c r="D190" s="305">
        <v>0.124</v>
      </c>
      <c r="E190" s="305">
        <v>0.129</v>
      </c>
      <c r="F190" s="305">
        <v>0.13</v>
      </c>
      <c r="G190" s="306">
        <v>0.127</v>
      </c>
    </row>
    <row r="191" spans="1:7">
      <c r="A191" s="319" t="s">
        <v>303</v>
      </c>
      <c r="B191" s="308" t="s">
        <v>2943</v>
      </c>
      <c r="C191" s="309">
        <v>0.13</v>
      </c>
      <c r="D191" s="309">
        <v>0.13</v>
      </c>
      <c r="E191" s="309">
        <v>0.13</v>
      </c>
      <c r="F191" s="309">
        <v>0.13</v>
      </c>
      <c r="G191" s="310">
        <v>0.13</v>
      </c>
    </row>
    <row r="192" spans="1:7">
      <c r="A192" s="319" t="s">
        <v>303</v>
      </c>
      <c r="B192" s="308" t="s">
        <v>2944</v>
      </c>
      <c r="C192" s="309">
        <v>0.13</v>
      </c>
      <c r="D192" s="309">
        <v>0.13</v>
      </c>
      <c r="E192" s="309">
        <v>0.13</v>
      </c>
      <c r="F192" s="309">
        <v>0.13</v>
      </c>
      <c r="G192" s="310">
        <v>0.13</v>
      </c>
    </row>
    <row r="193" spans="1:7">
      <c r="A193" s="319" t="s">
        <v>303</v>
      </c>
      <c r="B193" s="308" t="s">
        <v>2945</v>
      </c>
      <c r="C193" s="309">
        <v>0.13</v>
      </c>
      <c r="D193" s="309">
        <v>0.13</v>
      </c>
      <c r="E193" s="309">
        <v>0.13</v>
      </c>
      <c r="F193" s="309">
        <v>0.13</v>
      </c>
      <c r="G193" s="310">
        <v>0.13</v>
      </c>
    </row>
    <row r="194" spans="1:7">
      <c r="A194" s="319" t="s">
        <v>303</v>
      </c>
      <c r="B194" s="308" t="s">
        <v>2946</v>
      </c>
      <c r="C194" s="309">
        <v>0.123</v>
      </c>
      <c r="D194" s="309">
        <v>0.123</v>
      </c>
      <c r="E194" s="309">
        <v>0.128</v>
      </c>
      <c r="F194" s="309">
        <v>0.13</v>
      </c>
      <c r="G194" s="310">
        <v>0.126</v>
      </c>
    </row>
    <row r="195" spans="1:7">
      <c r="A195" s="319" t="s">
        <v>303</v>
      </c>
      <c r="B195" s="308" t="s">
        <v>2947</v>
      </c>
      <c r="C195" s="309">
        <v>0.127</v>
      </c>
      <c r="D195" s="309">
        <v>0.127</v>
      </c>
      <c r="E195" s="309">
        <v>0.121</v>
      </c>
      <c r="F195" s="309">
        <v>0.129</v>
      </c>
      <c r="G195" s="310">
        <v>0.129</v>
      </c>
    </row>
    <row r="196" spans="1:7">
      <c r="A196" s="319" t="s">
        <v>303</v>
      </c>
      <c r="B196" s="308" t="s">
        <v>2948</v>
      </c>
      <c r="C196" s="309">
        <v>0.127</v>
      </c>
      <c r="D196" s="309">
        <v>0.128</v>
      </c>
      <c r="E196" s="309">
        <v>0.122</v>
      </c>
      <c r="F196" s="309">
        <v>0.13</v>
      </c>
      <c r="G196" s="310">
        <v>0.129</v>
      </c>
    </row>
    <row r="197" spans="1:7">
      <c r="A197" s="319" t="s">
        <v>303</v>
      </c>
      <c r="B197" s="308" t="s">
        <v>2949</v>
      </c>
      <c r="C197" s="309">
        <v>0.126</v>
      </c>
      <c r="D197" s="309">
        <v>0.126</v>
      </c>
      <c r="E197" s="309">
        <v>0.11899999999999999</v>
      </c>
      <c r="F197" s="309">
        <v>0.13</v>
      </c>
      <c r="G197" s="310">
        <v>0.128</v>
      </c>
    </row>
    <row r="198" spans="1:7">
      <c r="A198" s="319" t="s">
        <v>303</v>
      </c>
      <c r="B198" s="308" t="s">
        <v>2950</v>
      </c>
      <c r="C198" s="309">
        <v>0.13</v>
      </c>
      <c r="D198" s="309">
        <v>0.13</v>
      </c>
      <c r="E198" s="309">
        <v>0.126</v>
      </c>
      <c r="F198" s="325"/>
      <c r="G198" s="310">
        <v>0.13</v>
      </c>
    </row>
    <row r="199" spans="1:7">
      <c r="A199" s="319" t="s">
        <v>303</v>
      </c>
      <c r="B199" s="308" t="s">
        <v>2951</v>
      </c>
      <c r="C199" s="309">
        <v>0.13</v>
      </c>
      <c r="D199" s="309">
        <v>0.13</v>
      </c>
      <c r="E199" s="309">
        <v>0.13</v>
      </c>
      <c r="F199" s="309">
        <v>0.13</v>
      </c>
      <c r="G199" s="310">
        <v>0.13</v>
      </c>
    </row>
    <row r="200" spans="1:7">
      <c r="A200" s="319" t="s">
        <v>303</v>
      </c>
      <c r="B200" s="308" t="s">
        <v>2952</v>
      </c>
      <c r="C200" s="325"/>
      <c r="D200" s="325"/>
      <c r="E200" s="325"/>
      <c r="F200" s="309">
        <v>0.13</v>
      </c>
      <c r="G200" s="321"/>
    </row>
    <row r="201" spans="1:7">
      <c r="A201" s="319" t="s">
        <v>303</v>
      </c>
      <c r="B201" s="308" t="s">
        <v>2953</v>
      </c>
      <c r="C201" s="309">
        <v>0.13</v>
      </c>
      <c r="D201" s="309">
        <v>0.13</v>
      </c>
      <c r="E201" s="309">
        <v>0.13</v>
      </c>
      <c r="F201" s="309">
        <v>0.129</v>
      </c>
      <c r="G201" s="310">
        <v>0.13</v>
      </c>
    </row>
    <row r="202" spans="1:7">
      <c r="A202" s="319" t="s">
        <v>303</v>
      </c>
      <c r="B202" s="308" t="s">
        <v>2954</v>
      </c>
      <c r="C202" s="309">
        <v>0.13</v>
      </c>
      <c r="D202" s="309">
        <v>0.13</v>
      </c>
      <c r="E202" s="309">
        <v>0.13</v>
      </c>
      <c r="F202" s="309">
        <v>0.13</v>
      </c>
      <c r="G202" s="310">
        <v>0.13</v>
      </c>
    </row>
    <row r="203" spans="1:7">
      <c r="A203" s="319" t="s">
        <v>303</v>
      </c>
      <c r="B203" s="308" t="s">
        <v>2955</v>
      </c>
      <c r="C203" s="309">
        <v>0.129</v>
      </c>
      <c r="D203" s="309">
        <v>0.129</v>
      </c>
      <c r="E203" s="309">
        <v>0.13</v>
      </c>
      <c r="F203" s="309">
        <v>0.13</v>
      </c>
      <c r="G203" s="310">
        <v>0.13</v>
      </c>
    </row>
    <row r="204" spans="1:7">
      <c r="A204" s="319" t="s">
        <v>303</v>
      </c>
      <c r="B204" s="308" t="s">
        <v>2956</v>
      </c>
      <c r="C204" s="309">
        <v>0.129</v>
      </c>
      <c r="D204" s="309">
        <v>0.129</v>
      </c>
      <c r="E204" s="309">
        <v>0.123</v>
      </c>
      <c r="F204" s="309">
        <v>0.13</v>
      </c>
      <c r="G204" s="310">
        <v>0.13</v>
      </c>
    </row>
    <row r="205" spans="1:7">
      <c r="A205" s="319" t="s">
        <v>303</v>
      </c>
      <c r="B205" s="308" t="s">
        <v>2957</v>
      </c>
      <c r="C205" s="309">
        <v>0.13</v>
      </c>
      <c r="D205" s="309">
        <v>0.13</v>
      </c>
      <c r="E205" s="309">
        <v>0.13</v>
      </c>
      <c r="F205" s="309">
        <v>0.13</v>
      </c>
      <c r="G205" s="310">
        <v>0.13</v>
      </c>
    </row>
    <row r="206" spans="1:7">
      <c r="A206" s="319" t="s">
        <v>303</v>
      </c>
      <c r="B206" s="308" t="s">
        <v>2958</v>
      </c>
      <c r="C206" s="309">
        <v>0.13</v>
      </c>
      <c r="D206" s="309">
        <v>0.13</v>
      </c>
      <c r="E206" s="309">
        <v>0.13</v>
      </c>
      <c r="F206" s="309">
        <v>0.128</v>
      </c>
      <c r="G206" s="310">
        <v>0.13</v>
      </c>
    </row>
    <row r="207" spans="1:7">
      <c r="A207" s="319" t="s">
        <v>303</v>
      </c>
      <c r="B207" s="308" t="s">
        <v>2959</v>
      </c>
      <c r="C207" s="309">
        <v>0.13</v>
      </c>
      <c r="D207" s="309">
        <v>0.13</v>
      </c>
      <c r="E207" s="309">
        <v>0.13</v>
      </c>
      <c r="F207" s="309">
        <v>0.13</v>
      </c>
      <c r="G207" s="310">
        <v>0.13</v>
      </c>
    </row>
    <row r="208" spans="1:7">
      <c r="A208" s="319" t="s">
        <v>303</v>
      </c>
      <c r="B208" s="308" t="s">
        <v>2960</v>
      </c>
      <c r="C208" s="309">
        <v>0.13</v>
      </c>
      <c r="D208" s="309">
        <v>0.13</v>
      </c>
      <c r="E208" s="309">
        <v>0.13</v>
      </c>
      <c r="F208" s="309">
        <v>0.13</v>
      </c>
      <c r="G208" s="310">
        <v>0.13</v>
      </c>
    </row>
    <row r="209" spans="1:7">
      <c r="A209" s="319" t="s">
        <v>303</v>
      </c>
      <c r="B209" s="308" t="s">
        <v>2961</v>
      </c>
      <c r="C209" s="309">
        <v>0.13</v>
      </c>
      <c r="D209" s="309">
        <v>0.13</v>
      </c>
      <c r="E209" s="309">
        <v>0.13</v>
      </c>
      <c r="F209" s="309">
        <v>0.13</v>
      </c>
      <c r="G209" s="310">
        <v>0.13</v>
      </c>
    </row>
    <row r="210" spans="1:7">
      <c r="A210" s="319" t="s">
        <v>303</v>
      </c>
      <c r="B210" s="308" t="s">
        <v>2962</v>
      </c>
      <c r="C210" s="309">
        <v>0.121</v>
      </c>
      <c r="D210" s="309">
        <v>0.121</v>
      </c>
      <c r="E210" s="309">
        <v>0.125</v>
      </c>
      <c r="F210" s="309">
        <v>0.13</v>
      </c>
      <c r="G210" s="310">
        <v>0.123</v>
      </c>
    </row>
    <row r="211" spans="1:7">
      <c r="A211" s="319" t="s">
        <v>303</v>
      </c>
      <c r="B211" s="308" t="s">
        <v>2963</v>
      </c>
      <c r="C211" s="309">
        <v>0.123</v>
      </c>
      <c r="D211" s="309">
        <v>0.123</v>
      </c>
      <c r="E211" s="309">
        <v>0.127</v>
      </c>
      <c r="F211" s="309">
        <v>0.115</v>
      </c>
      <c r="G211" s="310">
        <v>0.126</v>
      </c>
    </row>
    <row r="212" spans="1:7">
      <c r="A212" s="319" t="s">
        <v>303</v>
      </c>
      <c r="B212" s="308" t="s">
        <v>2964</v>
      </c>
      <c r="C212" s="309">
        <v>0.126</v>
      </c>
      <c r="D212" s="309">
        <v>0.126</v>
      </c>
      <c r="E212" s="309">
        <v>0.13</v>
      </c>
      <c r="F212" s="309">
        <v>0.13</v>
      </c>
      <c r="G212" s="310">
        <v>0.129</v>
      </c>
    </row>
    <row r="213" spans="1:7">
      <c r="A213" s="319" t="s">
        <v>303</v>
      </c>
      <c r="B213" s="308" t="s">
        <v>2965</v>
      </c>
      <c r="C213" s="309">
        <v>0.129</v>
      </c>
      <c r="D213" s="309">
        <v>0.13</v>
      </c>
      <c r="E213" s="309">
        <v>0.127</v>
      </c>
      <c r="F213" s="309">
        <v>0.13</v>
      </c>
      <c r="G213" s="310">
        <v>0.13</v>
      </c>
    </row>
    <row r="214" spans="1:7">
      <c r="A214" s="319" t="s">
        <v>303</v>
      </c>
      <c r="B214" s="308" t="s">
        <v>2966</v>
      </c>
      <c r="C214" s="309">
        <v>0.128</v>
      </c>
      <c r="D214" s="309">
        <v>0.128</v>
      </c>
      <c r="E214" s="309">
        <v>0.13</v>
      </c>
      <c r="F214" s="309">
        <v>0.13</v>
      </c>
      <c r="G214" s="310">
        <v>0.13</v>
      </c>
    </row>
    <row r="215" spans="1:7">
      <c r="A215" s="319" t="s">
        <v>303</v>
      </c>
      <c r="B215" s="308" t="s">
        <v>2967</v>
      </c>
      <c r="C215" s="309">
        <v>0.13</v>
      </c>
      <c r="D215" s="309">
        <v>0.13</v>
      </c>
      <c r="E215" s="309">
        <v>0.13</v>
      </c>
      <c r="F215" s="309">
        <v>0.129</v>
      </c>
      <c r="G215" s="310">
        <v>0.13</v>
      </c>
    </row>
    <row r="216" spans="1:7">
      <c r="A216" s="319" t="s">
        <v>303</v>
      </c>
      <c r="B216" s="308" t="s">
        <v>549</v>
      </c>
      <c r="C216" s="309">
        <v>0.13</v>
      </c>
      <c r="D216" s="309">
        <v>0.13</v>
      </c>
      <c r="E216" s="309">
        <v>0.13</v>
      </c>
      <c r="F216" s="309">
        <v>0.13</v>
      </c>
      <c r="G216" s="310">
        <v>0.13</v>
      </c>
    </row>
    <row r="217" spans="1:7">
      <c r="A217" s="319" t="s">
        <v>303</v>
      </c>
      <c r="B217" s="308" t="s">
        <v>2968</v>
      </c>
      <c r="C217" s="309">
        <v>0.129</v>
      </c>
      <c r="D217" s="309">
        <v>0.129</v>
      </c>
      <c r="E217" s="309">
        <v>0.13</v>
      </c>
      <c r="F217" s="309">
        <v>0.13</v>
      </c>
      <c r="G217" s="310">
        <v>0.13</v>
      </c>
    </row>
    <row r="218" spans="1:7">
      <c r="A218" s="319" t="s">
        <v>303</v>
      </c>
      <c r="B218" s="308" t="s">
        <v>2969</v>
      </c>
      <c r="C218" s="320"/>
      <c r="D218" s="320"/>
      <c r="E218" s="320"/>
      <c r="F218" s="309">
        <v>0.05</v>
      </c>
      <c r="G218" s="326"/>
    </row>
    <row r="219" spans="1:7">
      <c r="A219" s="319" t="s">
        <v>303</v>
      </c>
      <c r="B219" s="308" t="s">
        <v>2970</v>
      </c>
      <c r="C219" s="320"/>
      <c r="D219" s="320"/>
      <c r="E219" s="320"/>
      <c r="F219" s="309">
        <v>0.05</v>
      </c>
      <c r="G219" s="326"/>
    </row>
    <row r="220" spans="1:7">
      <c r="A220" s="319" t="s">
        <v>303</v>
      </c>
      <c r="B220" s="308" t="s">
        <v>2971</v>
      </c>
      <c r="C220" s="320"/>
      <c r="D220" s="320"/>
      <c r="E220" s="320"/>
      <c r="F220" s="309">
        <v>0.05</v>
      </c>
      <c r="G220" s="326"/>
    </row>
    <row r="221" spans="1:7">
      <c r="A221" s="319" t="s">
        <v>303</v>
      </c>
      <c r="B221" s="308" t="s">
        <v>2972</v>
      </c>
      <c r="C221" s="320"/>
      <c r="D221" s="320"/>
      <c r="E221" s="320"/>
      <c r="F221" s="309">
        <v>0.05</v>
      </c>
      <c r="G221" s="326"/>
    </row>
    <row r="222" spans="1:7">
      <c r="A222" s="319" t="s">
        <v>303</v>
      </c>
      <c r="B222" s="308" t="s">
        <v>2973</v>
      </c>
      <c r="C222" s="320"/>
      <c r="D222" s="320"/>
      <c r="E222" s="320"/>
      <c r="F222" s="309">
        <v>0.05</v>
      </c>
      <c r="G222" s="326"/>
    </row>
    <row r="223" spans="1:7">
      <c r="A223" s="319" t="s">
        <v>303</v>
      </c>
      <c r="B223" s="308" t="s">
        <v>2974</v>
      </c>
      <c r="C223" s="320"/>
      <c r="D223" s="320"/>
      <c r="E223" s="320"/>
      <c r="F223" s="309">
        <v>0.05</v>
      </c>
      <c r="G223" s="326"/>
    </row>
    <row r="224" spans="1:7">
      <c r="A224" s="319" t="s">
        <v>303</v>
      </c>
      <c r="B224" s="308" t="s">
        <v>2975</v>
      </c>
      <c r="C224" s="320"/>
      <c r="D224" s="320"/>
      <c r="E224" s="320"/>
      <c r="F224" s="309">
        <v>0.05</v>
      </c>
      <c r="G224" s="326"/>
    </row>
    <row r="225" spans="1:7">
      <c r="A225" s="319" t="s">
        <v>303</v>
      </c>
      <c r="B225" s="308" t="s">
        <v>2976</v>
      </c>
      <c r="C225" s="320"/>
      <c r="D225" s="320"/>
      <c r="E225" s="320"/>
      <c r="F225" s="309">
        <v>0.05</v>
      </c>
      <c r="G225" s="326"/>
    </row>
    <row r="226" spans="1:7">
      <c r="A226" s="319" t="s">
        <v>303</v>
      </c>
      <c r="B226" s="308" t="s">
        <v>2977</v>
      </c>
      <c r="C226" s="320"/>
      <c r="D226" s="320"/>
      <c r="E226" s="320"/>
      <c r="F226" s="309">
        <v>0.05</v>
      </c>
      <c r="G226" s="326"/>
    </row>
    <row r="227" spans="1:7">
      <c r="A227" s="319" t="s">
        <v>303</v>
      </c>
      <c r="B227" s="308" t="s">
        <v>2978</v>
      </c>
      <c r="C227" s="320"/>
      <c r="D227" s="320"/>
      <c r="E227" s="320"/>
      <c r="F227" s="309">
        <v>0.05</v>
      </c>
      <c r="G227" s="326"/>
    </row>
    <row r="228" spans="1:7">
      <c r="A228" s="319" t="s">
        <v>303</v>
      </c>
      <c r="B228" s="308" t="s">
        <v>2979</v>
      </c>
      <c r="C228" s="320"/>
      <c r="D228" s="320"/>
      <c r="E228" s="320"/>
      <c r="F228" s="309">
        <v>0.05</v>
      </c>
      <c r="G228" s="326"/>
    </row>
    <row r="229" spans="1:7">
      <c r="A229" s="319" t="s">
        <v>303</v>
      </c>
      <c r="B229" s="308" t="s">
        <v>2980</v>
      </c>
      <c r="C229" s="320"/>
      <c r="D229" s="320"/>
      <c r="E229" s="320"/>
      <c r="F229" s="309">
        <v>0.05</v>
      </c>
      <c r="G229" s="326"/>
    </row>
    <row r="230" spans="1:7">
      <c r="A230" s="319" t="s">
        <v>303</v>
      </c>
      <c r="B230" s="308" t="s">
        <v>2981</v>
      </c>
      <c r="C230" s="320"/>
      <c r="D230" s="320"/>
      <c r="E230" s="320"/>
      <c r="F230" s="309">
        <v>0.05</v>
      </c>
      <c r="G230" s="326"/>
    </row>
    <row r="231" spans="1:7">
      <c r="A231" s="319" t="s">
        <v>303</v>
      </c>
      <c r="B231" s="308" t="s">
        <v>2982</v>
      </c>
      <c r="C231" s="320"/>
      <c r="D231" s="320"/>
      <c r="E231" s="320"/>
      <c r="F231" s="309">
        <v>0.05</v>
      </c>
      <c r="G231" s="326"/>
    </row>
    <row r="232" spans="1:7">
      <c r="A232" s="319" t="s">
        <v>303</v>
      </c>
      <c r="B232" s="308" t="s">
        <v>2983</v>
      </c>
      <c r="C232" s="320"/>
      <c r="D232" s="320"/>
      <c r="E232" s="320"/>
      <c r="F232" s="309">
        <v>0.05</v>
      </c>
      <c r="G232" s="326"/>
    </row>
    <row r="233" spans="1:7">
      <c r="A233" s="322" t="s">
        <v>303</v>
      </c>
      <c r="B233" s="312" t="s">
        <v>2984</v>
      </c>
      <c r="C233" s="314"/>
      <c r="D233" s="314"/>
      <c r="E233" s="314"/>
      <c r="F233" s="313">
        <v>0.05</v>
      </c>
      <c r="G233" s="327"/>
    </row>
    <row r="234" spans="1:7">
      <c r="A234" s="318" t="s">
        <v>311</v>
      </c>
      <c r="B234" s="304" t="s">
        <v>2985</v>
      </c>
      <c r="C234" s="305">
        <v>0.13</v>
      </c>
      <c r="D234" s="305">
        <v>0.128</v>
      </c>
      <c r="E234" s="305">
        <v>0.14199999999999999</v>
      </c>
      <c r="F234" s="305">
        <v>0.14699999999999999</v>
      </c>
      <c r="G234" s="306">
        <v>0.14000000000000001</v>
      </c>
    </row>
    <row r="235" spans="1:7">
      <c r="A235" s="319" t="s">
        <v>311</v>
      </c>
      <c r="B235" s="308" t="s">
        <v>2986</v>
      </c>
      <c r="C235" s="309">
        <v>0.13600000000000001</v>
      </c>
      <c r="D235" s="309">
        <v>0.13800000000000001</v>
      </c>
      <c r="E235" s="309">
        <v>0.14499999999999999</v>
      </c>
      <c r="F235" s="309">
        <v>0.14299999999999999</v>
      </c>
      <c r="G235" s="310">
        <v>0.14099999999999999</v>
      </c>
    </row>
    <row r="236" spans="1:7">
      <c r="A236" s="319" t="s">
        <v>311</v>
      </c>
      <c r="B236" s="308" t="s">
        <v>2987</v>
      </c>
      <c r="C236" s="309">
        <v>0.15</v>
      </c>
      <c r="D236" s="309">
        <v>0.15</v>
      </c>
      <c r="E236" s="309">
        <v>0.15</v>
      </c>
      <c r="F236" s="309">
        <v>0.15</v>
      </c>
      <c r="G236" s="310">
        <v>0.15</v>
      </c>
    </row>
    <row r="237" spans="1:7">
      <c r="A237" s="319" t="s">
        <v>311</v>
      </c>
      <c r="B237" s="308" t="s">
        <v>2988</v>
      </c>
      <c r="C237" s="309">
        <v>0.15</v>
      </c>
      <c r="D237" s="309">
        <v>0.15</v>
      </c>
      <c r="E237" s="309">
        <v>0.15</v>
      </c>
      <c r="F237" s="309">
        <v>0.15</v>
      </c>
      <c r="G237" s="310">
        <v>0.15</v>
      </c>
    </row>
    <row r="238" spans="1:7">
      <c r="A238" s="319" t="s">
        <v>311</v>
      </c>
      <c r="B238" s="308" t="s">
        <v>2989</v>
      </c>
      <c r="C238" s="309">
        <v>0.14899999999999999</v>
      </c>
      <c r="D238" s="309">
        <v>0.14899999999999999</v>
      </c>
      <c r="E238" s="309">
        <v>0.15</v>
      </c>
      <c r="F238" s="309">
        <v>0.15</v>
      </c>
      <c r="G238" s="310">
        <v>0.15</v>
      </c>
    </row>
    <row r="239" spans="1:7">
      <c r="A239" s="319" t="s">
        <v>311</v>
      </c>
      <c r="B239" s="308" t="s">
        <v>2990</v>
      </c>
      <c r="C239" s="309">
        <v>0.15</v>
      </c>
      <c r="D239" s="309">
        <v>0.15</v>
      </c>
      <c r="E239" s="309">
        <v>0.15</v>
      </c>
      <c r="F239" s="309">
        <v>0.15</v>
      </c>
      <c r="G239" s="310">
        <v>0.15</v>
      </c>
    </row>
    <row r="240" spans="1:7">
      <c r="A240" s="319" t="s">
        <v>311</v>
      </c>
      <c r="B240" s="308" t="s">
        <v>2991</v>
      </c>
      <c r="C240" s="309">
        <v>0.15</v>
      </c>
      <c r="D240" s="309">
        <v>0.15</v>
      </c>
      <c r="E240" s="309">
        <v>0.15</v>
      </c>
      <c r="F240" s="309">
        <v>0.15</v>
      </c>
      <c r="G240" s="310">
        <v>0.15</v>
      </c>
    </row>
    <row r="241" spans="1:7">
      <c r="A241" s="319" t="s">
        <v>311</v>
      </c>
      <c r="B241" s="308" t="s">
        <v>2992</v>
      </c>
      <c r="C241" s="309">
        <v>0.14099999999999999</v>
      </c>
      <c r="D241" s="309">
        <v>0.14199999999999999</v>
      </c>
      <c r="E241" s="309">
        <v>0.14899999999999999</v>
      </c>
      <c r="F241" s="309">
        <v>0.15</v>
      </c>
      <c r="G241" s="310">
        <v>0.14399999999999999</v>
      </c>
    </row>
    <row r="242" spans="1:7">
      <c r="A242" s="319" t="s">
        <v>311</v>
      </c>
      <c r="B242" s="308" t="s">
        <v>2993</v>
      </c>
      <c r="C242" s="309">
        <v>0.14099999999999999</v>
      </c>
      <c r="D242" s="309">
        <v>0.14199999999999999</v>
      </c>
      <c r="E242" s="309">
        <v>0.14799999999999999</v>
      </c>
      <c r="F242" s="309">
        <v>0.127</v>
      </c>
      <c r="G242" s="310">
        <v>0.14399999999999999</v>
      </c>
    </row>
    <row r="243" spans="1:7">
      <c r="A243" s="319" t="s">
        <v>311</v>
      </c>
      <c r="B243" s="308" t="s">
        <v>2994</v>
      </c>
      <c r="C243" s="309">
        <v>0.14699999999999999</v>
      </c>
      <c r="D243" s="309">
        <v>0.14699999999999999</v>
      </c>
      <c r="E243" s="309">
        <v>0.15</v>
      </c>
      <c r="F243" s="309">
        <v>0.15</v>
      </c>
      <c r="G243" s="310">
        <v>0.14899999999999999</v>
      </c>
    </row>
    <row r="244" spans="1:7">
      <c r="A244" s="319" t="s">
        <v>311</v>
      </c>
      <c r="B244" s="308" t="s">
        <v>2995</v>
      </c>
      <c r="C244" s="309">
        <v>0.15</v>
      </c>
      <c r="D244" s="309">
        <v>0.15</v>
      </c>
      <c r="E244" s="309">
        <v>0.15</v>
      </c>
      <c r="F244" s="309">
        <v>0.15</v>
      </c>
      <c r="G244" s="310">
        <v>0.15</v>
      </c>
    </row>
    <row r="245" spans="1:7">
      <c r="A245" s="319" t="s">
        <v>311</v>
      </c>
      <c r="B245" s="308" t="s">
        <v>2996</v>
      </c>
      <c r="C245" s="309">
        <v>0.14199999999999999</v>
      </c>
      <c r="D245" s="309">
        <v>0.14199999999999999</v>
      </c>
      <c r="E245" s="309">
        <v>0.15</v>
      </c>
      <c r="F245" s="309">
        <v>0.15</v>
      </c>
      <c r="G245" s="310">
        <v>0.14499999999999999</v>
      </c>
    </row>
    <row r="246" spans="1:7">
      <c r="A246" s="319" t="s">
        <v>311</v>
      </c>
      <c r="B246" s="308" t="s">
        <v>2997</v>
      </c>
      <c r="C246" s="309">
        <v>0.14199999999999999</v>
      </c>
      <c r="D246" s="309">
        <v>0.14299999999999999</v>
      </c>
      <c r="E246" s="309">
        <v>0.15</v>
      </c>
      <c r="F246" s="309">
        <v>0.14199999999999999</v>
      </c>
      <c r="G246" s="310">
        <v>0.14399999999999999</v>
      </c>
    </row>
    <row r="247" spans="1:7">
      <c r="A247" s="319" t="s">
        <v>311</v>
      </c>
      <c r="B247" s="308" t="s">
        <v>2998</v>
      </c>
      <c r="C247" s="309">
        <v>0.14899999999999999</v>
      </c>
      <c r="D247" s="309">
        <v>0.14899999999999999</v>
      </c>
      <c r="E247" s="309">
        <v>0.15</v>
      </c>
      <c r="F247" s="309">
        <v>0.15</v>
      </c>
      <c r="G247" s="310">
        <v>0.15</v>
      </c>
    </row>
    <row r="248" spans="1:7">
      <c r="A248" s="319" t="s">
        <v>311</v>
      </c>
      <c r="B248" s="308" t="s">
        <v>2999</v>
      </c>
      <c r="C248" s="309">
        <v>0.14399999999999999</v>
      </c>
      <c r="D248" s="309">
        <v>0.14399999999999999</v>
      </c>
      <c r="E248" s="309">
        <v>0.14899999999999999</v>
      </c>
      <c r="F248" s="309">
        <v>0.14799999999999999</v>
      </c>
      <c r="G248" s="310">
        <v>0.14599999999999999</v>
      </c>
    </row>
    <row r="249" spans="1:7">
      <c r="A249" s="319" t="s">
        <v>311</v>
      </c>
      <c r="B249" s="308" t="s">
        <v>3000</v>
      </c>
      <c r="C249" s="309">
        <v>0.14000000000000001</v>
      </c>
      <c r="D249" s="309">
        <v>0.14000000000000001</v>
      </c>
      <c r="E249" s="309">
        <v>0.14699999999999999</v>
      </c>
      <c r="F249" s="309">
        <v>0.14899999999999999</v>
      </c>
      <c r="G249" s="310">
        <v>0.14199999999999999</v>
      </c>
    </row>
    <row r="250" spans="1:7">
      <c r="A250" s="319" t="s">
        <v>311</v>
      </c>
      <c r="B250" s="308" t="s">
        <v>3001</v>
      </c>
      <c r="C250" s="309">
        <v>0.14399999999999999</v>
      </c>
      <c r="D250" s="309">
        <v>0.14299999999999999</v>
      </c>
      <c r="E250" s="309">
        <v>0.14899999999999999</v>
      </c>
      <c r="F250" s="309">
        <v>0.15</v>
      </c>
      <c r="G250" s="310">
        <v>0.14599999999999999</v>
      </c>
    </row>
    <row r="251" spans="1:7">
      <c r="A251" s="319" t="s">
        <v>311</v>
      </c>
      <c r="B251" s="308" t="s">
        <v>3002</v>
      </c>
      <c r="C251" s="325"/>
      <c r="D251" s="320"/>
      <c r="E251" s="320"/>
      <c r="F251" s="309">
        <v>0.1</v>
      </c>
      <c r="G251" s="326"/>
    </row>
    <row r="252" spans="1:7">
      <c r="A252" s="319" t="s">
        <v>311</v>
      </c>
      <c r="B252" s="308" t="s">
        <v>3003</v>
      </c>
      <c r="C252" s="309">
        <v>0.14399999999999999</v>
      </c>
      <c r="D252" s="309">
        <v>0.14399999999999999</v>
      </c>
      <c r="E252" s="309">
        <v>0.15</v>
      </c>
      <c r="F252" s="309">
        <v>0.14899999999999999</v>
      </c>
      <c r="G252" s="310">
        <v>0.14599999999999999</v>
      </c>
    </row>
    <row r="253" spans="1:7">
      <c r="A253" s="319" t="s">
        <v>311</v>
      </c>
      <c r="B253" s="308" t="s">
        <v>3004</v>
      </c>
      <c r="C253" s="309">
        <v>0.14199999999999999</v>
      </c>
      <c r="D253" s="309">
        <v>0.14199999999999999</v>
      </c>
      <c r="E253" s="309">
        <v>0.14599999999999999</v>
      </c>
      <c r="F253" s="309">
        <v>0.14799999999999999</v>
      </c>
      <c r="G253" s="310">
        <v>0.14499999999999999</v>
      </c>
    </row>
    <row r="254" spans="1:7">
      <c r="A254" s="319" t="s">
        <v>311</v>
      </c>
      <c r="B254" s="308" t="s">
        <v>3005</v>
      </c>
      <c r="C254" s="309">
        <v>0.15</v>
      </c>
      <c r="D254" s="309">
        <v>0.15</v>
      </c>
      <c r="E254" s="309">
        <v>0.15</v>
      </c>
      <c r="F254" s="309">
        <v>0.15</v>
      </c>
      <c r="G254" s="310">
        <v>0.15</v>
      </c>
    </row>
    <row r="255" spans="1:7">
      <c r="A255" s="319" t="s">
        <v>311</v>
      </c>
      <c r="B255" s="308" t="s">
        <v>3006</v>
      </c>
      <c r="C255" s="309">
        <v>0.14299999999999999</v>
      </c>
      <c r="D255" s="309">
        <v>0.14299999999999999</v>
      </c>
      <c r="E255" s="309">
        <v>0.15</v>
      </c>
      <c r="F255" s="309">
        <v>0.15</v>
      </c>
      <c r="G255" s="310">
        <v>0.14499999999999999</v>
      </c>
    </row>
    <row r="256" spans="1:7">
      <c r="A256" s="319" t="s">
        <v>311</v>
      </c>
      <c r="B256" s="308" t="s">
        <v>3007</v>
      </c>
      <c r="C256" s="309">
        <v>0.15</v>
      </c>
      <c r="D256" s="309">
        <v>0.15</v>
      </c>
      <c r="E256" s="309">
        <v>0.15</v>
      </c>
      <c r="F256" s="309">
        <v>0.14599999999999999</v>
      </c>
      <c r="G256" s="310">
        <v>0.15</v>
      </c>
    </row>
    <row r="257" spans="1:7">
      <c r="A257" s="319" t="s">
        <v>311</v>
      </c>
      <c r="B257" s="308" t="s">
        <v>3008</v>
      </c>
      <c r="C257" s="309">
        <v>0.14199999999999999</v>
      </c>
      <c r="D257" s="309">
        <v>0.14299999999999999</v>
      </c>
      <c r="E257" s="309">
        <v>0.14799999999999999</v>
      </c>
      <c r="F257" s="309">
        <v>0.15</v>
      </c>
      <c r="G257" s="310">
        <v>0.14499999999999999</v>
      </c>
    </row>
    <row r="258" spans="1:7">
      <c r="A258" s="319" t="s">
        <v>311</v>
      </c>
      <c r="B258" s="308" t="s">
        <v>3009</v>
      </c>
      <c r="C258" s="309">
        <v>0.14299999999999999</v>
      </c>
      <c r="D258" s="309">
        <v>0.14299999999999999</v>
      </c>
      <c r="E258" s="309">
        <v>0.15</v>
      </c>
      <c r="F258" s="309">
        <v>0.14799999999999999</v>
      </c>
      <c r="G258" s="310">
        <v>0.14599999999999999</v>
      </c>
    </row>
    <row r="259" spans="1:7">
      <c r="A259" s="319" t="s">
        <v>311</v>
      </c>
      <c r="B259" s="308" t="s">
        <v>3010</v>
      </c>
      <c r="C259" s="309">
        <v>0.14399999999999999</v>
      </c>
      <c r="D259" s="309">
        <v>0.14399999999999999</v>
      </c>
      <c r="E259" s="309">
        <v>0.14899999999999999</v>
      </c>
      <c r="F259" s="309">
        <v>0.14699999999999999</v>
      </c>
      <c r="G259" s="310">
        <v>0.14599999999999999</v>
      </c>
    </row>
    <row r="260" spans="1:7">
      <c r="A260" s="319" t="s">
        <v>311</v>
      </c>
      <c r="B260" s="308" t="s">
        <v>3011</v>
      </c>
      <c r="C260" s="309">
        <v>0.109</v>
      </c>
      <c r="D260" s="309">
        <v>0.111</v>
      </c>
      <c r="E260" s="309">
        <v>0.13100000000000001</v>
      </c>
      <c r="F260" s="309">
        <v>0.126</v>
      </c>
      <c r="G260" s="310">
        <v>0.11899999999999999</v>
      </c>
    </row>
    <row r="261" spans="1:7">
      <c r="A261" s="319" t="s">
        <v>311</v>
      </c>
      <c r="B261" s="308" t="s">
        <v>3012</v>
      </c>
      <c r="C261" s="309">
        <v>0.1</v>
      </c>
      <c r="D261" s="309">
        <v>0.1</v>
      </c>
      <c r="E261" s="309">
        <v>0.11799999999999999</v>
      </c>
      <c r="F261" s="309">
        <v>0.108</v>
      </c>
      <c r="G261" s="310">
        <v>0.107</v>
      </c>
    </row>
    <row r="262" spans="1:7">
      <c r="A262" s="319" t="s">
        <v>311</v>
      </c>
      <c r="B262" s="308" t="s">
        <v>3013</v>
      </c>
      <c r="C262" s="309">
        <v>0.1</v>
      </c>
      <c r="D262" s="309">
        <v>0.1</v>
      </c>
      <c r="E262" s="309">
        <v>0.1</v>
      </c>
      <c r="F262" s="309">
        <v>0.14099999999999999</v>
      </c>
      <c r="G262" s="310">
        <v>0.1</v>
      </c>
    </row>
    <row r="263" spans="1:7">
      <c r="A263" s="319" t="s">
        <v>311</v>
      </c>
      <c r="B263" s="308" t="s">
        <v>3014</v>
      </c>
      <c r="C263" s="309">
        <v>0.14799999999999999</v>
      </c>
      <c r="D263" s="309">
        <v>0.14799999999999999</v>
      </c>
      <c r="E263" s="309">
        <v>0.15</v>
      </c>
      <c r="F263" s="309">
        <v>0.14699999999999999</v>
      </c>
      <c r="G263" s="310">
        <v>0.15</v>
      </c>
    </row>
    <row r="264" spans="1:7">
      <c r="A264" s="319" t="s">
        <v>311</v>
      </c>
      <c r="B264" s="308" t="s">
        <v>3015</v>
      </c>
      <c r="C264" s="309">
        <v>0.14299999999999999</v>
      </c>
      <c r="D264" s="309">
        <v>0.14299999999999999</v>
      </c>
      <c r="E264" s="309">
        <v>0.15</v>
      </c>
      <c r="F264" s="309">
        <v>0.14899999999999999</v>
      </c>
      <c r="G264" s="310">
        <v>0.14599999999999999</v>
      </c>
    </row>
    <row r="265" spans="1:7">
      <c r="A265" s="319" t="s">
        <v>311</v>
      </c>
      <c r="B265" s="308" t="s">
        <v>3016</v>
      </c>
      <c r="C265" s="320"/>
      <c r="D265" s="320"/>
      <c r="E265" s="320"/>
      <c r="F265" s="309">
        <v>0.05</v>
      </c>
      <c r="G265" s="326"/>
    </row>
    <row r="266" spans="1:7">
      <c r="A266" s="319" t="s">
        <v>311</v>
      </c>
      <c r="B266" s="308" t="s">
        <v>3017</v>
      </c>
      <c r="C266" s="320"/>
      <c r="D266" s="320"/>
      <c r="E266" s="320"/>
      <c r="F266" s="309">
        <v>0.05</v>
      </c>
      <c r="G266" s="326"/>
    </row>
    <row r="267" spans="1:7">
      <c r="A267" s="319" t="s">
        <v>311</v>
      </c>
      <c r="B267" s="308" t="s">
        <v>3018</v>
      </c>
      <c r="C267" s="320"/>
      <c r="D267" s="320"/>
      <c r="E267" s="320"/>
      <c r="F267" s="309">
        <v>0.05</v>
      </c>
      <c r="G267" s="326"/>
    </row>
    <row r="268" spans="1:7">
      <c r="A268" s="319" t="s">
        <v>311</v>
      </c>
      <c r="B268" s="308" t="s">
        <v>3019</v>
      </c>
      <c r="C268" s="320"/>
      <c r="D268" s="320"/>
      <c r="E268" s="320"/>
      <c r="F268" s="309">
        <v>0.05</v>
      </c>
      <c r="G268" s="326"/>
    </row>
    <row r="269" spans="1:7">
      <c r="A269" s="319" t="s">
        <v>311</v>
      </c>
      <c r="B269" s="308" t="s">
        <v>3020</v>
      </c>
      <c r="C269" s="320"/>
      <c r="D269" s="320"/>
      <c r="E269" s="320"/>
      <c r="F269" s="309">
        <v>0.05</v>
      </c>
      <c r="G269" s="326"/>
    </row>
    <row r="270" spans="1:7">
      <c r="A270" s="319" t="s">
        <v>311</v>
      </c>
      <c r="B270" s="308" t="s">
        <v>3021</v>
      </c>
      <c r="C270" s="320"/>
      <c r="D270" s="320"/>
      <c r="E270" s="320"/>
      <c r="F270" s="309">
        <v>0.05</v>
      </c>
      <c r="G270" s="326"/>
    </row>
    <row r="271" spans="1:7">
      <c r="A271" s="319" t="s">
        <v>311</v>
      </c>
      <c r="B271" s="308" t="s">
        <v>3022</v>
      </c>
      <c r="C271" s="320"/>
      <c r="D271" s="320"/>
      <c r="E271" s="320"/>
      <c r="F271" s="309">
        <v>0.05</v>
      </c>
      <c r="G271" s="326"/>
    </row>
    <row r="272" spans="1:7">
      <c r="A272" s="319" t="s">
        <v>311</v>
      </c>
      <c r="B272" s="308" t="s">
        <v>3023</v>
      </c>
      <c r="C272" s="320"/>
      <c r="D272" s="320"/>
      <c r="E272" s="320"/>
      <c r="F272" s="309">
        <v>0.05</v>
      </c>
      <c r="G272" s="326"/>
    </row>
    <row r="273" spans="1:7">
      <c r="A273" s="319" t="s">
        <v>311</v>
      </c>
      <c r="B273" s="308" t="s">
        <v>3024</v>
      </c>
      <c r="C273" s="320"/>
      <c r="D273" s="320"/>
      <c r="E273" s="320"/>
      <c r="F273" s="309">
        <v>0.05</v>
      </c>
      <c r="G273" s="326"/>
    </row>
    <row r="274" spans="1:7">
      <c r="A274" s="319" t="s">
        <v>311</v>
      </c>
      <c r="B274" s="308" t="s">
        <v>3025</v>
      </c>
      <c r="C274" s="320"/>
      <c r="D274" s="320"/>
      <c r="E274" s="320"/>
      <c r="F274" s="309">
        <v>0.05</v>
      </c>
      <c r="G274" s="326"/>
    </row>
    <row r="275" spans="1:7">
      <c r="A275" s="319" t="s">
        <v>311</v>
      </c>
      <c r="B275" s="308" t="s">
        <v>3026</v>
      </c>
      <c r="C275" s="320"/>
      <c r="D275" s="320"/>
      <c r="E275" s="320"/>
      <c r="F275" s="309">
        <v>0.05</v>
      </c>
      <c r="G275" s="326"/>
    </row>
    <row r="276" spans="1:7">
      <c r="A276" s="322" t="s">
        <v>311</v>
      </c>
      <c r="B276" s="312" t="s">
        <v>3027</v>
      </c>
      <c r="C276" s="314"/>
      <c r="D276" s="314"/>
      <c r="E276" s="314"/>
      <c r="F276" s="313">
        <v>0.05</v>
      </c>
      <c r="G276" s="327"/>
    </row>
    <row r="277" spans="1:7">
      <c r="A277" s="318" t="s">
        <v>318</v>
      </c>
      <c r="B277" s="304" t="s">
        <v>3028</v>
      </c>
      <c r="C277" s="305">
        <v>0.15</v>
      </c>
      <c r="D277" s="305">
        <v>0.15</v>
      </c>
      <c r="E277" s="305">
        <v>0.15</v>
      </c>
      <c r="F277" s="305">
        <v>0.15</v>
      </c>
      <c r="G277" s="306">
        <v>0.15</v>
      </c>
    </row>
    <row r="278" spans="1:7">
      <c r="A278" s="319" t="s">
        <v>318</v>
      </c>
      <c r="B278" s="308" t="s">
        <v>3029</v>
      </c>
      <c r="C278" s="309">
        <v>0.15</v>
      </c>
      <c r="D278" s="309">
        <v>0.15</v>
      </c>
      <c r="E278" s="309">
        <v>0.15</v>
      </c>
      <c r="F278" s="309">
        <v>0.15</v>
      </c>
      <c r="G278" s="310">
        <v>0.15</v>
      </c>
    </row>
    <row r="279" spans="1:7">
      <c r="A279" s="319" t="s">
        <v>318</v>
      </c>
      <c r="B279" s="308" t="s">
        <v>3030</v>
      </c>
      <c r="C279" s="309">
        <v>0.15</v>
      </c>
      <c r="D279" s="309">
        <v>0.15</v>
      </c>
      <c r="E279" s="309">
        <v>0.15</v>
      </c>
      <c r="F279" s="309">
        <v>0.15</v>
      </c>
      <c r="G279" s="310">
        <v>0.15</v>
      </c>
    </row>
    <row r="280" spans="1:7">
      <c r="A280" s="319" t="s">
        <v>318</v>
      </c>
      <c r="B280" s="308" t="s">
        <v>3031</v>
      </c>
      <c r="C280" s="309">
        <v>0.15</v>
      </c>
      <c r="D280" s="309">
        <v>0.15</v>
      </c>
      <c r="E280" s="309">
        <v>0.15</v>
      </c>
      <c r="F280" s="309">
        <v>0.15</v>
      </c>
      <c r="G280" s="310">
        <v>0.15</v>
      </c>
    </row>
    <row r="281" spans="1:7">
      <c r="A281" s="319" t="s">
        <v>318</v>
      </c>
      <c r="B281" s="308" t="s">
        <v>3032</v>
      </c>
      <c r="C281" s="309">
        <v>0.15</v>
      </c>
      <c r="D281" s="309">
        <v>0.15</v>
      </c>
      <c r="E281" s="309">
        <v>0.15</v>
      </c>
      <c r="F281" s="309">
        <v>0.15</v>
      </c>
      <c r="G281" s="310">
        <v>0.15</v>
      </c>
    </row>
    <row r="282" spans="1:7">
      <c r="A282" s="319" t="s">
        <v>318</v>
      </c>
      <c r="B282" s="308" t="s">
        <v>3033</v>
      </c>
      <c r="C282" s="309">
        <v>0.15</v>
      </c>
      <c r="D282" s="309">
        <v>0.15</v>
      </c>
      <c r="E282" s="309">
        <v>0.15</v>
      </c>
      <c r="F282" s="309">
        <v>0.14499999999999999</v>
      </c>
      <c r="G282" s="310">
        <v>0.15</v>
      </c>
    </row>
    <row r="283" spans="1:7">
      <c r="A283" s="319" t="s">
        <v>318</v>
      </c>
      <c r="B283" s="308" t="s">
        <v>3034</v>
      </c>
      <c r="C283" s="309">
        <v>0.15</v>
      </c>
      <c r="D283" s="309">
        <v>0.15</v>
      </c>
      <c r="E283" s="309">
        <v>0.15</v>
      </c>
      <c r="F283" s="309">
        <v>0.14199999999999999</v>
      </c>
      <c r="G283" s="310">
        <v>0.15</v>
      </c>
    </row>
    <row r="284" spans="1:7">
      <c r="A284" s="319" t="s">
        <v>318</v>
      </c>
      <c r="B284" s="308" t="s">
        <v>3035</v>
      </c>
      <c r="C284" s="309">
        <v>0.15</v>
      </c>
      <c r="D284" s="309">
        <v>0.15</v>
      </c>
      <c r="E284" s="309">
        <v>0.15</v>
      </c>
      <c r="F284" s="309">
        <v>0.15</v>
      </c>
      <c r="G284" s="310">
        <v>0.15</v>
      </c>
    </row>
    <row r="285" spans="1:7">
      <c r="A285" s="319" t="s">
        <v>318</v>
      </c>
      <c r="B285" s="308" t="s">
        <v>3036</v>
      </c>
      <c r="C285" s="309">
        <v>0.15</v>
      </c>
      <c r="D285" s="309">
        <v>0.15</v>
      </c>
      <c r="E285" s="309">
        <v>0.15</v>
      </c>
      <c r="F285" s="309">
        <v>0.15</v>
      </c>
      <c r="G285" s="310">
        <v>0.15</v>
      </c>
    </row>
    <row r="286" spans="1:7">
      <c r="A286" s="319" t="s">
        <v>318</v>
      </c>
      <c r="B286" s="308" t="s">
        <v>3037</v>
      </c>
      <c r="C286" s="309">
        <v>0.14499999999999999</v>
      </c>
      <c r="D286" s="309">
        <v>0.14499999999999999</v>
      </c>
      <c r="E286" s="309">
        <v>0.15</v>
      </c>
      <c r="F286" s="309">
        <v>0.14099999999999999</v>
      </c>
      <c r="G286" s="310">
        <v>0.14499999999999999</v>
      </c>
    </row>
    <row r="287" spans="1:7">
      <c r="A287" s="319" t="s">
        <v>318</v>
      </c>
      <c r="B287" s="308" t="s">
        <v>3038</v>
      </c>
      <c r="C287" s="309">
        <v>0.11</v>
      </c>
      <c r="D287" s="309">
        <v>0.111</v>
      </c>
      <c r="E287" s="309">
        <v>0.14099999999999999</v>
      </c>
      <c r="F287" s="309">
        <v>0.11</v>
      </c>
      <c r="G287" s="310">
        <v>0.12</v>
      </c>
    </row>
    <row r="288" spans="1:7">
      <c r="A288" s="319" t="s">
        <v>318</v>
      </c>
      <c r="B288" s="308" t="s">
        <v>3039</v>
      </c>
      <c r="C288" s="309">
        <v>0.14199999999999999</v>
      </c>
      <c r="D288" s="309">
        <v>0.14299999999999999</v>
      </c>
      <c r="E288" s="309">
        <v>0.15</v>
      </c>
      <c r="F288" s="309">
        <v>0.14199999999999999</v>
      </c>
      <c r="G288" s="310">
        <v>0.14399999999999999</v>
      </c>
    </row>
    <row r="289" spans="1:7">
      <c r="A289" s="319" t="s">
        <v>318</v>
      </c>
      <c r="B289" s="308" t="s">
        <v>3040</v>
      </c>
      <c r="C289" s="309">
        <v>0.14299999999999999</v>
      </c>
      <c r="D289" s="309">
        <v>0.14299999999999999</v>
      </c>
      <c r="E289" s="309">
        <v>0.14799999999999999</v>
      </c>
      <c r="F289" s="309">
        <v>0.14399999999999999</v>
      </c>
      <c r="G289" s="310">
        <v>0.14399999999999999</v>
      </c>
    </row>
    <row r="290" spans="1:7">
      <c r="A290" s="319" t="s">
        <v>318</v>
      </c>
      <c r="B290" s="308" t="s">
        <v>3041</v>
      </c>
      <c r="C290" s="309">
        <v>0.14799999999999999</v>
      </c>
      <c r="D290" s="309">
        <v>0.14899999999999999</v>
      </c>
      <c r="E290" s="309">
        <v>0.15</v>
      </c>
      <c r="F290" s="309">
        <v>0.127</v>
      </c>
      <c r="G290" s="310">
        <v>0.15</v>
      </c>
    </row>
    <row r="291" spans="1:7">
      <c r="A291" s="319" t="s">
        <v>318</v>
      </c>
      <c r="B291" s="308" t="s">
        <v>3042</v>
      </c>
      <c r="C291" s="309">
        <v>0.15</v>
      </c>
      <c r="D291" s="309">
        <v>0.15</v>
      </c>
      <c r="E291" s="309">
        <v>0.15</v>
      </c>
      <c r="F291" s="309">
        <v>0.14899999999999999</v>
      </c>
      <c r="G291" s="310">
        <v>0.15</v>
      </c>
    </row>
    <row r="292" spans="1:7">
      <c r="A292" s="319" t="s">
        <v>318</v>
      </c>
      <c r="B292" s="308" t="s">
        <v>3043</v>
      </c>
      <c r="C292" s="309">
        <v>0.15</v>
      </c>
      <c r="D292" s="309">
        <v>0.15</v>
      </c>
      <c r="E292" s="309">
        <v>0.15</v>
      </c>
      <c r="F292" s="309">
        <v>0.14399999999999999</v>
      </c>
      <c r="G292" s="310">
        <v>0.15</v>
      </c>
    </row>
    <row r="293" spans="1:7">
      <c r="A293" s="319" t="s">
        <v>318</v>
      </c>
      <c r="B293" s="308" t="s">
        <v>3044</v>
      </c>
      <c r="C293" s="309">
        <v>0.15</v>
      </c>
      <c r="D293" s="309">
        <v>0.15</v>
      </c>
      <c r="E293" s="309">
        <v>0.15</v>
      </c>
      <c r="F293" s="309">
        <v>0.14499999999999999</v>
      </c>
      <c r="G293" s="310">
        <v>0.15</v>
      </c>
    </row>
    <row r="294" spans="1:7">
      <c r="A294" s="319" t="s">
        <v>318</v>
      </c>
      <c r="B294" s="308" t="s">
        <v>3045</v>
      </c>
      <c r="C294" s="309">
        <v>0.15</v>
      </c>
      <c r="D294" s="309">
        <v>0.15</v>
      </c>
      <c r="E294" s="309">
        <v>0.15</v>
      </c>
      <c r="F294" s="309">
        <v>0.14899999999999999</v>
      </c>
      <c r="G294" s="310">
        <v>0.15</v>
      </c>
    </row>
    <row r="295" spans="1:7">
      <c r="A295" s="319" t="s">
        <v>318</v>
      </c>
      <c r="B295" s="308" t="s">
        <v>3046</v>
      </c>
      <c r="C295" s="309">
        <v>0.15</v>
      </c>
      <c r="D295" s="309">
        <v>0.15</v>
      </c>
      <c r="E295" s="309">
        <v>0.15</v>
      </c>
      <c r="F295" s="309">
        <v>0.14799999999999999</v>
      </c>
      <c r="G295" s="310">
        <v>0.15</v>
      </c>
    </row>
    <row r="296" spans="1:7">
      <c r="A296" s="319" t="s">
        <v>318</v>
      </c>
      <c r="B296" s="308" t="s">
        <v>3047</v>
      </c>
      <c r="C296" s="309">
        <v>0.15</v>
      </c>
      <c r="D296" s="309">
        <v>0.15</v>
      </c>
      <c r="E296" s="309">
        <v>0.15</v>
      </c>
      <c r="F296" s="309">
        <v>0.14399999999999999</v>
      </c>
      <c r="G296" s="310">
        <v>0.15</v>
      </c>
    </row>
    <row r="297" spans="1:7">
      <c r="A297" s="319" t="s">
        <v>318</v>
      </c>
      <c r="B297" s="308" t="s">
        <v>3048</v>
      </c>
      <c r="C297" s="309">
        <v>0.15</v>
      </c>
      <c r="D297" s="309">
        <v>0.15</v>
      </c>
      <c r="E297" s="309">
        <v>0.15</v>
      </c>
      <c r="F297" s="309">
        <v>0.14499999999999999</v>
      </c>
      <c r="G297" s="310">
        <v>0.15</v>
      </c>
    </row>
    <row r="298" spans="1:7">
      <c r="A298" s="319" t="s">
        <v>318</v>
      </c>
      <c r="B298" s="308" t="s">
        <v>3049</v>
      </c>
      <c r="C298" s="309">
        <v>0.15</v>
      </c>
      <c r="D298" s="309">
        <v>0.15</v>
      </c>
      <c r="E298" s="309">
        <v>0.15</v>
      </c>
      <c r="F298" s="309">
        <v>0.15</v>
      </c>
      <c r="G298" s="310">
        <v>0.15</v>
      </c>
    </row>
    <row r="299" spans="1:7">
      <c r="A299" s="319" t="s">
        <v>318</v>
      </c>
      <c r="B299" s="328" t="s">
        <v>3050</v>
      </c>
      <c r="C299" s="309">
        <v>0.15</v>
      </c>
      <c r="D299" s="309">
        <v>0.15</v>
      </c>
      <c r="E299" s="309">
        <v>0.15</v>
      </c>
      <c r="F299" s="309">
        <v>0.14499999999999999</v>
      </c>
      <c r="G299" s="310">
        <v>0.15</v>
      </c>
    </row>
    <row r="300" spans="1:7">
      <c r="A300" s="319" t="s">
        <v>318</v>
      </c>
      <c r="B300" s="328" t="s">
        <v>3051</v>
      </c>
      <c r="C300" s="309">
        <v>0.15</v>
      </c>
      <c r="D300" s="309">
        <v>0.15</v>
      </c>
      <c r="E300" s="309">
        <v>0.15</v>
      </c>
      <c r="F300" s="309">
        <v>0.14599999999999999</v>
      </c>
      <c r="G300" s="310">
        <v>0.15</v>
      </c>
    </row>
    <row r="301" spans="1:7">
      <c r="A301" s="319" t="s">
        <v>318</v>
      </c>
      <c r="B301" s="328" t="s">
        <v>3052</v>
      </c>
      <c r="C301" s="309">
        <v>0.126</v>
      </c>
      <c r="D301" s="309">
        <v>0.124</v>
      </c>
      <c r="E301" s="309">
        <v>0.14099999999999999</v>
      </c>
      <c r="F301" s="309">
        <v>0.14399999999999999</v>
      </c>
      <c r="G301" s="310">
        <v>0.13</v>
      </c>
    </row>
    <row r="302" spans="1:7">
      <c r="A302" s="319" t="s">
        <v>318</v>
      </c>
      <c r="B302" s="308" t="s">
        <v>3053</v>
      </c>
      <c r="C302" s="309">
        <v>0.15</v>
      </c>
      <c r="D302" s="309">
        <v>0.15</v>
      </c>
      <c r="E302" s="309">
        <v>0.15</v>
      </c>
      <c r="F302" s="309">
        <v>0.14699999999999999</v>
      </c>
      <c r="G302" s="310">
        <v>0.15</v>
      </c>
    </row>
    <row r="303" spans="1:7">
      <c r="A303" s="319" t="s">
        <v>318</v>
      </c>
      <c r="B303" s="308" t="s">
        <v>3054</v>
      </c>
      <c r="C303" s="309">
        <v>0.15</v>
      </c>
      <c r="D303" s="309">
        <v>0.15</v>
      </c>
      <c r="E303" s="309">
        <v>0.15</v>
      </c>
      <c r="F303" s="309">
        <v>0.14199999999999999</v>
      </c>
      <c r="G303" s="310">
        <v>0.15</v>
      </c>
    </row>
    <row r="304" spans="1:7">
      <c r="A304" s="319" t="s">
        <v>318</v>
      </c>
      <c r="B304" s="308" t="s">
        <v>3055</v>
      </c>
      <c r="C304" s="309">
        <v>0.15</v>
      </c>
      <c r="D304" s="309">
        <v>0.15</v>
      </c>
      <c r="E304" s="309">
        <v>0.15</v>
      </c>
      <c r="F304" s="309">
        <v>0.14499999999999999</v>
      </c>
      <c r="G304" s="310">
        <v>0.15</v>
      </c>
    </row>
    <row r="305" spans="1:7">
      <c r="A305" s="319" t="s">
        <v>318</v>
      </c>
      <c r="B305" s="308" t="s">
        <v>3056</v>
      </c>
      <c r="C305" s="309">
        <v>0.15</v>
      </c>
      <c r="D305" s="309">
        <v>0.15</v>
      </c>
      <c r="E305" s="309">
        <v>0.15</v>
      </c>
      <c r="F305" s="309">
        <v>0.111</v>
      </c>
      <c r="G305" s="310">
        <v>0.15</v>
      </c>
    </row>
    <row r="306" spans="1:7">
      <c r="A306" s="319" t="s">
        <v>318</v>
      </c>
      <c r="B306" s="308" t="s">
        <v>3057</v>
      </c>
      <c r="C306" s="309">
        <v>0.15</v>
      </c>
      <c r="D306" s="309">
        <v>0.15</v>
      </c>
      <c r="E306" s="309">
        <v>0.15</v>
      </c>
      <c r="F306" s="309">
        <v>0.126</v>
      </c>
      <c r="G306" s="310">
        <v>0.15</v>
      </c>
    </row>
    <row r="307" spans="1:7">
      <c r="A307" s="319" t="s">
        <v>318</v>
      </c>
      <c r="B307" s="308" t="s">
        <v>3058</v>
      </c>
      <c r="C307" s="309">
        <v>0.15</v>
      </c>
      <c r="D307" s="309">
        <v>0.15</v>
      </c>
      <c r="E307" s="309">
        <v>0.15</v>
      </c>
      <c r="F307" s="309">
        <v>0.12</v>
      </c>
      <c r="G307" s="310">
        <v>0.15</v>
      </c>
    </row>
    <row r="308" spans="1:7">
      <c r="A308" s="319" t="s">
        <v>318</v>
      </c>
      <c r="B308" s="308" t="s">
        <v>3059</v>
      </c>
      <c r="C308" s="309">
        <v>0.15</v>
      </c>
      <c r="D308" s="309">
        <v>0.15</v>
      </c>
      <c r="E308" s="309">
        <v>0.15</v>
      </c>
      <c r="F308" s="309">
        <v>0.13</v>
      </c>
      <c r="G308" s="310">
        <v>0.15</v>
      </c>
    </row>
    <row r="309" spans="1:7">
      <c r="A309" s="319" t="s">
        <v>318</v>
      </c>
      <c r="B309" s="308" t="s">
        <v>3060</v>
      </c>
      <c r="C309" s="309">
        <v>0.15</v>
      </c>
      <c r="D309" s="309">
        <v>0.15</v>
      </c>
      <c r="E309" s="309">
        <v>0.15</v>
      </c>
      <c r="F309" s="309">
        <v>0.14099999999999999</v>
      </c>
      <c r="G309" s="310">
        <v>0.15</v>
      </c>
    </row>
    <row r="310" spans="1:7">
      <c r="A310" s="319" t="s">
        <v>318</v>
      </c>
      <c r="B310" s="308" t="s">
        <v>3061</v>
      </c>
      <c r="C310" s="309">
        <v>0.15</v>
      </c>
      <c r="D310" s="309">
        <v>0.15</v>
      </c>
      <c r="E310" s="309">
        <v>0.15</v>
      </c>
      <c r="F310" s="309">
        <v>0.15</v>
      </c>
      <c r="G310" s="310">
        <v>0.15</v>
      </c>
    </row>
    <row r="311" spans="1:7">
      <c r="A311" s="319" t="s">
        <v>318</v>
      </c>
      <c r="B311" s="308" t="s">
        <v>3062</v>
      </c>
      <c r="C311" s="309">
        <v>0.13200000000000001</v>
      </c>
      <c r="D311" s="309">
        <v>0.13300000000000001</v>
      </c>
      <c r="E311" s="309">
        <v>0.14499999999999999</v>
      </c>
      <c r="F311" s="309">
        <v>0.14199999999999999</v>
      </c>
      <c r="G311" s="310">
        <v>0.14000000000000001</v>
      </c>
    </row>
    <row r="312" spans="1:7">
      <c r="A312" s="319" t="s">
        <v>318</v>
      </c>
      <c r="B312" s="308" t="s">
        <v>3063</v>
      </c>
      <c r="C312" s="309">
        <v>0.13800000000000001</v>
      </c>
      <c r="D312" s="309">
        <v>0.14000000000000001</v>
      </c>
      <c r="E312" s="309">
        <v>0.14599999999999999</v>
      </c>
      <c r="F312" s="309">
        <v>0.14899999999999999</v>
      </c>
      <c r="G312" s="310">
        <v>0.14199999999999999</v>
      </c>
    </row>
    <row r="313" spans="1:7">
      <c r="A313" s="319" t="s">
        <v>318</v>
      </c>
      <c r="B313" s="308" t="s">
        <v>3064</v>
      </c>
      <c r="C313" s="309">
        <v>0.125</v>
      </c>
      <c r="D313" s="309">
        <v>0.127</v>
      </c>
      <c r="E313" s="309">
        <v>0.14399999999999999</v>
      </c>
      <c r="F313" s="309">
        <v>0.115</v>
      </c>
      <c r="G313" s="310">
        <v>0.13600000000000001</v>
      </c>
    </row>
    <row r="314" spans="1:7">
      <c r="A314" s="319" t="s">
        <v>318</v>
      </c>
      <c r="B314" s="308" t="s">
        <v>3065</v>
      </c>
      <c r="C314" s="325"/>
      <c r="D314" s="325"/>
      <c r="E314" s="325"/>
      <c r="F314" s="309">
        <v>0.05</v>
      </c>
      <c r="G314" s="326"/>
    </row>
    <row r="315" spans="1:7">
      <c r="A315" s="319" t="s">
        <v>318</v>
      </c>
      <c r="B315" s="308" t="s">
        <v>3066</v>
      </c>
      <c r="C315" s="325"/>
      <c r="D315" s="325"/>
      <c r="E315" s="325"/>
      <c r="F315" s="309">
        <v>0.05</v>
      </c>
      <c r="G315" s="326"/>
    </row>
    <row r="316" spans="1:7">
      <c r="A316" s="319" t="s">
        <v>318</v>
      </c>
      <c r="B316" s="308" t="s">
        <v>3067</v>
      </c>
      <c r="C316" s="320"/>
      <c r="D316" s="320"/>
      <c r="E316" s="320"/>
      <c r="F316" s="309">
        <v>0.05</v>
      </c>
      <c r="G316" s="326"/>
    </row>
    <row r="317" spans="1:7">
      <c r="A317" s="319" t="s">
        <v>318</v>
      </c>
      <c r="B317" s="308" t="s">
        <v>3068</v>
      </c>
      <c r="C317" s="320"/>
      <c r="D317" s="320"/>
      <c r="E317" s="320"/>
      <c r="F317" s="309">
        <v>0.05</v>
      </c>
      <c r="G317" s="326"/>
    </row>
    <row r="318" spans="1:7">
      <c r="A318" s="319" t="s">
        <v>318</v>
      </c>
      <c r="B318" s="308" t="s">
        <v>3069</v>
      </c>
      <c r="C318" s="320"/>
      <c r="D318" s="320"/>
      <c r="E318" s="320"/>
      <c r="F318" s="309">
        <v>0.05</v>
      </c>
      <c r="G318" s="326"/>
    </row>
    <row r="319" spans="1:7">
      <c r="A319" s="319" t="s">
        <v>318</v>
      </c>
      <c r="B319" s="308" t="s">
        <v>3070</v>
      </c>
      <c r="C319" s="320"/>
      <c r="D319" s="320"/>
      <c r="E319" s="320"/>
      <c r="F319" s="309">
        <v>0.05</v>
      </c>
      <c r="G319" s="326"/>
    </row>
    <row r="320" spans="1:7">
      <c r="A320" s="319" t="s">
        <v>318</v>
      </c>
      <c r="B320" s="308" t="s">
        <v>3071</v>
      </c>
      <c r="C320" s="320"/>
      <c r="D320" s="320"/>
      <c r="E320" s="320"/>
      <c r="F320" s="309">
        <v>0.05</v>
      </c>
      <c r="G320" s="326"/>
    </row>
    <row r="321" spans="1:7">
      <c r="A321" s="319" t="s">
        <v>318</v>
      </c>
      <c r="B321" s="308" t="s">
        <v>3072</v>
      </c>
      <c r="C321" s="320"/>
      <c r="D321" s="320"/>
      <c r="E321" s="320"/>
      <c r="F321" s="309">
        <v>0.05</v>
      </c>
      <c r="G321" s="326"/>
    </row>
    <row r="322" spans="1:7">
      <c r="A322" s="319" t="s">
        <v>318</v>
      </c>
      <c r="B322" s="308" t="s">
        <v>3073</v>
      </c>
      <c r="C322" s="320"/>
      <c r="D322" s="320"/>
      <c r="E322" s="320"/>
      <c r="F322" s="309">
        <v>0.05</v>
      </c>
      <c r="G322" s="326"/>
    </row>
    <row r="323" spans="1:7">
      <c r="A323" s="319" t="s">
        <v>318</v>
      </c>
      <c r="B323" s="308" t="s">
        <v>3074</v>
      </c>
      <c r="C323" s="320"/>
      <c r="D323" s="320"/>
      <c r="E323" s="320"/>
      <c r="F323" s="309">
        <v>0.05</v>
      </c>
      <c r="G323" s="326"/>
    </row>
    <row r="324" spans="1:7">
      <c r="A324" s="319" t="s">
        <v>318</v>
      </c>
      <c r="B324" s="308" t="s">
        <v>3075</v>
      </c>
      <c r="C324" s="320"/>
      <c r="D324" s="320"/>
      <c r="E324" s="320"/>
      <c r="F324" s="309">
        <v>0.05</v>
      </c>
      <c r="G324" s="326"/>
    </row>
    <row r="325" spans="1:7">
      <c r="A325" s="319" t="s">
        <v>318</v>
      </c>
      <c r="B325" s="308" t="s">
        <v>3076</v>
      </c>
      <c r="C325" s="320"/>
      <c r="D325" s="320"/>
      <c r="E325" s="320"/>
      <c r="F325" s="309">
        <v>0.05</v>
      </c>
      <c r="G325" s="326"/>
    </row>
    <row r="326" spans="1:7">
      <c r="A326" s="322" t="s">
        <v>318</v>
      </c>
      <c r="B326" s="312" t="s">
        <v>3077</v>
      </c>
      <c r="C326" s="314"/>
      <c r="D326" s="314"/>
      <c r="E326" s="314"/>
      <c r="F326" s="313">
        <v>0.05</v>
      </c>
      <c r="G326" s="327"/>
    </row>
    <row r="327" spans="1:7">
      <c r="A327" s="318" t="s">
        <v>324</v>
      </c>
      <c r="B327" s="304" t="s">
        <v>3078</v>
      </c>
      <c r="C327" s="305">
        <v>0.15</v>
      </c>
      <c r="D327" s="305">
        <v>0.15</v>
      </c>
      <c r="E327" s="305">
        <v>0.15</v>
      </c>
      <c r="F327" s="305">
        <v>0.15</v>
      </c>
      <c r="G327" s="306">
        <v>0.15</v>
      </c>
    </row>
    <row r="328" spans="1:7">
      <c r="A328" s="319" t="s">
        <v>324</v>
      </c>
      <c r="B328" s="308" t="s">
        <v>3079</v>
      </c>
      <c r="C328" s="309">
        <v>0.15</v>
      </c>
      <c r="D328" s="309">
        <v>0.15</v>
      </c>
      <c r="E328" s="309">
        <v>0.15</v>
      </c>
      <c r="F328" s="309">
        <v>0.126</v>
      </c>
      <c r="G328" s="310">
        <v>0.15</v>
      </c>
    </row>
    <row r="329" spans="1:7">
      <c r="A329" s="319" t="s">
        <v>324</v>
      </c>
      <c r="B329" s="308" t="s">
        <v>3080</v>
      </c>
      <c r="C329" s="309">
        <v>0.15</v>
      </c>
      <c r="D329" s="309">
        <v>0.15</v>
      </c>
      <c r="E329" s="309">
        <v>0.15</v>
      </c>
      <c r="F329" s="309">
        <v>0.15</v>
      </c>
      <c r="G329" s="310">
        <v>0.15</v>
      </c>
    </row>
    <row r="330" spans="1:7">
      <c r="A330" s="319" t="s">
        <v>324</v>
      </c>
      <c r="B330" s="308" t="s">
        <v>3081</v>
      </c>
      <c r="C330" s="309">
        <v>0.15</v>
      </c>
      <c r="D330" s="309">
        <v>0.15</v>
      </c>
      <c r="E330" s="309">
        <v>0.15</v>
      </c>
      <c r="F330" s="309">
        <v>0.15</v>
      </c>
      <c r="G330" s="310">
        <v>0.15</v>
      </c>
    </row>
    <row r="331" spans="1:7">
      <c r="A331" s="319" t="s">
        <v>324</v>
      </c>
      <c r="B331" s="308" t="s">
        <v>3082</v>
      </c>
      <c r="C331" s="309">
        <v>0.15</v>
      </c>
      <c r="D331" s="309">
        <v>0.15</v>
      </c>
      <c r="E331" s="309">
        <v>0.15</v>
      </c>
      <c r="F331" s="309">
        <v>0.15</v>
      </c>
      <c r="G331" s="310">
        <v>0.15</v>
      </c>
    </row>
    <row r="332" spans="1:7">
      <c r="A332" s="319" t="s">
        <v>324</v>
      </c>
      <c r="B332" s="308" t="s">
        <v>3083</v>
      </c>
      <c r="C332" s="309">
        <v>0.15</v>
      </c>
      <c r="D332" s="309">
        <v>0.15</v>
      </c>
      <c r="E332" s="309">
        <v>0.15</v>
      </c>
      <c r="F332" s="309">
        <v>0.15</v>
      </c>
      <c r="G332" s="310">
        <v>0.15</v>
      </c>
    </row>
    <row r="333" spans="1:7">
      <c r="A333" s="319" t="s">
        <v>324</v>
      </c>
      <c r="B333" s="308" t="s">
        <v>3084</v>
      </c>
      <c r="C333" s="309">
        <v>0.14899999999999999</v>
      </c>
      <c r="D333" s="309">
        <v>0.14899999999999999</v>
      </c>
      <c r="E333" s="309">
        <v>0.15</v>
      </c>
      <c r="F333" s="309">
        <v>0.11600000000000001</v>
      </c>
      <c r="G333" s="310">
        <v>0.15</v>
      </c>
    </row>
    <row r="334" spans="1:7">
      <c r="A334" s="319" t="s">
        <v>324</v>
      </c>
      <c r="B334" s="308" t="s">
        <v>3085</v>
      </c>
      <c r="C334" s="309">
        <v>0.15</v>
      </c>
      <c r="D334" s="309">
        <v>0.15</v>
      </c>
      <c r="E334" s="309">
        <v>0.15</v>
      </c>
      <c r="F334" s="309">
        <v>0.13</v>
      </c>
      <c r="G334" s="310">
        <v>0.15</v>
      </c>
    </row>
    <row r="335" spans="1:7">
      <c r="A335" s="319" t="s">
        <v>324</v>
      </c>
      <c r="B335" s="308" t="s">
        <v>3086</v>
      </c>
      <c r="C335" s="309">
        <v>0.15</v>
      </c>
      <c r="D335" s="309">
        <v>0.15</v>
      </c>
      <c r="E335" s="309">
        <v>0.15</v>
      </c>
      <c r="F335" s="309">
        <v>0.14399999999999999</v>
      </c>
      <c r="G335" s="310">
        <v>0.15</v>
      </c>
    </row>
    <row r="336" spans="1:7">
      <c r="A336" s="319" t="s">
        <v>324</v>
      </c>
      <c r="B336" s="308" t="s">
        <v>3087</v>
      </c>
      <c r="C336" s="309">
        <v>0.15</v>
      </c>
      <c r="D336" s="309">
        <v>0.15</v>
      </c>
      <c r="E336" s="309">
        <v>0.15</v>
      </c>
      <c r="F336" s="309">
        <v>0.14199999999999999</v>
      </c>
      <c r="G336" s="310">
        <v>0.15</v>
      </c>
    </row>
    <row r="337" spans="1:7">
      <c r="A337" s="319" t="s">
        <v>324</v>
      </c>
      <c r="B337" s="308" t="s">
        <v>3088</v>
      </c>
      <c r="C337" s="309">
        <v>0.15</v>
      </c>
      <c r="D337" s="309">
        <v>0.15</v>
      </c>
      <c r="E337" s="309">
        <v>0.15</v>
      </c>
      <c r="F337" s="309">
        <v>0.14499999999999999</v>
      </c>
      <c r="G337" s="310">
        <v>0.15</v>
      </c>
    </row>
    <row r="338" spans="1:7">
      <c r="A338" s="319" t="s">
        <v>324</v>
      </c>
      <c r="B338" s="308" t="s">
        <v>3089</v>
      </c>
      <c r="C338" s="309">
        <v>0.15</v>
      </c>
      <c r="D338" s="309">
        <v>0.15</v>
      </c>
      <c r="E338" s="309">
        <v>0.15</v>
      </c>
      <c r="F338" s="309">
        <v>0.15</v>
      </c>
      <c r="G338" s="310">
        <v>0.15</v>
      </c>
    </row>
    <row r="339" spans="1:7">
      <c r="A339" s="319" t="s">
        <v>324</v>
      </c>
      <c r="B339" s="308" t="s">
        <v>3090</v>
      </c>
      <c r="C339" s="309">
        <v>0.15</v>
      </c>
      <c r="D339" s="309">
        <v>0.15</v>
      </c>
      <c r="E339" s="309">
        <v>0.15</v>
      </c>
      <c r="F339" s="309">
        <v>0.14699999999999999</v>
      </c>
      <c r="G339" s="310">
        <v>0.15</v>
      </c>
    </row>
    <row r="340" spans="1:7">
      <c r="A340" s="319" t="s">
        <v>324</v>
      </c>
      <c r="B340" s="308" t="s">
        <v>3091</v>
      </c>
      <c r="C340" s="309">
        <v>0.14599999999999999</v>
      </c>
      <c r="D340" s="309">
        <v>0.14599999999999999</v>
      </c>
      <c r="E340" s="309">
        <v>0.15</v>
      </c>
      <c r="F340" s="309">
        <v>0.14099999999999999</v>
      </c>
      <c r="G340" s="310">
        <v>0.14699999999999999</v>
      </c>
    </row>
    <row r="341" spans="1:7">
      <c r="A341" s="319" t="s">
        <v>324</v>
      </c>
      <c r="B341" s="308" t="s">
        <v>3092</v>
      </c>
      <c r="C341" s="309">
        <v>0.126</v>
      </c>
      <c r="D341" s="309">
        <v>0.124</v>
      </c>
      <c r="E341" s="309">
        <v>0.14099999999999999</v>
      </c>
      <c r="F341" s="309">
        <v>0.14399999999999999</v>
      </c>
      <c r="G341" s="310">
        <v>0.13</v>
      </c>
    </row>
    <row r="342" spans="1:7">
      <c r="A342" s="319" t="s">
        <v>324</v>
      </c>
      <c r="B342" s="308" t="s">
        <v>3093</v>
      </c>
      <c r="C342" s="309">
        <v>0.15</v>
      </c>
      <c r="D342" s="309">
        <v>0.15</v>
      </c>
      <c r="E342" s="309">
        <v>0.15</v>
      </c>
      <c r="F342" s="309">
        <v>0.14399999999999999</v>
      </c>
      <c r="G342" s="310">
        <v>0.15</v>
      </c>
    </row>
    <row r="343" spans="1:7">
      <c r="A343" s="319" t="s">
        <v>324</v>
      </c>
      <c r="B343" s="308" t="s">
        <v>3094</v>
      </c>
      <c r="C343" s="309">
        <v>0.15</v>
      </c>
      <c r="D343" s="309">
        <v>0.15</v>
      </c>
      <c r="E343" s="309">
        <v>0.15</v>
      </c>
      <c r="F343" s="309">
        <v>0.128</v>
      </c>
      <c r="G343" s="310">
        <v>0.15</v>
      </c>
    </row>
    <row r="344" spans="1:7">
      <c r="A344" s="319" t="s">
        <v>324</v>
      </c>
      <c r="B344" s="308" t="s">
        <v>3095</v>
      </c>
      <c r="C344" s="309">
        <v>0.15</v>
      </c>
      <c r="D344" s="309">
        <v>0.15</v>
      </c>
      <c r="E344" s="309">
        <v>0.15</v>
      </c>
      <c r="F344" s="309">
        <v>0.14799999999999999</v>
      </c>
      <c r="G344" s="310">
        <v>0.15</v>
      </c>
    </row>
    <row r="345" spans="1:7">
      <c r="A345" s="319" t="s">
        <v>324</v>
      </c>
      <c r="B345" s="308" t="s">
        <v>3096</v>
      </c>
      <c r="C345" s="309">
        <v>0.15</v>
      </c>
      <c r="D345" s="309">
        <v>0.15</v>
      </c>
      <c r="E345" s="309">
        <v>0.15</v>
      </c>
      <c r="F345" s="309">
        <v>0.13800000000000001</v>
      </c>
      <c r="G345" s="310">
        <v>0.15</v>
      </c>
    </row>
    <row r="346" spans="1:7">
      <c r="A346" s="319" t="s">
        <v>324</v>
      </c>
      <c r="B346" s="308" t="s">
        <v>3097</v>
      </c>
      <c r="C346" s="309">
        <v>0.15</v>
      </c>
      <c r="D346" s="309">
        <v>0.15</v>
      </c>
      <c r="E346" s="309">
        <v>0.15</v>
      </c>
      <c r="F346" s="309">
        <v>0.14399999999999999</v>
      </c>
      <c r="G346" s="310">
        <v>0.15</v>
      </c>
    </row>
    <row r="347" spans="1:7">
      <c r="A347" s="319" t="s">
        <v>324</v>
      </c>
      <c r="B347" s="308" t="s">
        <v>3098</v>
      </c>
      <c r="C347" s="309">
        <v>0.15</v>
      </c>
      <c r="D347" s="309">
        <v>0.15</v>
      </c>
      <c r="E347" s="309">
        <v>0.15</v>
      </c>
      <c r="F347" s="309">
        <v>0.14599999999999999</v>
      </c>
      <c r="G347" s="310">
        <v>0.15</v>
      </c>
    </row>
    <row r="348" spans="1:7">
      <c r="A348" s="319" t="s">
        <v>324</v>
      </c>
      <c r="B348" s="308" t="s">
        <v>3099</v>
      </c>
      <c r="C348" s="309">
        <v>0.15</v>
      </c>
      <c r="D348" s="309">
        <v>0.15</v>
      </c>
      <c r="E348" s="309">
        <v>0.15</v>
      </c>
      <c r="F348" s="309">
        <v>0.14399999999999999</v>
      </c>
      <c r="G348" s="310">
        <v>0.15</v>
      </c>
    </row>
    <row r="349" spans="1:7">
      <c r="A349" s="319" t="s">
        <v>324</v>
      </c>
      <c r="B349" s="308" t="s">
        <v>3100</v>
      </c>
      <c r="C349" s="309">
        <v>0.15</v>
      </c>
      <c r="D349" s="309">
        <v>0.15</v>
      </c>
      <c r="E349" s="309">
        <v>0.15</v>
      </c>
      <c r="F349" s="309">
        <v>0.15</v>
      </c>
      <c r="G349" s="310">
        <v>0.15</v>
      </c>
    </row>
    <row r="350" spans="1:7">
      <c r="A350" s="319" t="s">
        <v>324</v>
      </c>
      <c r="B350" s="308" t="s">
        <v>3101</v>
      </c>
      <c r="C350" s="309">
        <v>0.15</v>
      </c>
      <c r="D350" s="309">
        <v>0.15</v>
      </c>
      <c r="E350" s="309">
        <v>0.15</v>
      </c>
      <c r="F350" s="309">
        <v>0.14699999999999999</v>
      </c>
      <c r="G350" s="310">
        <v>0.15</v>
      </c>
    </row>
    <row r="351" spans="1:7">
      <c r="A351" s="319" t="s">
        <v>324</v>
      </c>
      <c r="B351" s="308" t="s">
        <v>3102</v>
      </c>
      <c r="C351" s="309">
        <v>0.15</v>
      </c>
      <c r="D351" s="309">
        <v>0.15</v>
      </c>
      <c r="E351" s="309">
        <v>0.15</v>
      </c>
      <c r="F351" s="309">
        <v>0.13</v>
      </c>
      <c r="G351" s="310">
        <v>0.15</v>
      </c>
    </row>
    <row r="352" spans="1:7">
      <c r="A352" s="319" t="s">
        <v>324</v>
      </c>
      <c r="B352" s="308" t="s">
        <v>3103</v>
      </c>
      <c r="C352" s="309">
        <v>0.15</v>
      </c>
      <c r="D352" s="309">
        <v>0.15</v>
      </c>
      <c r="E352" s="309">
        <v>0.15</v>
      </c>
      <c r="F352" s="309">
        <v>0.14599999999999999</v>
      </c>
      <c r="G352" s="310">
        <v>0.15</v>
      </c>
    </row>
    <row r="353" spans="1:7">
      <c r="A353" s="319" t="s">
        <v>324</v>
      </c>
      <c r="B353" s="308" t="s">
        <v>3104</v>
      </c>
      <c r="C353" s="309">
        <v>0.15</v>
      </c>
      <c r="D353" s="309">
        <v>0.15</v>
      </c>
      <c r="E353" s="309">
        <v>0.15</v>
      </c>
      <c r="F353" s="309">
        <v>0.14499999999999999</v>
      </c>
      <c r="G353" s="310">
        <v>0.15</v>
      </c>
    </row>
    <row r="354" spans="1:7">
      <c r="A354" s="319" t="s">
        <v>324</v>
      </c>
      <c r="B354" s="308" t="s">
        <v>3105</v>
      </c>
      <c r="C354" s="309">
        <v>0.15</v>
      </c>
      <c r="D354" s="309">
        <v>0.15</v>
      </c>
      <c r="E354" s="309">
        <v>0.15</v>
      </c>
      <c r="F354" s="309">
        <v>0.14099999999999999</v>
      </c>
      <c r="G354" s="310">
        <v>0.15</v>
      </c>
    </row>
    <row r="355" spans="1:7">
      <c r="A355" s="319" t="s">
        <v>324</v>
      </c>
      <c r="B355" s="308" t="s">
        <v>3106</v>
      </c>
      <c r="C355" s="309">
        <v>0.15</v>
      </c>
      <c r="D355" s="309">
        <v>0.15</v>
      </c>
      <c r="E355" s="309">
        <v>0.15</v>
      </c>
      <c r="F355" s="309">
        <v>0.15</v>
      </c>
      <c r="G355" s="310">
        <v>0.15</v>
      </c>
    </row>
    <row r="356" spans="1:7">
      <c r="A356" s="319" t="s">
        <v>324</v>
      </c>
      <c r="B356" s="308" t="s">
        <v>3107</v>
      </c>
      <c r="C356" s="309">
        <v>0.15</v>
      </c>
      <c r="D356" s="309">
        <v>0.15</v>
      </c>
      <c r="E356" s="309">
        <v>0.15</v>
      </c>
      <c r="F356" s="309">
        <v>0.15</v>
      </c>
      <c r="G356" s="310">
        <v>0.15</v>
      </c>
    </row>
    <row r="357" spans="1:7">
      <c r="A357" s="322" t="s">
        <v>324</v>
      </c>
      <c r="B357" s="312" t="s">
        <v>3108</v>
      </c>
      <c r="C357" s="313">
        <v>0.126</v>
      </c>
      <c r="D357" s="313">
        <v>0.127</v>
      </c>
      <c r="E357" s="313">
        <v>0.14299999999999999</v>
      </c>
      <c r="F357" s="313">
        <v>0.125</v>
      </c>
      <c r="G357" s="315">
        <v>0.129</v>
      </c>
    </row>
    <row r="358" spans="1:7">
      <c r="A358" s="318" t="s">
        <v>330</v>
      </c>
      <c r="B358" s="304" t="s">
        <v>3109</v>
      </c>
      <c r="C358" s="305">
        <v>0.15</v>
      </c>
      <c r="D358" s="305">
        <v>0.15</v>
      </c>
      <c r="E358" s="305">
        <v>0.15</v>
      </c>
      <c r="F358" s="305">
        <v>0.15</v>
      </c>
      <c r="G358" s="306">
        <v>0.15</v>
      </c>
    </row>
    <row r="359" spans="1:7">
      <c r="A359" s="319" t="s">
        <v>330</v>
      </c>
      <c r="B359" s="308" t="s">
        <v>3110</v>
      </c>
      <c r="C359" s="309">
        <v>0.1</v>
      </c>
      <c r="D359" s="309">
        <v>0.1</v>
      </c>
      <c r="E359" s="309">
        <v>0.1</v>
      </c>
      <c r="F359" s="309">
        <v>0.1</v>
      </c>
      <c r="G359" s="310">
        <v>0.1</v>
      </c>
    </row>
    <row r="360" spans="1:7">
      <c r="A360" s="319" t="s">
        <v>330</v>
      </c>
      <c r="B360" s="308" t="s">
        <v>3111</v>
      </c>
      <c r="C360" s="309">
        <v>0.15</v>
      </c>
      <c r="D360" s="309">
        <v>0.15</v>
      </c>
      <c r="E360" s="309">
        <v>0.15</v>
      </c>
      <c r="F360" s="309">
        <v>0.14899999999999999</v>
      </c>
      <c r="G360" s="310">
        <v>0.15</v>
      </c>
    </row>
    <row r="361" spans="1:7">
      <c r="A361" s="319" t="s">
        <v>330</v>
      </c>
      <c r="B361" s="308" t="s">
        <v>3112</v>
      </c>
      <c r="C361" s="309">
        <v>0.15</v>
      </c>
      <c r="D361" s="309">
        <v>0.15</v>
      </c>
      <c r="E361" s="309">
        <v>0.15</v>
      </c>
      <c r="F361" s="309">
        <v>0.115</v>
      </c>
      <c r="G361" s="310">
        <v>0.15</v>
      </c>
    </row>
    <row r="362" spans="1:7">
      <c r="A362" s="319" t="s">
        <v>330</v>
      </c>
      <c r="B362" s="308" t="s">
        <v>3113</v>
      </c>
      <c r="C362" s="309">
        <v>0.15</v>
      </c>
      <c r="D362" s="309">
        <v>0.15</v>
      </c>
      <c r="E362" s="309">
        <v>0.15</v>
      </c>
      <c r="F362" s="309">
        <v>0.106</v>
      </c>
      <c r="G362" s="310">
        <v>0.15</v>
      </c>
    </row>
    <row r="363" spans="1:7">
      <c r="A363" s="319" t="s">
        <v>330</v>
      </c>
      <c r="B363" s="308" t="s">
        <v>3114</v>
      </c>
      <c r="C363" s="309">
        <v>0.15</v>
      </c>
      <c r="D363" s="309">
        <v>0.15</v>
      </c>
      <c r="E363" s="309">
        <v>0.15</v>
      </c>
      <c r="F363" s="309">
        <v>0.14699999999999999</v>
      </c>
      <c r="G363" s="310">
        <v>0.15</v>
      </c>
    </row>
    <row r="364" spans="1:7">
      <c r="A364" s="319" t="s">
        <v>330</v>
      </c>
      <c r="B364" s="308" t="s">
        <v>3115</v>
      </c>
      <c r="C364" s="309">
        <v>0.15</v>
      </c>
      <c r="D364" s="309">
        <v>0.15</v>
      </c>
      <c r="E364" s="309">
        <v>0.15</v>
      </c>
      <c r="F364" s="309">
        <v>0.14799999999999999</v>
      </c>
      <c r="G364" s="310">
        <v>0.15</v>
      </c>
    </row>
    <row r="365" spans="1:7">
      <c r="A365" s="319" t="s">
        <v>330</v>
      </c>
      <c r="B365" s="308" t="s">
        <v>3116</v>
      </c>
      <c r="C365" s="309">
        <v>0.15</v>
      </c>
      <c r="D365" s="309">
        <v>0.15</v>
      </c>
      <c r="E365" s="309">
        <v>0.15</v>
      </c>
      <c r="F365" s="309">
        <v>0.15</v>
      </c>
      <c r="G365" s="310">
        <v>0.15</v>
      </c>
    </row>
    <row r="366" spans="1:7">
      <c r="A366" s="319" t="s">
        <v>330</v>
      </c>
      <c r="B366" s="308" t="s">
        <v>3117</v>
      </c>
      <c r="C366" s="309">
        <v>0.15</v>
      </c>
      <c r="D366" s="309">
        <v>0.15</v>
      </c>
      <c r="E366" s="309">
        <v>0.15</v>
      </c>
      <c r="F366" s="309">
        <v>0.15</v>
      </c>
      <c r="G366" s="310">
        <v>0.15</v>
      </c>
    </row>
    <row r="367" spans="1:7">
      <c r="A367" s="319" t="s">
        <v>330</v>
      </c>
      <c r="B367" s="308" t="s">
        <v>3118</v>
      </c>
      <c r="C367" s="309">
        <v>0.15</v>
      </c>
      <c r="D367" s="309">
        <v>0.15</v>
      </c>
      <c r="E367" s="309">
        <v>0.15</v>
      </c>
      <c r="F367" s="309">
        <v>0.14699999999999999</v>
      </c>
      <c r="G367" s="310">
        <v>0.15</v>
      </c>
    </row>
    <row r="368" spans="1:7">
      <c r="A368" s="319" t="s">
        <v>330</v>
      </c>
      <c r="B368" s="308" t="s">
        <v>3119</v>
      </c>
      <c r="C368" s="309">
        <v>0.15</v>
      </c>
      <c r="D368" s="309">
        <v>0.15</v>
      </c>
      <c r="E368" s="309">
        <v>0.15</v>
      </c>
      <c r="F368" s="309">
        <v>0.13600000000000001</v>
      </c>
      <c r="G368" s="310">
        <v>0.15</v>
      </c>
    </row>
    <row r="369" spans="1:7">
      <c r="A369" s="319" t="s">
        <v>330</v>
      </c>
      <c r="B369" s="308" t="s">
        <v>3120</v>
      </c>
      <c r="C369" s="309">
        <v>0.15</v>
      </c>
      <c r="D369" s="309">
        <v>0.15</v>
      </c>
      <c r="E369" s="309">
        <v>0.15</v>
      </c>
      <c r="F369" s="309">
        <v>0.14399999999999999</v>
      </c>
      <c r="G369" s="310">
        <v>0.15</v>
      </c>
    </row>
    <row r="370" spans="1:7">
      <c r="A370" s="319" t="s">
        <v>330</v>
      </c>
      <c r="B370" s="308" t="s">
        <v>3121</v>
      </c>
      <c r="C370" s="309">
        <v>0.15</v>
      </c>
      <c r="D370" s="309">
        <v>0.15</v>
      </c>
      <c r="E370" s="309">
        <v>0.15</v>
      </c>
      <c r="F370" s="309">
        <v>0.14599999999999999</v>
      </c>
      <c r="G370" s="310">
        <v>0.15</v>
      </c>
    </row>
    <row r="371" spans="1:7">
      <c r="A371" s="319" t="s">
        <v>330</v>
      </c>
      <c r="B371" s="308" t="s">
        <v>3122</v>
      </c>
      <c r="C371" s="309">
        <v>0.15</v>
      </c>
      <c r="D371" s="309">
        <v>0.15</v>
      </c>
      <c r="E371" s="309">
        <v>0.15</v>
      </c>
      <c r="F371" s="309">
        <v>0.12</v>
      </c>
      <c r="G371" s="310">
        <v>0.15</v>
      </c>
    </row>
    <row r="372" spans="1:7">
      <c r="A372" s="319" t="s">
        <v>330</v>
      </c>
      <c r="B372" s="308" t="s">
        <v>3123</v>
      </c>
      <c r="C372" s="309">
        <v>0.15</v>
      </c>
      <c r="D372" s="309">
        <v>0.15</v>
      </c>
      <c r="E372" s="309">
        <v>0.15</v>
      </c>
      <c r="F372" s="309">
        <v>0.14299999999999999</v>
      </c>
      <c r="G372" s="310">
        <v>0.15</v>
      </c>
    </row>
    <row r="373" spans="1:7">
      <c r="A373" s="319" t="s">
        <v>330</v>
      </c>
      <c r="B373" s="308" t="s">
        <v>3124</v>
      </c>
      <c r="C373" s="309">
        <v>0.15</v>
      </c>
      <c r="D373" s="309">
        <v>0.15</v>
      </c>
      <c r="E373" s="309">
        <v>0.15</v>
      </c>
      <c r="F373" s="309">
        <v>0.14599999999999999</v>
      </c>
      <c r="G373" s="310">
        <v>0.15</v>
      </c>
    </row>
    <row r="374" spans="1:7">
      <c r="A374" s="319" t="s">
        <v>330</v>
      </c>
      <c r="B374" s="308" t="s">
        <v>3125</v>
      </c>
      <c r="C374" s="309">
        <v>0.15</v>
      </c>
      <c r="D374" s="309">
        <v>0.15</v>
      </c>
      <c r="E374" s="309">
        <v>0.15</v>
      </c>
      <c r="F374" s="309">
        <v>0.14399999999999999</v>
      </c>
      <c r="G374" s="310">
        <v>0.15</v>
      </c>
    </row>
    <row r="375" spans="1:7">
      <c r="A375" s="319" t="s">
        <v>330</v>
      </c>
      <c r="B375" s="308" t="s">
        <v>3126</v>
      </c>
      <c r="C375" s="309">
        <v>0.15</v>
      </c>
      <c r="D375" s="309">
        <v>0.15</v>
      </c>
      <c r="E375" s="309">
        <v>0.15</v>
      </c>
      <c r="F375" s="309">
        <v>0.13</v>
      </c>
      <c r="G375" s="310">
        <v>0.15</v>
      </c>
    </row>
    <row r="376" spans="1:7">
      <c r="A376" s="319" t="s">
        <v>330</v>
      </c>
      <c r="B376" s="308" t="s">
        <v>3127</v>
      </c>
      <c r="C376" s="309">
        <v>0.15</v>
      </c>
      <c r="D376" s="309">
        <v>0.15</v>
      </c>
      <c r="E376" s="309">
        <v>0.15</v>
      </c>
      <c r="F376" s="309">
        <v>0.14199999999999999</v>
      </c>
      <c r="G376" s="310">
        <v>0.15</v>
      </c>
    </row>
    <row r="377" spans="1:7">
      <c r="A377" s="322" t="s">
        <v>330</v>
      </c>
      <c r="B377" s="312" t="s">
        <v>3128</v>
      </c>
      <c r="C377" s="313">
        <v>0.15</v>
      </c>
      <c r="D377" s="313">
        <v>0.15</v>
      </c>
      <c r="E377" s="313">
        <v>0.15</v>
      </c>
      <c r="F377" s="313">
        <v>0.14000000000000001</v>
      </c>
      <c r="G377" s="315">
        <v>0.15</v>
      </c>
    </row>
    <row r="378" spans="1:7">
      <c r="A378" s="318" t="s">
        <v>336</v>
      </c>
      <c r="B378" s="304" t="s">
        <v>3129</v>
      </c>
      <c r="C378" s="305">
        <v>0.15</v>
      </c>
      <c r="D378" s="305">
        <v>0.15</v>
      </c>
      <c r="E378" s="305">
        <v>0.15</v>
      </c>
      <c r="F378" s="305">
        <v>0.107</v>
      </c>
      <c r="G378" s="306">
        <v>0.15</v>
      </c>
    </row>
    <row r="379" spans="1:7">
      <c r="A379" s="319" t="s">
        <v>336</v>
      </c>
      <c r="B379" s="308" t="s">
        <v>3130</v>
      </c>
      <c r="C379" s="309">
        <v>0.15</v>
      </c>
      <c r="D379" s="309">
        <v>0.15</v>
      </c>
      <c r="E379" s="309">
        <v>0.15</v>
      </c>
      <c r="F379" s="309">
        <v>0.115</v>
      </c>
      <c r="G379" s="310">
        <v>0.14899999999999999</v>
      </c>
    </row>
    <row r="380" spans="1:7">
      <c r="A380" s="319" t="s">
        <v>336</v>
      </c>
      <c r="B380" s="308" t="s">
        <v>3131</v>
      </c>
      <c r="C380" s="309">
        <v>0.15</v>
      </c>
      <c r="D380" s="309">
        <v>0.15</v>
      </c>
      <c r="E380" s="309">
        <v>0.15</v>
      </c>
      <c r="F380" s="309">
        <v>0.1</v>
      </c>
      <c r="G380" s="310">
        <v>0.14799999999999999</v>
      </c>
    </row>
    <row r="381" spans="1:7">
      <c r="A381" s="319" t="s">
        <v>336</v>
      </c>
      <c r="B381" s="308" t="s">
        <v>3132</v>
      </c>
      <c r="C381" s="309">
        <v>0.15</v>
      </c>
      <c r="D381" s="309">
        <v>0.15</v>
      </c>
      <c r="E381" s="309">
        <v>0.15</v>
      </c>
      <c r="F381" s="309">
        <v>0.126</v>
      </c>
      <c r="G381" s="310">
        <v>0.15</v>
      </c>
    </row>
    <row r="382" spans="1:7">
      <c r="A382" s="319" t="s">
        <v>336</v>
      </c>
      <c r="B382" s="308" t="s">
        <v>3133</v>
      </c>
      <c r="C382" s="309">
        <v>0.15</v>
      </c>
      <c r="D382" s="309">
        <v>0.15</v>
      </c>
      <c r="E382" s="309">
        <v>0.15</v>
      </c>
      <c r="F382" s="309">
        <v>0.15</v>
      </c>
      <c r="G382" s="310">
        <v>0.15</v>
      </c>
    </row>
    <row r="383" spans="1:7">
      <c r="A383" s="319" t="s">
        <v>336</v>
      </c>
      <c r="B383" s="308" t="s">
        <v>3134</v>
      </c>
      <c r="C383" s="309">
        <v>0.15</v>
      </c>
      <c r="D383" s="309">
        <v>0.15</v>
      </c>
      <c r="E383" s="309">
        <v>0.15</v>
      </c>
      <c r="F383" s="309">
        <v>0.14699999999999999</v>
      </c>
      <c r="G383" s="310">
        <v>0.15</v>
      </c>
    </row>
    <row r="384" spans="1:7">
      <c r="A384" s="329" t="s">
        <v>336</v>
      </c>
      <c r="B384" s="330" t="s">
        <v>3135</v>
      </c>
      <c r="C384" s="331">
        <v>0.15</v>
      </c>
      <c r="D384" s="331">
        <v>0.15</v>
      </c>
      <c r="E384" s="331">
        <v>0.15</v>
      </c>
      <c r="F384" s="331">
        <v>0.15</v>
      </c>
      <c r="G384" s="332">
        <v>0.15</v>
      </c>
    </row>
  </sheetData>
  <sheetProtection password="CEE9" sheet="1" objects="1" scenarios="1"/>
  <mergeCells count="1">
    <mergeCell ref="A1:B1"/>
  </mergeCells>
  <phoneticPr fontId="23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61" t="s">
        <v>3136</v>
      </c>
      <c r="B1" s="3561"/>
      <c r="C1" s="3561"/>
      <c r="D1" s="3561"/>
      <c r="E1" s="3561"/>
      <c r="F1" s="3562"/>
    </row>
    <row r="2" spans="1:6">
      <c r="A2" s="292" t="s">
        <v>3137</v>
      </c>
    </row>
    <row r="3" spans="1:6">
      <c r="A3" s="292" t="s">
        <v>3138</v>
      </c>
      <c r="F3" s="293" t="s">
        <v>3139</v>
      </c>
    </row>
    <row r="4" spans="1:6">
      <c r="A4" s="294" t="s">
        <v>442</v>
      </c>
      <c r="B4" s="294" t="s">
        <v>229</v>
      </c>
      <c r="C4" s="294" t="s">
        <v>230</v>
      </c>
      <c r="D4" s="294" t="s">
        <v>3140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46026</v>
      </c>
      <c r="B1" s="227" t="s">
        <v>3141</v>
      </c>
      <c r="C1" s="228"/>
      <c r="D1" s="228"/>
      <c r="E1" s="228"/>
      <c r="F1" s="228"/>
      <c r="G1" s="228"/>
      <c r="H1" s="228"/>
      <c r="I1" s="228"/>
      <c r="J1" s="229"/>
      <c r="K1" s="228" t="s">
        <v>3142</v>
      </c>
      <c r="L1" s="228"/>
      <c r="M1" s="228"/>
      <c r="N1" s="228"/>
      <c r="O1" s="228"/>
      <c r="P1" s="228"/>
      <c r="Q1" s="229"/>
      <c r="R1" s="3563" t="s">
        <v>3143</v>
      </c>
      <c r="S1" s="3564"/>
      <c r="T1" s="3564"/>
      <c r="U1" s="3564"/>
      <c r="V1" s="3564"/>
      <c r="W1" s="3564"/>
      <c r="X1" s="229"/>
      <c r="Y1" s="3563" t="s">
        <v>3144</v>
      </c>
      <c r="Z1" s="3564"/>
      <c r="AA1" s="3564"/>
      <c r="AB1" s="3564"/>
      <c r="AC1" s="3564"/>
      <c r="AD1" s="3564"/>
    </row>
    <row r="2" spans="1:44" s="104" customFormat="1">
      <c r="B2" s="230"/>
      <c r="C2" s="231"/>
      <c r="D2" s="113" t="s">
        <v>3145</v>
      </c>
      <c r="E2" s="114" t="s">
        <v>229</v>
      </c>
      <c r="F2" s="114" t="s">
        <v>230</v>
      </c>
      <c r="G2" s="114" t="s">
        <v>232</v>
      </c>
      <c r="H2" s="114" t="s">
        <v>233</v>
      </c>
      <c r="I2" s="114" t="s">
        <v>231</v>
      </c>
      <c r="J2" s="232"/>
      <c r="K2" s="113" t="s">
        <v>3145</v>
      </c>
      <c r="L2" s="114" t="s">
        <v>229</v>
      </c>
      <c r="M2" s="114" t="s">
        <v>230</v>
      </c>
      <c r="N2" s="114" t="s">
        <v>232</v>
      </c>
      <c r="O2" s="114" t="s">
        <v>233</v>
      </c>
      <c r="P2" s="114" t="s">
        <v>231</v>
      </c>
      <c r="Q2" s="232"/>
      <c r="R2" s="113" t="s">
        <v>3145</v>
      </c>
      <c r="S2" s="114" t="s">
        <v>229</v>
      </c>
      <c r="T2" s="114" t="s">
        <v>230</v>
      </c>
      <c r="U2" s="114" t="s">
        <v>232</v>
      </c>
      <c r="V2" s="114" t="s">
        <v>233</v>
      </c>
      <c r="W2" s="114" t="s">
        <v>231</v>
      </c>
      <c r="X2" s="232"/>
      <c r="Y2" s="113" t="s">
        <v>3145</v>
      </c>
      <c r="Z2" s="114" t="s">
        <v>229</v>
      </c>
      <c r="AA2" s="114" t="s">
        <v>230</v>
      </c>
      <c r="AB2" s="114" t="s">
        <v>232</v>
      </c>
      <c r="AC2" s="114" t="s">
        <v>233</v>
      </c>
      <c r="AD2" s="114" t="s">
        <v>231</v>
      </c>
      <c r="AF2" t="s">
        <v>3145</v>
      </c>
      <c r="AG2" t="s">
        <v>229</v>
      </c>
      <c r="AH2" t="s">
        <v>230</v>
      </c>
      <c r="AI2" t="s">
        <v>232</v>
      </c>
      <c r="AJ2" t="s">
        <v>233</v>
      </c>
      <c r="AK2" t="s">
        <v>231</v>
      </c>
      <c r="AM2" t="s">
        <v>3145</v>
      </c>
      <c r="AN2" t="s">
        <v>229</v>
      </c>
      <c r="AO2" t="s">
        <v>230</v>
      </c>
      <c r="AP2" t="s">
        <v>232</v>
      </c>
      <c r="AQ2" t="s">
        <v>233</v>
      </c>
      <c r="AR2" t="s">
        <v>231</v>
      </c>
    </row>
    <row r="3" spans="1:44" s="223" customFormat="1" ht="13.2">
      <c r="A3" s="233" t="s">
        <v>3146</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3147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3148</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3149</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3150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3151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3152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3153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3154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3155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3156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3157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3158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3159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3160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3161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3162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3163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3164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3165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3166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3167</v>
      </c>
    </row>
    <row r="27" spans="1:44">
      <c r="I27" s="280" t="s">
        <v>2141</v>
      </c>
    </row>
    <row r="29" spans="1:44" s="103" customFormat="1" ht="13.2">
      <c r="B29" s="227" t="s">
        <v>3168</v>
      </c>
      <c r="C29" s="228"/>
      <c r="D29" s="228"/>
      <c r="E29" s="228"/>
      <c r="F29" s="228"/>
      <c r="G29" s="228"/>
      <c r="H29" s="228"/>
      <c r="I29" s="228"/>
      <c r="J29" s="229"/>
      <c r="K29" s="228" t="s">
        <v>3142</v>
      </c>
      <c r="L29" s="228"/>
      <c r="M29" s="228"/>
      <c r="N29" s="228"/>
      <c r="O29" s="228"/>
      <c r="P29" s="228"/>
      <c r="Q29" s="229"/>
      <c r="R29" s="3563" t="s">
        <v>3143</v>
      </c>
      <c r="S29" s="3564"/>
      <c r="T29" s="3564"/>
      <c r="U29" s="3564"/>
      <c r="V29" s="3564"/>
      <c r="W29" s="3564"/>
      <c r="X29" s="229"/>
      <c r="Y29" s="3563" t="s">
        <v>3144</v>
      </c>
      <c r="Z29" s="3564"/>
      <c r="AA29" s="3564"/>
      <c r="AB29" s="3564"/>
      <c r="AC29" s="3564"/>
      <c r="AD29" s="3564"/>
    </row>
    <row r="30" spans="1:44" s="104" customFormat="1">
      <c r="B30" s="230"/>
      <c r="C30" s="231"/>
      <c r="D30" s="113" t="s">
        <v>3145</v>
      </c>
      <c r="E30" s="114" t="s">
        <v>229</v>
      </c>
      <c r="F30" s="114" t="s">
        <v>230</v>
      </c>
      <c r="G30" s="114" t="s">
        <v>232</v>
      </c>
      <c r="H30" s="114"/>
      <c r="I30" s="114" t="s">
        <v>231</v>
      </c>
      <c r="J30" s="232"/>
      <c r="K30" s="113" t="s">
        <v>3145</v>
      </c>
      <c r="L30" s="114" t="s">
        <v>229</v>
      </c>
      <c r="M30" s="114" t="s">
        <v>230</v>
      </c>
      <c r="N30" s="114" t="s">
        <v>232</v>
      </c>
      <c r="O30" s="114"/>
      <c r="P30" s="114" t="s">
        <v>231</v>
      </c>
      <c r="Q30" s="232"/>
      <c r="R30" s="113" t="s">
        <v>3145</v>
      </c>
      <c r="S30" s="114" t="s">
        <v>229</v>
      </c>
      <c r="T30" s="114" t="s">
        <v>230</v>
      </c>
      <c r="U30" s="114" t="s">
        <v>232</v>
      </c>
      <c r="V30" s="114"/>
      <c r="W30" s="114" t="s">
        <v>231</v>
      </c>
      <c r="X30" s="232"/>
      <c r="Y30" s="113" t="s">
        <v>3145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3146</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3147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3148</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3149</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3150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3151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3152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3153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3154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3155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3156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3157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3158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3159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3160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3161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3162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3163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3164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3165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3166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3169</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5" t="s">
        <v>3170</v>
      </c>
      <c r="C1" s="3565"/>
      <c r="D1" s="3565"/>
      <c r="E1" s="3565"/>
      <c r="F1" s="3565"/>
      <c r="G1" s="3564" t="s">
        <v>3171</v>
      </c>
      <c r="H1" s="3564"/>
      <c r="I1" s="3564"/>
      <c r="J1" s="3564"/>
      <c r="K1" s="3564"/>
      <c r="L1" s="3564"/>
      <c r="N1" s="3564" t="s">
        <v>3142</v>
      </c>
      <c r="O1" s="3564"/>
      <c r="P1" s="3564"/>
      <c r="Q1" s="3564"/>
      <c r="S1" s="3564" t="s">
        <v>3172</v>
      </c>
      <c r="T1" s="3564"/>
      <c r="U1" s="3564"/>
      <c r="V1" s="3564"/>
      <c r="X1" s="3563" t="s">
        <v>3143</v>
      </c>
      <c r="Y1" s="3564"/>
      <c r="Z1" s="3564"/>
      <c r="AA1" s="3564"/>
      <c r="AB1" s="3564"/>
      <c r="AD1" s="3563" t="s">
        <v>3144</v>
      </c>
      <c r="AE1" s="3564"/>
      <c r="AF1" s="3564"/>
      <c r="AG1" s="3564"/>
      <c r="AH1" s="3564"/>
    </row>
    <row r="2" spans="1:34" s="104" customFormat="1" ht="14.4">
      <c r="B2" s="113" t="s">
        <v>471</v>
      </c>
      <c r="C2" s="113" t="s">
        <v>3173</v>
      </c>
      <c r="D2" s="114" t="s">
        <v>230</v>
      </c>
      <c r="E2" s="114" t="s">
        <v>232</v>
      </c>
      <c r="F2" s="113" t="s">
        <v>3174</v>
      </c>
      <c r="G2" s="115"/>
      <c r="I2" s="113" t="s">
        <v>471</v>
      </c>
      <c r="J2" s="114" t="s">
        <v>2478</v>
      </c>
      <c r="K2" s="114" t="s">
        <v>232</v>
      </c>
      <c r="L2" s="113" t="s">
        <v>3174</v>
      </c>
      <c r="N2" s="113" t="s">
        <v>471</v>
      </c>
      <c r="O2" s="114" t="s">
        <v>2478</v>
      </c>
      <c r="P2" s="114" t="s">
        <v>232</v>
      </c>
      <c r="Q2" s="113" t="s">
        <v>3174</v>
      </c>
      <c r="S2" s="113" t="s">
        <v>471</v>
      </c>
      <c r="T2" s="114" t="s">
        <v>2478</v>
      </c>
      <c r="U2" s="114" t="s">
        <v>232</v>
      </c>
      <c r="V2" s="113" t="s">
        <v>3174</v>
      </c>
      <c r="X2" s="113" t="s">
        <v>471</v>
      </c>
      <c r="Y2" s="113" t="s">
        <v>3173</v>
      </c>
      <c r="Z2" s="114" t="s">
        <v>230</v>
      </c>
      <c r="AA2" s="114" t="s">
        <v>232</v>
      </c>
      <c r="AB2" s="113" t="s">
        <v>3174</v>
      </c>
      <c r="AD2" s="113" t="s">
        <v>471</v>
      </c>
      <c r="AE2" s="113" t="s">
        <v>3173</v>
      </c>
      <c r="AF2" s="114" t="s">
        <v>230</v>
      </c>
      <c r="AG2" s="114" t="s">
        <v>232</v>
      </c>
      <c r="AH2" s="113" t="s">
        <v>3174</v>
      </c>
    </row>
    <row r="3" spans="1:34" s="105" customFormat="1" ht="14.4">
      <c r="A3" s="116" t="s">
        <v>3146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3159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3160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3175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3161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3162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3163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3164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3165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3166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3176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3177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3178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3179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3180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3181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3182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3183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3184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66">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3185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66"/>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3186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66"/>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3187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6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3188</v>
      </c>
      <c r="B25" s="149">
        <v>439</v>
      </c>
      <c r="C25" s="149">
        <v>327</v>
      </c>
      <c r="D25" s="149">
        <f t="shared" si="217"/>
        <v>327</v>
      </c>
      <c r="E25" s="149">
        <v>627</v>
      </c>
      <c r="F25" s="150">
        <v>283</v>
      </c>
      <c r="G25" s="356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3189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66"/>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3190</v>
      </c>
      <c r="B27" s="130">
        <f t="shared" si="232"/>
        <v>419.31181600000002</v>
      </c>
      <c r="C27" s="130">
        <f t="shared" si="233"/>
        <v>313.95436799999999</v>
      </c>
      <c r="D27" s="130">
        <f t="shared" si="234"/>
        <v>313.95436799999999</v>
      </c>
      <c r="E27" s="130">
        <f t="shared" si="235"/>
        <v>596.63028431999999</v>
      </c>
      <c r="F27" s="130">
        <f t="shared" si="236"/>
        <v>274.74220703999998</v>
      </c>
      <c r="G27" s="3566"/>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3191</v>
      </c>
      <c r="B28" s="130">
        <f t="shared" si="232"/>
        <v>405.524</v>
      </c>
      <c r="C28" s="130">
        <f t="shared" si="233"/>
        <v>307.79840000000002</v>
      </c>
      <c r="D28" s="130">
        <f t="shared" si="234"/>
        <v>307.79840000000002</v>
      </c>
      <c r="E28" s="130">
        <f t="shared" si="235"/>
        <v>574.67759999999998</v>
      </c>
      <c r="F28" s="130">
        <f t="shared" si="236"/>
        <v>270.20280000000002</v>
      </c>
      <c r="G28" s="356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3192</v>
      </c>
      <c r="B29" s="149">
        <v>392</v>
      </c>
      <c r="C29" s="149">
        <v>302</v>
      </c>
      <c r="D29" s="149">
        <f t="shared" si="234"/>
        <v>302</v>
      </c>
      <c r="E29" s="149">
        <v>553</v>
      </c>
      <c r="F29" s="150">
        <v>266</v>
      </c>
      <c r="G29" s="356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3193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66"/>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3194</v>
      </c>
      <c r="B31" s="130">
        <f t="shared" si="245"/>
        <v>360.06949782209398</v>
      </c>
      <c r="C31" s="130">
        <f t="shared" si="245"/>
        <v>289.84672674747799</v>
      </c>
      <c r="D31" s="130">
        <f t="shared" si="246"/>
        <v>289.84672674747799</v>
      </c>
      <c r="E31" s="130">
        <f t="shared" si="247"/>
        <v>501.06543001181501</v>
      </c>
      <c r="F31" s="130">
        <f t="shared" si="247"/>
        <v>256.82882500745001</v>
      </c>
      <c r="G31" s="3566"/>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3195</v>
      </c>
      <c r="B32" s="130">
        <f t="shared" si="245"/>
        <v>346.720748986128</v>
      </c>
      <c r="C32" s="130">
        <f t="shared" si="245"/>
        <v>284.30282172386302</v>
      </c>
      <c r="D32" s="130">
        <f t="shared" si="246"/>
        <v>284.30282172386302</v>
      </c>
      <c r="E32" s="130">
        <f t="shared" si="247"/>
        <v>479.58023546306902</v>
      </c>
      <c r="F32" s="130">
        <f t="shared" si="247"/>
        <v>253.25788877571199</v>
      </c>
      <c r="G32" s="356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3196</v>
      </c>
      <c r="B33" s="149">
        <v>333</v>
      </c>
      <c r="C33" s="149">
        <v>277</v>
      </c>
      <c r="D33" s="149">
        <f t="shared" si="246"/>
        <v>277</v>
      </c>
      <c r="E33" s="149">
        <v>459</v>
      </c>
      <c r="F33" s="150">
        <v>249</v>
      </c>
      <c r="G33" s="357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3197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66"/>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3198</v>
      </c>
      <c r="B35" s="130">
        <f t="shared" si="249"/>
        <v>322.34053690220799</v>
      </c>
      <c r="C35" s="130">
        <f t="shared" si="249"/>
        <v>271.461607704225</v>
      </c>
      <c r="D35" s="130">
        <f t="shared" si="246"/>
        <v>271.461607704225</v>
      </c>
      <c r="E35" s="130">
        <f t="shared" si="250"/>
        <v>442.69434542172502</v>
      </c>
      <c r="F35" s="130">
        <f t="shared" si="250"/>
        <v>241.34030753190899</v>
      </c>
      <c r="G35" s="3566"/>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3199</v>
      </c>
      <c r="B36" s="130">
        <f t="shared" si="249"/>
        <v>319.87748030386803</v>
      </c>
      <c r="C36" s="130">
        <f t="shared" si="249"/>
        <v>269.60135833173598</v>
      </c>
      <c r="D36" s="130">
        <f t="shared" si="246"/>
        <v>269.60135833173598</v>
      </c>
      <c r="E36" s="130">
        <f t="shared" si="250"/>
        <v>439.18089823583801</v>
      </c>
      <c r="F36" s="130">
        <f t="shared" si="250"/>
        <v>239.23503918706299</v>
      </c>
      <c r="G36" s="356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3200</v>
      </c>
      <c r="B37" s="163">
        <v>318</v>
      </c>
      <c r="C37" s="163">
        <v>268</v>
      </c>
      <c r="D37" s="163">
        <f t="shared" si="246"/>
        <v>268</v>
      </c>
      <c r="E37" s="163">
        <v>437</v>
      </c>
      <c r="F37" s="164">
        <v>237</v>
      </c>
      <c r="G37" s="357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3201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66"/>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3202</v>
      </c>
      <c r="B39" s="130">
        <f t="shared" si="251"/>
        <v>314.721411723865</v>
      </c>
      <c r="C39" s="130">
        <f t="shared" si="251"/>
        <v>263.03901319069001</v>
      </c>
      <c r="D39" s="130">
        <f t="shared" si="246"/>
        <v>263.03901319069001</v>
      </c>
      <c r="E39" s="130">
        <f t="shared" si="252"/>
        <v>433.65745506782798</v>
      </c>
      <c r="F39" s="130">
        <f t="shared" si="252"/>
        <v>233.23005080045701</v>
      </c>
      <c r="G39" s="3566"/>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3203</v>
      </c>
      <c r="B40" s="168">
        <f t="shared" si="251"/>
        <v>307.34512863658699</v>
      </c>
      <c r="C40" s="168">
        <f t="shared" si="251"/>
        <v>257.80556031626998</v>
      </c>
      <c r="D40" s="168">
        <f t="shared" si="246"/>
        <v>257.80556031626998</v>
      </c>
      <c r="E40" s="168">
        <f t="shared" si="252"/>
        <v>422.70928459677202</v>
      </c>
      <c r="F40" s="168">
        <f t="shared" si="252"/>
        <v>229.738032703366</v>
      </c>
      <c r="G40" s="356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3204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3205</v>
      </c>
      <c r="B41" s="149">
        <v>299</v>
      </c>
      <c r="C41" s="149">
        <v>252</v>
      </c>
      <c r="D41" s="149">
        <f t="shared" si="246"/>
        <v>252</v>
      </c>
      <c r="E41" s="149">
        <v>409</v>
      </c>
      <c r="F41" s="150">
        <v>227</v>
      </c>
      <c r="G41" s="357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3206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7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3207</v>
      </c>
      <c r="B43" s="130">
        <f t="shared" si="255"/>
        <v>288.264905382878</v>
      </c>
      <c r="C43" s="130">
        <f t="shared" si="255"/>
        <v>243.64564425013299</v>
      </c>
      <c r="D43" s="130">
        <f t="shared" si="246"/>
        <v>243.64564425013299</v>
      </c>
      <c r="E43" s="130">
        <f t="shared" si="256"/>
        <v>393.31080825986498</v>
      </c>
      <c r="F43" s="130">
        <f t="shared" si="256"/>
        <v>223.079037905512</v>
      </c>
      <c r="G43" s="357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3208</v>
      </c>
      <c r="B44" s="130">
        <f t="shared" si="255"/>
        <v>282.50186729015797</v>
      </c>
      <c r="C44" s="130">
        <f t="shared" si="255"/>
        <v>238.097961741555</v>
      </c>
      <c r="D44" s="130">
        <f t="shared" si="246"/>
        <v>238.097961741555</v>
      </c>
      <c r="E44" s="130">
        <f t="shared" si="256"/>
        <v>385.33438646014099</v>
      </c>
      <c r="F44" s="130">
        <f t="shared" si="256"/>
        <v>221.550340555677</v>
      </c>
      <c r="G44" s="357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3209</v>
      </c>
      <c r="B45" s="181">
        <v>278</v>
      </c>
      <c r="C45" s="181">
        <v>234</v>
      </c>
      <c r="D45" s="181">
        <f t="shared" si="246"/>
        <v>234</v>
      </c>
      <c r="E45" s="181">
        <v>379</v>
      </c>
      <c r="F45" s="182">
        <v>220</v>
      </c>
      <c r="G45" s="357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3210</v>
      </c>
      <c r="B46" s="130">
        <f>B45/(1+N45)</f>
        <v>275.49301357645402</v>
      </c>
      <c r="C46" s="130">
        <f>C45/(1+O45)</f>
        <v>232.41954707985701</v>
      </c>
      <c r="D46" s="130">
        <f t="shared" si="246"/>
        <v>232.41954707985701</v>
      </c>
      <c r="E46" s="130">
        <f t="shared" ref="E46:F48" si="257">E45/(1+P45)</f>
        <v>375.32184591008098</v>
      </c>
      <c r="F46" s="130">
        <f t="shared" si="257"/>
        <v>218.03766105054501</v>
      </c>
      <c r="G46" s="3566"/>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3211</v>
      </c>
      <c r="B47" s="130">
        <f>B46/(1+N46)</f>
        <v>275.24529281292303</v>
      </c>
      <c r="C47" s="130">
        <f>C46/(1+O46)</f>
        <v>231.74747938962699</v>
      </c>
      <c r="D47" s="130">
        <f t="shared" si="246"/>
        <v>231.74747938962699</v>
      </c>
      <c r="E47" s="130">
        <f t="shared" si="257"/>
        <v>375.35938184826603</v>
      </c>
      <c r="F47" s="130">
        <f t="shared" si="257"/>
        <v>216.78033510692501</v>
      </c>
      <c r="G47" s="3566"/>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3212</v>
      </c>
      <c r="B48" s="130">
        <f>B47/(1+N47)</f>
        <v>275.19025476196998</v>
      </c>
      <c r="C48" s="183">
        <v>232</v>
      </c>
      <c r="D48" s="183">
        <f t="shared" si="246"/>
        <v>232</v>
      </c>
      <c r="E48" s="130">
        <f t="shared" si="257"/>
        <v>375.65990977608698</v>
      </c>
      <c r="F48" s="130">
        <f t="shared" si="257"/>
        <v>214.12518283971301</v>
      </c>
      <c r="G48" s="356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3213</v>
      </c>
      <c r="B49" s="149">
        <v>275</v>
      </c>
      <c r="C49" s="149">
        <v>232</v>
      </c>
      <c r="D49" s="149">
        <f t="shared" si="246"/>
        <v>232</v>
      </c>
      <c r="E49" s="149">
        <v>376</v>
      </c>
      <c r="F49" s="150">
        <v>213</v>
      </c>
      <c r="G49" s="357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3214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66">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3215</v>
      </c>
      <c r="B51" s="130">
        <f t="shared" si="258"/>
        <v>275.19335084830601</v>
      </c>
      <c r="C51" s="130">
        <f t="shared" si="258"/>
        <v>230.18088050139701</v>
      </c>
      <c r="D51" s="130">
        <f t="shared" si="246"/>
        <v>230.18088050139701</v>
      </c>
      <c r="E51" s="130">
        <f t="shared" si="259"/>
        <v>377.58482925212297</v>
      </c>
      <c r="F51" s="130">
        <f t="shared" si="259"/>
        <v>210.906879978479</v>
      </c>
      <c r="G51" s="3566">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3216</v>
      </c>
      <c r="B52" s="130">
        <f t="shared" si="258"/>
        <v>276.29854502841999</v>
      </c>
      <c r="C52" s="130">
        <f t="shared" si="258"/>
        <v>229.79023709833001</v>
      </c>
      <c r="D52" s="130">
        <f t="shared" si="246"/>
        <v>229.79023709833001</v>
      </c>
      <c r="E52" s="130">
        <f t="shared" si="259"/>
        <v>379.78759731655902</v>
      </c>
      <c r="F52" s="130">
        <f t="shared" si="259"/>
        <v>211.32953905659201</v>
      </c>
      <c r="G52" s="356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3217</v>
      </c>
      <c r="B53" s="149">
        <v>269</v>
      </c>
      <c r="C53" s="149">
        <v>221</v>
      </c>
      <c r="D53" s="149">
        <f t="shared" si="246"/>
        <v>221</v>
      </c>
      <c r="E53" s="149">
        <v>373</v>
      </c>
      <c r="F53" s="150">
        <v>196</v>
      </c>
      <c r="G53" s="357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3218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66">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3219</v>
      </c>
      <c r="B55" s="130">
        <f t="shared" si="260"/>
        <v>242.95398227588399</v>
      </c>
      <c r="C55" s="130">
        <f t="shared" si="260"/>
        <v>199.591370536141</v>
      </c>
      <c r="D55" s="130">
        <f t="shared" si="246"/>
        <v>199.591370536141</v>
      </c>
      <c r="E55" s="130">
        <f t="shared" si="261"/>
        <v>335.92189522342102</v>
      </c>
      <c r="F55" s="130">
        <f t="shared" si="261"/>
        <v>183.101399911095</v>
      </c>
      <c r="G55" s="3566">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3220</v>
      </c>
      <c r="B56" s="130">
        <f t="shared" si="260"/>
        <v>232.06990378821601</v>
      </c>
      <c r="C56" s="130">
        <f t="shared" si="260"/>
        <v>192.74878854286899</v>
      </c>
      <c r="D56" s="130">
        <f t="shared" si="246"/>
        <v>192.74878854286899</v>
      </c>
      <c r="E56" s="130">
        <f t="shared" si="261"/>
        <v>319.71247284993001</v>
      </c>
      <c r="F56" s="130">
        <f t="shared" si="261"/>
        <v>175.670536228624</v>
      </c>
      <c r="G56" s="356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3221</v>
      </c>
      <c r="B57" s="149">
        <v>220</v>
      </c>
      <c r="C57" s="149">
        <v>187</v>
      </c>
      <c r="D57" s="149">
        <f t="shared" si="246"/>
        <v>187</v>
      </c>
      <c r="E57" s="149">
        <v>301</v>
      </c>
      <c r="F57" s="150">
        <v>168</v>
      </c>
      <c r="G57" s="357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3222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66">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3223</v>
      </c>
      <c r="B59" s="130">
        <f t="shared" si="262"/>
        <v>210.630522469011</v>
      </c>
      <c r="C59" s="130">
        <f t="shared" si="262"/>
        <v>181.695678122472</v>
      </c>
      <c r="D59" s="130">
        <f t="shared" si="246"/>
        <v>181.695678122472</v>
      </c>
      <c r="E59" s="130">
        <f t="shared" si="263"/>
        <v>286.13517466736698</v>
      </c>
      <c r="F59" s="130">
        <f t="shared" si="263"/>
        <v>165.47535084591101</v>
      </c>
      <c r="G59" s="3566">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3224</v>
      </c>
      <c r="B60" s="130">
        <f t="shared" si="262"/>
        <v>208.834545378754</v>
      </c>
      <c r="C60" s="130">
        <f t="shared" si="262"/>
        <v>183.77230517090399</v>
      </c>
      <c r="D60" s="130">
        <f t="shared" si="246"/>
        <v>183.77230517090399</v>
      </c>
      <c r="E60" s="130">
        <f t="shared" si="263"/>
        <v>281.10342338870902</v>
      </c>
      <c r="F60" s="130">
        <f t="shared" si="263"/>
        <v>168.97309388942301</v>
      </c>
      <c r="G60" s="356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3225</v>
      </c>
      <c r="B61" s="181">
        <v>214</v>
      </c>
      <c r="C61" s="181">
        <v>188</v>
      </c>
      <c r="D61" s="181">
        <f t="shared" si="246"/>
        <v>188</v>
      </c>
      <c r="E61" s="181">
        <v>289</v>
      </c>
      <c r="F61" s="182">
        <v>166</v>
      </c>
      <c r="G61" s="357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3226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66">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3227</v>
      </c>
      <c r="B63" s="130">
        <f t="shared" si="264"/>
        <v>206.31694671589099</v>
      </c>
      <c r="C63" s="130">
        <f t="shared" si="264"/>
        <v>183.61041121036101</v>
      </c>
      <c r="D63" s="130">
        <f t="shared" si="246"/>
        <v>183.61041121036101</v>
      </c>
      <c r="E63" s="130">
        <f t="shared" si="265"/>
        <v>276.66850301795603</v>
      </c>
      <c r="F63" s="130">
        <f t="shared" si="265"/>
        <v>165.136093827861</v>
      </c>
      <c r="G63" s="3566">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3228</v>
      </c>
      <c r="B64" s="184">
        <f t="shared" si="264"/>
        <v>196.62341248059801</v>
      </c>
      <c r="C64" s="184">
        <f t="shared" si="264"/>
        <v>170.99125648199001</v>
      </c>
      <c r="D64" s="184">
        <f t="shared" si="246"/>
        <v>170.99125648199001</v>
      </c>
      <c r="E64" s="184">
        <f t="shared" si="265"/>
        <v>266.07857570490103</v>
      </c>
      <c r="F64" s="184">
        <f t="shared" si="265"/>
        <v>154.53499328828499</v>
      </c>
      <c r="G64" s="356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3229</v>
      </c>
      <c r="B65" s="149">
        <v>188</v>
      </c>
      <c r="C65" s="149">
        <v>165</v>
      </c>
      <c r="D65" s="149">
        <f t="shared" si="246"/>
        <v>165</v>
      </c>
      <c r="E65" s="149">
        <v>254</v>
      </c>
      <c r="F65" s="150">
        <v>148</v>
      </c>
      <c r="G65" s="357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3230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66">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3231</v>
      </c>
      <c r="B67" s="130">
        <f t="shared" si="268"/>
        <v>168.820177487156</v>
      </c>
      <c r="C67" s="130">
        <f t="shared" si="268"/>
        <v>148.06267029972801</v>
      </c>
      <c r="D67" s="130">
        <f t="shared" si="246"/>
        <v>148.06267029972801</v>
      </c>
      <c r="E67" s="130">
        <f t="shared" si="269"/>
        <v>216.46288379323701</v>
      </c>
      <c r="F67" s="130">
        <f t="shared" si="269"/>
        <v>134.23529411764699</v>
      </c>
      <c r="G67" s="3566">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3232</v>
      </c>
      <c r="B68" s="130">
        <f t="shared" si="268"/>
        <v>163.849135917795</v>
      </c>
      <c r="C68" s="130">
        <f t="shared" si="268"/>
        <v>145.028337874659</v>
      </c>
      <c r="D68" s="130">
        <f t="shared" si="246"/>
        <v>145.028337874659</v>
      </c>
      <c r="E68" s="130">
        <f t="shared" si="269"/>
        <v>204.95180722891601</v>
      </c>
      <c r="F68" s="130">
        <f t="shared" si="269"/>
        <v>125.959203036053</v>
      </c>
      <c r="G68" s="356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3233</v>
      </c>
      <c r="B69" s="163">
        <v>159</v>
      </c>
      <c r="C69" s="163">
        <v>141</v>
      </c>
      <c r="D69" s="163">
        <f t="shared" si="246"/>
        <v>141</v>
      </c>
      <c r="E69" s="163">
        <v>195</v>
      </c>
      <c r="F69" s="164">
        <v>122</v>
      </c>
      <c r="G69" s="357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3234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66">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3235</v>
      </c>
      <c r="B71" s="130">
        <f t="shared" si="272"/>
        <v>146.57412060301499</v>
      </c>
      <c r="C71" s="130">
        <f t="shared" si="272"/>
        <v>136.468319559229</v>
      </c>
      <c r="D71" s="130">
        <f t="shared" si="246"/>
        <v>136.468319559229</v>
      </c>
      <c r="E71" s="130">
        <f t="shared" si="273"/>
        <v>166.73864894795099</v>
      </c>
      <c r="F71" s="130">
        <f t="shared" si="273"/>
        <v>115.058823529412</v>
      </c>
      <c r="G71" s="3566">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3236</v>
      </c>
      <c r="B72" s="130">
        <f t="shared" si="272"/>
        <v>144.04145728643201</v>
      </c>
      <c r="C72" s="130">
        <f t="shared" si="272"/>
        <v>136.123966942149</v>
      </c>
      <c r="D72" s="130">
        <f t="shared" si="246"/>
        <v>136.123966942149</v>
      </c>
      <c r="E72" s="130">
        <f t="shared" si="273"/>
        <v>158.32225913621301</v>
      </c>
      <c r="F72" s="130">
        <f t="shared" si="273"/>
        <v>114.04278074866301</v>
      </c>
      <c r="G72" s="356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3237</v>
      </c>
      <c r="B73" s="163">
        <v>138</v>
      </c>
      <c r="C73" s="163">
        <v>131</v>
      </c>
      <c r="D73" s="163">
        <f t="shared" si="246"/>
        <v>131</v>
      </c>
      <c r="E73" s="163">
        <v>155</v>
      </c>
      <c r="F73" s="164">
        <v>114</v>
      </c>
      <c r="G73" s="357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3238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66">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3239</v>
      </c>
      <c r="B75" s="130">
        <f t="shared" si="276"/>
        <v>124.290322580645</v>
      </c>
      <c r="C75" s="130">
        <f t="shared" si="276"/>
        <v>123.896860986547</v>
      </c>
      <c r="D75" s="130">
        <f t="shared" si="246"/>
        <v>123.896860986547</v>
      </c>
      <c r="E75" s="130">
        <f t="shared" si="277"/>
        <v>138.005076142132</v>
      </c>
      <c r="F75" s="130">
        <f t="shared" si="277"/>
        <v>107.96106557377</v>
      </c>
      <c r="G75" s="3566">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3240</v>
      </c>
      <c r="B76" s="130">
        <f t="shared" si="276"/>
        <v>122.57204301075301</v>
      </c>
      <c r="C76" s="130">
        <f t="shared" si="276"/>
        <v>123.493273542601</v>
      </c>
      <c r="D76" s="130">
        <f t="shared" si="246"/>
        <v>123.493273542601</v>
      </c>
      <c r="E76" s="130">
        <f t="shared" si="277"/>
        <v>129.82233502538099</v>
      </c>
      <c r="F76" s="130">
        <f t="shared" si="277"/>
        <v>107.39446721311501</v>
      </c>
      <c r="G76" s="356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3241</v>
      </c>
      <c r="B77" s="181">
        <v>121</v>
      </c>
      <c r="C77" s="181">
        <v>122</v>
      </c>
      <c r="D77" s="181">
        <f t="shared" si="246"/>
        <v>122</v>
      </c>
      <c r="E77" s="181">
        <v>124</v>
      </c>
      <c r="F77" s="182">
        <v>107</v>
      </c>
      <c r="G77" s="357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3242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66">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3243</v>
      </c>
      <c r="B79" s="130">
        <f t="shared" si="280"/>
        <v>116.99099099099099</v>
      </c>
      <c r="C79" s="130">
        <f t="shared" si="280"/>
        <v>118.848484848485</v>
      </c>
      <c r="D79" s="130">
        <f t="shared" si="246"/>
        <v>118.848484848485</v>
      </c>
      <c r="E79" s="130">
        <f t="shared" si="281"/>
        <v>117.60960960961</v>
      </c>
      <c r="F79" s="130">
        <f t="shared" si="281"/>
        <v>104</v>
      </c>
      <c r="G79" s="3566">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3244</v>
      </c>
      <c r="B80" s="184">
        <f t="shared" si="280"/>
        <v>112.486486486486</v>
      </c>
      <c r="C80" s="184">
        <f t="shared" si="280"/>
        <v>115.212121212121</v>
      </c>
      <c r="D80" s="184">
        <f t="shared" si="246"/>
        <v>115.212121212121</v>
      </c>
      <c r="E80" s="184">
        <f t="shared" si="281"/>
        <v>110.402402402402</v>
      </c>
      <c r="F80" s="184">
        <f t="shared" si="281"/>
        <v>104</v>
      </c>
      <c r="G80" s="356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3245</v>
      </c>
      <c r="B81" s="200">
        <v>111</v>
      </c>
      <c r="C81" s="200">
        <v>114</v>
      </c>
      <c r="D81" s="200">
        <f t="shared" si="246"/>
        <v>114</v>
      </c>
      <c r="E81" s="200">
        <v>108</v>
      </c>
      <c r="F81" s="201">
        <v>104</v>
      </c>
      <c r="G81" s="3570">
        <v>2003</v>
      </c>
      <c r="H81" s="190">
        <v>4</v>
      </c>
      <c r="I81" s="202"/>
      <c r="J81" s="202"/>
      <c r="K81" s="202"/>
      <c r="L81" s="202"/>
      <c r="N81" s="203"/>
      <c r="O81" s="202"/>
      <c r="P81" s="202"/>
      <c r="Q81" s="202"/>
      <c r="S81" s="203"/>
      <c r="T81" s="202"/>
      <c r="U81" s="202"/>
      <c r="V81" s="202"/>
      <c r="X81" s="194"/>
      <c r="Y81" s="194"/>
      <c r="Z81" s="194"/>
    </row>
    <row r="82" spans="1:26">
      <c r="A82" s="129" t="s">
        <v>3246</v>
      </c>
      <c r="B82" s="204">
        <f t="shared" ref="B82:C84" si="282">B83+(B$81-B$85)/4</f>
        <v>109.75</v>
      </c>
      <c r="C82" s="204">
        <f t="shared" si="282"/>
        <v>112.25</v>
      </c>
      <c r="D82" s="204">
        <f t="shared" si="246"/>
        <v>112.25</v>
      </c>
      <c r="E82" s="204">
        <f t="shared" ref="E82:F84" si="283">E83+(E$81-E$85)/4</f>
        <v>107.25</v>
      </c>
      <c r="F82" s="204">
        <f t="shared" si="283"/>
        <v>103.5</v>
      </c>
      <c r="G82" s="3566">
        <v>2003</v>
      </c>
      <c r="H82" s="161">
        <v>3</v>
      </c>
      <c r="I82" s="202"/>
      <c r="J82" s="202"/>
      <c r="K82" s="202"/>
      <c r="L82" s="202"/>
      <c r="X82" s="194"/>
      <c r="Y82" s="194"/>
      <c r="Z82" s="194"/>
    </row>
    <row r="83" spans="1:26">
      <c r="A83" s="129" t="s">
        <v>3247</v>
      </c>
      <c r="B83" s="204">
        <f t="shared" si="282"/>
        <v>108.5</v>
      </c>
      <c r="C83" s="204">
        <f t="shared" si="282"/>
        <v>110.5</v>
      </c>
      <c r="D83" s="204">
        <f t="shared" si="246"/>
        <v>110.5</v>
      </c>
      <c r="E83" s="204">
        <f t="shared" si="283"/>
        <v>106.5</v>
      </c>
      <c r="F83" s="204">
        <f t="shared" si="283"/>
        <v>103</v>
      </c>
      <c r="G83" s="3566">
        <v>2003</v>
      </c>
      <c r="H83" s="151">
        <v>2</v>
      </c>
      <c r="I83" s="202"/>
      <c r="J83" s="202"/>
      <c r="K83" s="202"/>
      <c r="L83" s="202"/>
      <c r="X83" s="194"/>
      <c r="Y83" s="194"/>
      <c r="Z83" s="194"/>
    </row>
    <row r="84" spans="1:26">
      <c r="A84" s="129" t="s">
        <v>3248</v>
      </c>
      <c r="B84" s="204">
        <f t="shared" si="282"/>
        <v>107.25</v>
      </c>
      <c r="C84" s="204">
        <f t="shared" si="282"/>
        <v>108.75</v>
      </c>
      <c r="D84" s="204">
        <f t="shared" si="246"/>
        <v>108.75</v>
      </c>
      <c r="E84" s="204">
        <f t="shared" si="283"/>
        <v>105.75</v>
      </c>
      <c r="F84" s="204">
        <f t="shared" si="283"/>
        <v>102.5</v>
      </c>
      <c r="G84" s="3569">
        <v>2003</v>
      </c>
      <c r="H84" s="205">
        <v>1</v>
      </c>
      <c r="I84" s="202"/>
      <c r="J84" s="202"/>
      <c r="K84" s="202"/>
      <c r="L84" s="202"/>
      <c r="S84" s="135"/>
      <c r="T84" s="128"/>
      <c r="U84" s="128"/>
      <c r="X84" s="194"/>
      <c r="Y84" s="194"/>
      <c r="Z84" s="194"/>
    </row>
    <row r="85" spans="1:26">
      <c r="A85" s="129" t="s">
        <v>3249</v>
      </c>
      <c r="B85" s="206">
        <v>106</v>
      </c>
      <c r="C85" s="206">
        <v>107</v>
      </c>
      <c r="D85" s="206">
        <f t="shared" si="246"/>
        <v>107</v>
      </c>
      <c r="E85" s="206">
        <v>105</v>
      </c>
      <c r="F85" s="207">
        <v>102</v>
      </c>
      <c r="G85" s="3570">
        <v>2002</v>
      </c>
      <c r="H85" s="157">
        <v>4</v>
      </c>
      <c r="I85" s="202"/>
      <c r="J85" s="202"/>
      <c r="K85" s="202"/>
      <c r="L85" s="202"/>
      <c r="N85" s="203"/>
      <c r="O85" s="202"/>
      <c r="P85" s="202"/>
      <c r="Q85" s="202"/>
      <c r="S85" s="203"/>
      <c r="T85" s="202"/>
      <c r="U85" s="202"/>
      <c r="V85" s="202"/>
      <c r="X85" s="194"/>
      <c r="Y85" s="194"/>
      <c r="Z85" s="194"/>
    </row>
    <row r="86" spans="1:26">
      <c r="A86" s="129" t="s">
        <v>3250</v>
      </c>
      <c r="B86" s="204">
        <f t="shared" ref="B86:C88" si="284">B87+(B$85-B$89)/4</f>
        <v>105</v>
      </c>
      <c r="C86" s="204">
        <f t="shared" si="284"/>
        <v>106</v>
      </c>
      <c r="D86" s="204">
        <f t="shared" si="246"/>
        <v>106</v>
      </c>
      <c r="E86" s="204">
        <f t="shared" ref="E86:F88" si="285">E87+(E$85-E$89)/4</f>
        <v>104.5</v>
      </c>
      <c r="F86" s="204">
        <f t="shared" si="285"/>
        <v>101.5</v>
      </c>
      <c r="G86" s="3566">
        <v>2002</v>
      </c>
      <c r="H86" s="161">
        <v>3</v>
      </c>
      <c r="I86" s="202"/>
      <c r="J86" s="202"/>
      <c r="K86" s="202"/>
      <c r="L86" s="202"/>
      <c r="X86" s="194"/>
      <c r="Y86" s="194"/>
      <c r="Z86" s="194"/>
    </row>
    <row r="87" spans="1:26">
      <c r="A87" s="129" t="s">
        <v>3251</v>
      </c>
      <c r="B87" s="204">
        <f t="shared" si="284"/>
        <v>104</v>
      </c>
      <c r="C87" s="204">
        <f t="shared" si="284"/>
        <v>105</v>
      </c>
      <c r="D87" s="204">
        <f t="shared" si="246"/>
        <v>105</v>
      </c>
      <c r="E87" s="204">
        <f t="shared" si="285"/>
        <v>104</v>
      </c>
      <c r="F87" s="204">
        <f t="shared" si="285"/>
        <v>101</v>
      </c>
      <c r="G87" s="3566">
        <v>2002</v>
      </c>
      <c r="H87" s="151">
        <v>2</v>
      </c>
      <c r="I87" s="202"/>
      <c r="J87" s="202"/>
      <c r="K87" s="202"/>
      <c r="L87" s="202"/>
      <c r="X87" s="194"/>
      <c r="Y87" s="194"/>
      <c r="Z87" s="194"/>
    </row>
    <row r="88" spans="1:26" s="108" customFormat="1">
      <c r="A88" s="167" t="s">
        <v>3252</v>
      </c>
      <c r="B88" s="173">
        <f t="shared" si="284"/>
        <v>103</v>
      </c>
      <c r="C88" s="173">
        <f t="shared" si="284"/>
        <v>104</v>
      </c>
      <c r="D88" s="173">
        <f t="shared" si="246"/>
        <v>104</v>
      </c>
      <c r="E88" s="173">
        <f t="shared" si="285"/>
        <v>103.5</v>
      </c>
      <c r="F88" s="173">
        <f t="shared" si="285"/>
        <v>100.5</v>
      </c>
      <c r="G88" s="356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3253</v>
      </c>
      <c r="G91" s="216"/>
      <c r="N91" s="216"/>
      <c r="S91" s="216"/>
    </row>
    <row r="92" spans="1:26" s="110" customFormat="1">
      <c r="A92" s="110" t="s">
        <v>3254</v>
      </c>
      <c r="G92" s="216"/>
      <c r="N92" s="216"/>
      <c r="S92" s="216"/>
    </row>
    <row r="93" spans="1:26" s="110" customFormat="1">
      <c r="A93" s="110" t="s">
        <v>3255</v>
      </c>
      <c r="G93" s="216"/>
      <c r="I93" s="217"/>
      <c r="J93" s="217"/>
      <c r="K93" s="217"/>
      <c r="L93" s="217"/>
      <c r="N93" s="218"/>
      <c r="O93" s="217"/>
      <c r="P93" s="217"/>
      <c r="Q93" s="217"/>
      <c r="S93" s="218"/>
      <c r="T93" s="217"/>
      <c r="U93" s="217"/>
      <c r="V93" s="217"/>
    </row>
    <row r="94" spans="1:26" s="110" customFormat="1">
      <c r="A94" s="110" t="s">
        <v>3256</v>
      </c>
      <c r="G94" s="216"/>
      <c r="N94" s="216"/>
      <c r="S94" s="216"/>
    </row>
    <row r="102" spans="7:22">
      <c r="G102" s="111"/>
      <c r="S102" s="219" t="s">
        <v>3257</v>
      </c>
      <c r="T102" s="161" t="s">
        <v>3258</v>
      </c>
      <c r="U102" s="161" t="s">
        <v>3259</v>
      </c>
      <c r="V102" s="161" t="s">
        <v>3260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4" t="s">
        <v>3261</v>
      </c>
      <c r="B1" s="3574"/>
      <c r="C1" s="3574"/>
      <c r="D1" s="3574"/>
      <c r="E1" s="3574"/>
      <c r="F1" s="3574"/>
      <c r="G1" s="3575"/>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3262</v>
      </c>
      <c r="B2" s="78"/>
      <c r="C2" s="78"/>
      <c r="D2" s="78"/>
      <c r="E2" s="78"/>
      <c r="F2" s="78"/>
      <c r="G2" s="79" t="s">
        <v>3263</v>
      </c>
      <c r="I2" s="80" t="s">
        <v>2757</v>
      </c>
      <c r="J2" s="80" t="s">
        <v>2762</v>
      </c>
      <c r="K2" s="80" t="s">
        <v>2782</v>
      </c>
      <c r="L2" s="80" t="s">
        <v>2807</v>
      </c>
      <c r="M2" s="80" t="s">
        <v>2839</v>
      </c>
      <c r="N2" s="80" t="s">
        <v>2879</v>
      </c>
      <c r="O2" s="80" t="s">
        <v>2942</v>
      </c>
      <c r="P2" s="80" t="s">
        <v>2985</v>
      </c>
      <c r="Q2" s="80" t="s">
        <v>3028</v>
      </c>
      <c r="R2" s="80" t="s">
        <v>3078</v>
      </c>
      <c r="S2" s="80" t="s">
        <v>3109</v>
      </c>
      <c r="T2" s="80" t="s">
        <v>3129</v>
      </c>
    </row>
    <row r="3" spans="1:20" s="72" customFormat="1">
      <c r="A3" s="3576" t="s">
        <v>2755</v>
      </c>
      <c r="B3" s="81"/>
      <c r="C3" s="82" t="s">
        <v>229</v>
      </c>
      <c r="D3" s="82" t="s">
        <v>230</v>
      </c>
      <c r="E3" s="82" t="s">
        <v>232</v>
      </c>
      <c r="F3" s="82" t="s">
        <v>233</v>
      </c>
      <c r="G3" s="82" t="s">
        <v>231</v>
      </c>
      <c r="H3" s="83"/>
      <c r="I3" s="84" t="s">
        <v>2758</v>
      </c>
      <c r="J3" s="85" t="s">
        <v>2763</v>
      </c>
      <c r="K3" s="85" t="s">
        <v>2783</v>
      </c>
      <c r="L3" s="84" t="s">
        <v>2808</v>
      </c>
      <c r="M3" s="84" t="s">
        <v>2840</v>
      </c>
      <c r="N3" s="84" t="s">
        <v>2880</v>
      </c>
      <c r="O3" s="84" t="s">
        <v>2943</v>
      </c>
      <c r="P3" s="84" t="s">
        <v>2986</v>
      </c>
      <c r="Q3" s="84" t="s">
        <v>3029</v>
      </c>
      <c r="R3" s="84" t="s">
        <v>3079</v>
      </c>
      <c r="S3" s="84" t="s">
        <v>3110</v>
      </c>
      <c r="T3" s="84" t="s">
        <v>3130</v>
      </c>
    </row>
    <row r="4" spans="1:20" s="72" customFormat="1">
      <c r="A4" s="3577"/>
      <c r="B4" s="86" t="s">
        <v>2756</v>
      </c>
      <c r="C4" s="86" t="s">
        <v>3264</v>
      </c>
      <c r="D4" s="86" t="s">
        <v>3264</v>
      </c>
      <c r="E4" s="86" t="s">
        <v>3264</v>
      </c>
      <c r="F4" s="87" t="s">
        <v>3264</v>
      </c>
      <c r="G4" s="87" t="s">
        <v>3264</v>
      </c>
      <c r="H4" s="83"/>
      <c r="I4" s="85" t="s">
        <v>2759</v>
      </c>
      <c r="J4" s="85" t="s">
        <v>2764</v>
      </c>
      <c r="K4" s="85" t="s">
        <v>2784</v>
      </c>
      <c r="L4" s="84" t="s">
        <v>2809</v>
      </c>
      <c r="M4" s="84" t="s">
        <v>2841</v>
      </c>
      <c r="N4" s="84" t="s">
        <v>2881</v>
      </c>
      <c r="O4" s="84" t="s">
        <v>2944</v>
      </c>
      <c r="P4" s="84" t="s">
        <v>2987</v>
      </c>
      <c r="Q4" s="84" t="s">
        <v>3030</v>
      </c>
      <c r="R4" s="84" t="s">
        <v>3080</v>
      </c>
      <c r="S4" s="84" t="s">
        <v>3111</v>
      </c>
      <c r="T4" s="84" t="s">
        <v>3131</v>
      </c>
    </row>
    <row r="5" spans="1:20">
      <c r="A5" s="88" t="s">
        <v>235</v>
      </c>
      <c r="B5" s="80" t="s">
        <v>2757</v>
      </c>
      <c r="C5" s="80">
        <v>34550</v>
      </c>
      <c r="D5" s="80">
        <v>34470</v>
      </c>
      <c r="E5" s="80">
        <v>34330</v>
      </c>
      <c r="F5" s="80">
        <v>13400</v>
      </c>
      <c r="G5" s="80">
        <v>25450</v>
      </c>
      <c r="H5" s="83"/>
      <c r="I5" s="84" t="s">
        <v>2760</v>
      </c>
      <c r="J5" s="85" t="s">
        <v>2765</v>
      </c>
      <c r="K5" s="85" t="s">
        <v>2785</v>
      </c>
      <c r="L5" s="84" t="s">
        <v>2810</v>
      </c>
      <c r="M5" s="84" t="s">
        <v>2842</v>
      </c>
      <c r="N5" s="84" t="s">
        <v>2882</v>
      </c>
      <c r="O5" s="84" t="s">
        <v>2945</v>
      </c>
      <c r="P5" s="84" t="s">
        <v>2988</v>
      </c>
      <c r="Q5" s="84" t="s">
        <v>3031</v>
      </c>
      <c r="R5" s="84" t="s">
        <v>3081</v>
      </c>
      <c r="S5" s="84" t="s">
        <v>3112</v>
      </c>
      <c r="T5" s="84" t="s">
        <v>3132</v>
      </c>
    </row>
    <row r="6" spans="1:20">
      <c r="A6" s="84" t="s">
        <v>235</v>
      </c>
      <c r="B6" s="84" t="s">
        <v>2758</v>
      </c>
      <c r="C6" s="84">
        <v>36990</v>
      </c>
      <c r="D6" s="84">
        <v>36850</v>
      </c>
      <c r="E6" s="84">
        <v>36700</v>
      </c>
      <c r="F6" s="84">
        <v>14590</v>
      </c>
      <c r="G6" s="84">
        <v>27450</v>
      </c>
      <c r="H6" s="83"/>
      <c r="I6" s="89" t="s">
        <v>2761</v>
      </c>
      <c r="J6" s="85" t="s">
        <v>2766</v>
      </c>
      <c r="K6" s="85" t="s">
        <v>2786</v>
      </c>
      <c r="L6" s="84" t="s">
        <v>2811</v>
      </c>
      <c r="M6" s="84" t="s">
        <v>2843</v>
      </c>
      <c r="N6" s="84" t="s">
        <v>2883</v>
      </c>
      <c r="O6" s="84" t="s">
        <v>2946</v>
      </c>
      <c r="P6" s="84" t="s">
        <v>2989</v>
      </c>
      <c r="Q6" s="84" t="s">
        <v>3032</v>
      </c>
      <c r="R6" s="84" t="s">
        <v>3082</v>
      </c>
      <c r="S6" s="84" t="s">
        <v>3113</v>
      </c>
      <c r="T6" s="84" t="s">
        <v>3133</v>
      </c>
    </row>
    <row r="7" spans="1:20">
      <c r="A7" s="84" t="s">
        <v>235</v>
      </c>
      <c r="B7" s="85" t="s">
        <v>2759</v>
      </c>
      <c r="C7" s="84">
        <v>34850</v>
      </c>
      <c r="D7" s="84">
        <v>34690</v>
      </c>
      <c r="E7" s="84">
        <v>34550</v>
      </c>
      <c r="F7" s="84">
        <v>14360</v>
      </c>
      <c r="G7" s="84">
        <v>25620</v>
      </c>
      <c r="H7" s="83"/>
      <c r="J7" s="85" t="s">
        <v>2767</v>
      </c>
      <c r="K7" s="85" t="s">
        <v>2787</v>
      </c>
      <c r="L7" s="84" t="s">
        <v>2812</v>
      </c>
      <c r="M7" s="84" t="s">
        <v>2844</v>
      </c>
      <c r="N7" s="84" t="s">
        <v>2884</v>
      </c>
      <c r="O7" s="84" t="s">
        <v>2947</v>
      </c>
      <c r="P7" s="84" t="s">
        <v>2990</v>
      </c>
      <c r="Q7" s="84" t="s">
        <v>3033</v>
      </c>
      <c r="R7" s="84" t="s">
        <v>3083</v>
      </c>
      <c r="S7" s="84" t="s">
        <v>3114</v>
      </c>
      <c r="T7" s="84" t="s">
        <v>3134</v>
      </c>
    </row>
    <row r="8" spans="1:20">
      <c r="A8" s="84" t="s">
        <v>235</v>
      </c>
      <c r="B8" s="84" t="s">
        <v>2760</v>
      </c>
      <c r="C8" s="84">
        <v>32630</v>
      </c>
      <c r="D8" s="84">
        <v>32510</v>
      </c>
      <c r="E8" s="84">
        <v>32420</v>
      </c>
      <c r="F8" s="84">
        <v>13300</v>
      </c>
      <c r="G8" s="84">
        <v>24010</v>
      </c>
      <c r="H8" s="83"/>
      <c r="J8" s="85" t="s">
        <v>2768</v>
      </c>
      <c r="K8" s="85" t="s">
        <v>2788</v>
      </c>
      <c r="L8" s="84" t="s">
        <v>2813</v>
      </c>
      <c r="M8" s="84" t="s">
        <v>2845</v>
      </c>
      <c r="N8" s="84" t="s">
        <v>2885</v>
      </c>
      <c r="O8" s="84" t="s">
        <v>2948</v>
      </c>
      <c r="P8" s="84" t="s">
        <v>2991</v>
      </c>
      <c r="Q8" s="84" t="s">
        <v>3034</v>
      </c>
      <c r="R8" s="84" t="s">
        <v>3084</v>
      </c>
      <c r="S8" s="84" t="s">
        <v>3115</v>
      </c>
      <c r="T8" s="90" t="s">
        <v>3135</v>
      </c>
    </row>
    <row r="9" spans="1:20">
      <c r="A9" s="91" t="s">
        <v>235</v>
      </c>
      <c r="B9" s="89" t="s">
        <v>2761</v>
      </c>
      <c r="C9" s="90">
        <v>36370</v>
      </c>
      <c r="D9" s="90">
        <v>36210</v>
      </c>
      <c r="E9" s="90">
        <v>36050</v>
      </c>
      <c r="F9" s="90"/>
      <c r="G9" s="90">
        <v>26740</v>
      </c>
      <c r="H9" s="83"/>
      <c r="J9" s="85" t="s">
        <v>2769</v>
      </c>
      <c r="K9" s="85" t="s">
        <v>2789</v>
      </c>
      <c r="L9" s="84" t="s">
        <v>2814</v>
      </c>
      <c r="M9" s="84" t="s">
        <v>2846</v>
      </c>
      <c r="N9" s="84" t="s">
        <v>2886</v>
      </c>
      <c r="O9" s="84" t="s">
        <v>2949</v>
      </c>
      <c r="P9" s="84" t="s">
        <v>2992</v>
      </c>
      <c r="Q9" s="84" t="s">
        <v>3035</v>
      </c>
      <c r="R9" s="84" t="s">
        <v>3085</v>
      </c>
      <c r="S9" s="84" t="s">
        <v>3116</v>
      </c>
    </row>
    <row r="10" spans="1:20">
      <c r="A10" s="88" t="s">
        <v>251</v>
      </c>
      <c r="B10" s="80" t="s">
        <v>2762</v>
      </c>
      <c r="C10" s="84">
        <v>32350</v>
      </c>
      <c r="D10" s="84">
        <v>31430</v>
      </c>
      <c r="E10" s="84">
        <v>31320</v>
      </c>
      <c r="F10" s="84">
        <v>10850</v>
      </c>
      <c r="G10" s="84">
        <v>22860</v>
      </c>
      <c r="H10" s="83"/>
      <c r="J10" s="85" t="s">
        <v>2770</v>
      </c>
      <c r="K10" s="85" t="s">
        <v>2790</v>
      </c>
      <c r="L10" s="84" t="s">
        <v>2815</v>
      </c>
      <c r="M10" s="84" t="s">
        <v>2847</v>
      </c>
      <c r="N10" s="84" t="s">
        <v>2887</v>
      </c>
      <c r="O10" s="84" t="s">
        <v>2950</v>
      </c>
      <c r="P10" s="84" t="s">
        <v>2993</v>
      </c>
      <c r="Q10" s="84" t="s">
        <v>3036</v>
      </c>
      <c r="R10" s="84" t="s">
        <v>3086</v>
      </c>
      <c r="S10" s="84" t="s">
        <v>3117</v>
      </c>
    </row>
    <row r="11" spans="1:20">
      <c r="A11" s="84" t="s">
        <v>251</v>
      </c>
      <c r="B11" s="85" t="s">
        <v>2763</v>
      </c>
      <c r="C11" s="84">
        <v>31590</v>
      </c>
      <c r="D11" s="84">
        <v>29490</v>
      </c>
      <c r="E11" s="84">
        <v>28700</v>
      </c>
      <c r="F11" s="84">
        <v>10410</v>
      </c>
      <c r="G11" s="84">
        <v>21460</v>
      </c>
      <c r="H11" s="83"/>
      <c r="J11" s="85" t="s">
        <v>2771</v>
      </c>
      <c r="K11" s="85" t="s">
        <v>2791</v>
      </c>
      <c r="L11" s="84" t="s">
        <v>2816</v>
      </c>
      <c r="M11" s="84" t="s">
        <v>2848</v>
      </c>
      <c r="N11" s="84" t="s">
        <v>2888</v>
      </c>
      <c r="O11" s="84" t="s">
        <v>2951</v>
      </c>
      <c r="P11" s="84" t="s">
        <v>2994</v>
      </c>
      <c r="Q11" s="84" t="s">
        <v>3037</v>
      </c>
      <c r="R11" s="84" t="s">
        <v>3087</v>
      </c>
      <c r="S11" s="84" t="s">
        <v>3118</v>
      </c>
    </row>
    <row r="12" spans="1:20">
      <c r="A12" s="84" t="s">
        <v>251</v>
      </c>
      <c r="B12" s="85" t="s">
        <v>2764</v>
      </c>
      <c r="C12" s="84">
        <v>29640</v>
      </c>
      <c r="D12" s="84">
        <v>27550</v>
      </c>
      <c r="E12" s="84">
        <v>28010</v>
      </c>
      <c r="F12" s="84">
        <v>8730</v>
      </c>
      <c r="G12" s="84">
        <v>20050</v>
      </c>
      <c r="H12" s="83"/>
      <c r="J12" s="85" t="s">
        <v>2772</v>
      </c>
      <c r="K12" s="85" t="s">
        <v>2792</v>
      </c>
      <c r="L12" s="84" t="s">
        <v>2817</v>
      </c>
      <c r="M12" s="84" t="s">
        <v>2849</v>
      </c>
      <c r="N12" s="84" t="s">
        <v>2889</v>
      </c>
      <c r="O12" s="84" t="s">
        <v>2952</v>
      </c>
      <c r="P12" s="84" t="s">
        <v>2995</v>
      </c>
      <c r="Q12" s="84" t="s">
        <v>3038</v>
      </c>
      <c r="R12" s="84" t="s">
        <v>3088</v>
      </c>
      <c r="S12" s="84" t="s">
        <v>3119</v>
      </c>
    </row>
    <row r="13" spans="1:20">
      <c r="A13" s="84" t="s">
        <v>251</v>
      </c>
      <c r="B13" s="85" t="s">
        <v>2765</v>
      </c>
      <c r="C13" s="84">
        <v>29680</v>
      </c>
      <c r="D13" s="84">
        <v>27660</v>
      </c>
      <c r="E13" s="84">
        <v>28210</v>
      </c>
      <c r="F13" s="84">
        <v>9590</v>
      </c>
      <c r="G13" s="84">
        <v>20120</v>
      </c>
      <c r="H13" s="83"/>
      <c r="J13" s="85" t="s">
        <v>2773</v>
      </c>
      <c r="K13" s="85" t="s">
        <v>2793</v>
      </c>
      <c r="L13" s="84" t="s">
        <v>2818</v>
      </c>
      <c r="M13" s="84" t="s">
        <v>2850</v>
      </c>
      <c r="N13" s="84" t="s">
        <v>2890</v>
      </c>
      <c r="O13" s="84" t="s">
        <v>2953</v>
      </c>
      <c r="P13" s="84" t="s">
        <v>2996</v>
      </c>
      <c r="Q13" s="84" t="s">
        <v>3039</v>
      </c>
      <c r="R13" s="84" t="s">
        <v>3089</v>
      </c>
      <c r="S13" s="84" t="s">
        <v>3120</v>
      </c>
    </row>
    <row r="14" spans="1:20">
      <c r="A14" s="84" t="s">
        <v>251</v>
      </c>
      <c r="B14" s="85" t="s">
        <v>2766</v>
      </c>
      <c r="C14" s="84">
        <v>30520</v>
      </c>
      <c r="D14" s="84">
        <v>29510</v>
      </c>
      <c r="E14" s="84">
        <v>29400</v>
      </c>
      <c r="F14" s="84">
        <v>9630</v>
      </c>
      <c r="G14" s="84">
        <v>21480</v>
      </c>
      <c r="H14" s="83"/>
      <c r="J14" s="85" t="s">
        <v>2774</v>
      </c>
      <c r="K14" s="85" t="s">
        <v>2794</v>
      </c>
      <c r="L14" s="84" t="s">
        <v>2819</v>
      </c>
      <c r="M14" s="84" t="s">
        <v>2851</v>
      </c>
      <c r="N14" s="84" t="s">
        <v>2891</v>
      </c>
      <c r="O14" s="84" t="s">
        <v>2954</v>
      </c>
      <c r="P14" s="84" t="s">
        <v>2997</v>
      </c>
      <c r="Q14" s="84" t="s">
        <v>3040</v>
      </c>
      <c r="R14" s="84" t="s">
        <v>3090</v>
      </c>
      <c r="S14" s="84" t="s">
        <v>3121</v>
      </c>
    </row>
    <row r="15" spans="1:20">
      <c r="A15" s="84" t="s">
        <v>251</v>
      </c>
      <c r="B15" s="85" t="s">
        <v>2767</v>
      </c>
      <c r="C15" s="84">
        <v>29090</v>
      </c>
      <c r="D15" s="84">
        <v>27590</v>
      </c>
      <c r="E15" s="84">
        <v>28120</v>
      </c>
      <c r="F15" s="84">
        <v>9110</v>
      </c>
      <c r="G15" s="84">
        <v>20070</v>
      </c>
      <c r="H15" s="83"/>
      <c r="J15" s="85" t="s">
        <v>2775</v>
      </c>
      <c r="K15" s="85" t="s">
        <v>2795</v>
      </c>
      <c r="L15" s="84" t="s">
        <v>2820</v>
      </c>
      <c r="M15" s="84" t="s">
        <v>2852</v>
      </c>
      <c r="N15" s="84" t="s">
        <v>2892</v>
      </c>
      <c r="O15" s="84" t="s">
        <v>2955</v>
      </c>
      <c r="P15" s="84" t="s">
        <v>2998</v>
      </c>
      <c r="Q15" s="84" t="s">
        <v>3041</v>
      </c>
      <c r="R15" s="84" t="s">
        <v>3091</v>
      </c>
      <c r="S15" s="84" t="s">
        <v>3122</v>
      </c>
    </row>
    <row r="16" spans="1:20">
      <c r="A16" s="84" t="s">
        <v>251</v>
      </c>
      <c r="B16" s="85" t="s">
        <v>2768</v>
      </c>
      <c r="C16" s="84">
        <v>26790</v>
      </c>
      <c r="D16" s="84">
        <v>30370</v>
      </c>
      <c r="E16" s="84">
        <v>30240</v>
      </c>
      <c r="F16" s="84">
        <v>11590</v>
      </c>
      <c r="G16" s="84">
        <v>22090</v>
      </c>
      <c r="H16" s="83"/>
      <c r="J16" s="85" t="s">
        <v>2776</v>
      </c>
      <c r="K16" s="85" t="s">
        <v>2796</v>
      </c>
      <c r="L16" s="84" t="s">
        <v>2821</v>
      </c>
      <c r="M16" s="84" t="s">
        <v>2853</v>
      </c>
      <c r="N16" s="84" t="s">
        <v>2893</v>
      </c>
      <c r="O16" s="84" t="s">
        <v>2956</v>
      </c>
      <c r="P16" s="84" t="s">
        <v>2999</v>
      </c>
      <c r="Q16" s="84" t="s">
        <v>3042</v>
      </c>
      <c r="R16" s="84" t="s">
        <v>3092</v>
      </c>
      <c r="S16" s="84" t="s">
        <v>3123</v>
      </c>
    </row>
    <row r="17" spans="1:19" ht="14.25" customHeight="1">
      <c r="A17" s="84" t="s">
        <v>251</v>
      </c>
      <c r="B17" s="85" t="s">
        <v>2769</v>
      </c>
      <c r="C17" s="84">
        <v>29180</v>
      </c>
      <c r="D17" s="84">
        <v>27620</v>
      </c>
      <c r="E17" s="84">
        <v>28180</v>
      </c>
      <c r="F17" s="84">
        <v>10790</v>
      </c>
      <c r="G17" s="84">
        <v>20090</v>
      </c>
      <c r="H17" s="83"/>
      <c r="J17" s="85" t="s">
        <v>2777</v>
      </c>
      <c r="K17" s="85" t="s">
        <v>2797</v>
      </c>
      <c r="L17" s="84" t="s">
        <v>2822</v>
      </c>
      <c r="M17" s="84" t="s">
        <v>2854</v>
      </c>
      <c r="N17" s="84" t="s">
        <v>2894</v>
      </c>
      <c r="O17" s="84" t="s">
        <v>2957</v>
      </c>
      <c r="P17" s="84" t="s">
        <v>3000</v>
      </c>
      <c r="Q17" s="84" t="s">
        <v>3043</v>
      </c>
      <c r="R17" s="84" t="s">
        <v>3093</v>
      </c>
      <c r="S17" s="84" t="s">
        <v>3124</v>
      </c>
    </row>
    <row r="18" spans="1:19" ht="14.25" customHeight="1">
      <c r="A18" s="84" t="s">
        <v>251</v>
      </c>
      <c r="B18" s="85" t="s">
        <v>2770</v>
      </c>
      <c r="C18" s="84">
        <v>26840</v>
      </c>
      <c r="D18" s="84">
        <v>28930</v>
      </c>
      <c r="E18" s="84">
        <v>28820</v>
      </c>
      <c r="F18" s="84"/>
      <c r="G18" s="84">
        <v>21050</v>
      </c>
      <c r="H18" s="83"/>
      <c r="J18" s="85" t="s">
        <v>2778</v>
      </c>
      <c r="K18" s="85" t="s">
        <v>2798</v>
      </c>
      <c r="L18" s="84" t="s">
        <v>2823</v>
      </c>
      <c r="M18" s="84" t="s">
        <v>2855</v>
      </c>
      <c r="N18" s="84" t="s">
        <v>2895</v>
      </c>
      <c r="O18" s="84" t="s">
        <v>2958</v>
      </c>
      <c r="P18" s="84" t="s">
        <v>3001</v>
      </c>
      <c r="Q18" s="84" t="s">
        <v>3044</v>
      </c>
      <c r="R18" s="84" t="s">
        <v>3094</v>
      </c>
      <c r="S18" s="84" t="s">
        <v>3125</v>
      </c>
    </row>
    <row r="19" spans="1:19" ht="14.25" customHeight="1">
      <c r="A19" s="84" t="s">
        <v>251</v>
      </c>
      <c r="B19" s="85" t="s">
        <v>2771</v>
      </c>
      <c r="C19" s="84">
        <v>27750</v>
      </c>
      <c r="D19" s="84">
        <v>26680</v>
      </c>
      <c r="E19" s="84">
        <v>26590</v>
      </c>
      <c r="F19" s="84"/>
      <c r="G19" s="84">
        <v>19420</v>
      </c>
      <c r="H19" s="83"/>
      <c r="J19" s="85" t="s">
        <v>2779</v>
      </c>
      <c r="K19" s="85" t="s">
        <v>2799</v>
      </c>
      <c r="L19" s="84" t="s">
        <v>2824</v>
      </c>
      <c r="M19" s="84" t="s">
        <v>2856</v>
      </c>
      <c r="N19" s="84" t="s">
        <v>2896</v>
      </c>
      <c r="O19" s="84" t="s">
        <v>2959</v>
      </c>
      <c r="P19" s="84" t="s">
        <v>3002</v>
      </c>
      <c r="Q19" s="84" t="s">
        <v>3045</v>
      </c>
      <c r="R19" s="84" t="s">
        <v>3095</v>
      </c>
      <c r="S19" s="84" t="s">
        <v>3126</v>
      </c>
    </row>
    <row r="20" spans="1:19" ht="14.25" customHeight="1">
      <c r="A20" s="84" t="s">
        <v>251</v>
      </c>
      <c r="B20" s="85" t="s">
        <v>2772</v>
      </c>
      <c r="C20" s="84">
        <v>27050</v>
      </c>
      <c r="D20" s="84">
        <v>29010</v>
      </c>
      <c r="E20" s="84">
        <v>28910</v>
      </c>
      <c r="F20" s="84"/>
      <c r="G20" s="84">
        <v>21110</v>
      </c>
      <c r="J20" s="85" t="s">
        <v>2780</v>
      </c>
      <c r="K20" s="85" t="s">
        <v>2800</v>
      </c>
      <c r="L20" s="84" t="s">
        <v>2825</v>
      </c>
      <c r="M20" s="84" t="s">
        <v>2857</v>
      </c>
      <c r="N20" s="84" t="s">
        <v>2897</v>
      </c>
      <c r="O20" s="84" t="s">
        <v>2960</v>
      </c>
      <c r="P20" s="84" t="s">
        <v>3003</v>
      </c>
      <c r="Q20" s="84" t="s">
        <v>3046</v>
      </c>
      <c r="R20" s="84" t="s">
        <v>3096</v>
      </c>
      <c r="S20" s="84" t="s">
        <v>3127</v>
      </c>
    </row>
    <row r="21" spans="1:19" ht="14.25" customHeight="1">
      <c r="A21" s="84" t="s">
        <v>251</v>
      </c>
      <c r="B21" s="85" t="s">
        <v>2773</v>
      </c>
      <c r="C21" s="84">
        <v>32370</v>
      </c>
      <c r="D21" s="84">
        <v>26730</v>
      </c>
      <c r="E21" s="84">
        <v>26640</v>
      </c>
      <c r="F21" s="84"/>
      <c r="G21" s="84">
        <v>19440</v>
      </c>
      <c r="J21" s="90" t="s">
        <v>2781</v>
      </c>
      <c r="K21" s="85" t="s">
        <v>2801</v>
      </c>
      <c r="L21" s="84" t="s">
        <v>2826</v>
      </c>
      <c r="M21" s="84" t="s">
        <v>2858</v>
      </c>
      <c r="N21" s="84" t="s">
        <v>2898</v>
      </c>
      <c r="O21" s="84" t="s">
        <v>2961</v>
      </c>
      <c r="P21" s="84" t="s">
        <v>3004</v>
      </c>
      <c r="Q21" s="84" t="s">
        <v>3047</v>
      </c>
      <c r="R21" s="84" t="s">
        <v>3097</v>
      </c>
      <c r="S21" s="90" t="s">
        <v>3128</v>
      </c>
    </row>
    <row r="22" spans="1:19" ht="14.25" customHeight="1">
      <c r="A22" s="84" t="s">
        <v>251</v>
      </c>
      <c r="B22" s="85" t="s">
        <v>2774</v>
      </c>
      <c r="C22" s="84">
        <v>29830</v>
      </c>
      <c r="D22" s="84">
        <v>27600</v>
      </c>
      <c r="E22" s="84">
        <v>28150</v>
      </c>
      <c r="F22" s="84"/>
      <c r="G22" s="84">
        <v>20080</v>
      </c>
      <c r="K22" s="85" t="s">
        <v>2802</v>
      </c>
      <c r="L22" s="84" t="s">
        <v>2827</v>
      </c>
      <c r="M22" s="84" t="s">
        <v>2859</v>
      </c>
      <c r="N22" s="84" t="s">
        <v>2899</v>
      </c>
      <c r="O22" s="84" t="s">
        <v>2962</v>
      </c>
      <c r="P22" s="84" t="s">
        <v>3005</v>
      </c>
      <c r="Q22" s="84" t="s">
        <v>3048</v>
      </c>
      <c r="R22" s="84" t="s">
        <v>3098</v>
      </c>
    </row>
    <row r="23" spans="1:19" ht="14.25" customHeight="1">
      <c r="A23" s="84" t="s">
        <v>251</v>
      </c>
      <c r="B23" s="85" t="s">
        <v>2775</v>
      </c>
      <c r="C23" s="84">
        <v>27800</v>
      </c>
      <c r="D23" s="84">
        <v>26900</v>
      </c>
      <c r="E23" s="84">
        <v>27170</v>
      </c>
      <c r="F23" s="84"/>
      <c r="G23" s="84">
        <v>19570</v>
      </c>
      <c r="K23" s="85" t="s">
        <v>2803</v>
      </c>
      <c r="L23" s="84" t="s">
        <v>2828</v>
      </c>
      <c r="M23" s="84" t="s">
        <v>2860</v>
      </c>
      <c r="N23" s="84" t="s">
        <v>2900</v>
      </c>
      <c r="O23" s="84" t="s">
        <v>2963</v>
      </c>
      <c r="P23" s="84" t="s">
        <v>3006</v>
      </c>
      <c r="Q23" s="84" t="s">
        <v>3049</v>
      </c>
      <c r="R23" s="84" t="s">
        <v>3099</v>
      </c>
    </row>
    <row r="24" spans="1:19" ht="14.25" customHeight="1">
      <c r="A24" s="84" t="s">
        <v>251</v>
      </c>
      <c r="B24" s="85" t="s">
        <v>2776</v>
      </c>
      <c r="C24" s="84">
        <v>27930</v>
      </c>
      <c r="D24" s="84">
        <v>32260</v>
      </c>
      <c r="E24" s="84">
        <v>32120</v>
      </c>
      <c r="F24" s="84"/>
      <c r="G24" s="84">
        <v>23470</v>
      </c>
      <c r="K24" s="85" t="s">
        <v>2804</v>
      </c>
      <c r="L24" s="84" t="s">
        <v>2829</v>
      </c>
      <c r="M24" s="84" t="s">
        <v>2861</v>
      </c>
      <c r="N24" s="84" t="s">
        <v>2901</v>
      </c>
      <c r="O24" s="84" t="s">
        <v>2964</v>
      </c>
      <c r="P24" s="84" t="s">
        <v>3007</v>
      </c>
      <c r="Q24" s="92" t="s">
        <v>3050</v>
      </c>
      <c r="R24" s="84" t="s">
        <v>3100</v>
      </c>
    </row>
    <row r="25" spans="1:19" ht="14.25" customHeight="1">
      <c r="A25" s="84" t="s">
        <v>251</v>
      </c>
      <c r="B25" s="85" t="s">
        <v>2777</v>
      </c>
      <c r="C25" s="84">
        <v>32230</v>
      </c>
      <c r="D25" s="84">
        <v>29640</v>
      </c>
      <c r="E25" s="84">
        <v>29510</v>
      </c>
      <c r="F25" s="84"/>
      <c r="G25" s="84">
        <v>21560</v>
      </c>
      <c r="K25" s="85" t="s">
        <v>2805</v>
      </c>
      <c r="L25" s="84" t="s">
        <v>2830</v>
      </c>
      <c r="M25" s="84" t="s">
        <v>2862</v>
      </c>
      <c r="N25" s="84" t="s">
        <v>2902</v>
      </c>
      <c r="O25" s="84" t="s">
        <v>2965</v>
      </c>
      <c r="P25" s="84" t="s">
        <v>3008</v>
      </c>
      <c r="Q25" s="92" t="s">
        <v>3051</v>
      </c>
      <c r="R25" s="84" t="s">
        <v>3101</v>
      </c>
    </row>
    <row r="26" spans="1:19" ht="14.25" customHeight="1">
      <c r="A26" s="84" t="s">
        <v>251</v>
      </c>
      <c r="B26" s="85" t="s">
        <v>2778</v>
      </c>
      <c r="C26" s="84">
        <v>31690</v>
      </c>
      <c r="D26" s="84">
        <v>27650</v>
      </c>
      <c r="E26" s="84">
        <v>28200</v>
      </c>
      <c r="F26" s="84"/>
      <c r="G26" s="84">
        <v>20110</v>
      </c>
      <c r="K26" s="89" t="s">
        <v>2806</v>
      </c>
      <c r="L26" s="84" t="s">
        <v>2831</v>
      </c>
      <c r="M26" s="84" t="s">
        <v>2863</v>
      </c>
      <c r="N26" s="84" t="s">
        <v>2903</v>
      </c>
      <c r="O26" s="84" t="s">
        <v>2966</v>
      </c>
      <c r="P26" s="84" t="s">
        <v>3009</v>
      </c>
      <c r="Q26" s="92" t="s">
        <v>3052</v>
      </c>
      <c r="R26" s="84" t="s">
        <v>3102</v>
      </c>
    </row>
    <row r="27" spans="1:19" ht="14.25" customHeight="1">
      <c r="A27" s="84" t="s">
        <v>251</v>
      </c>
      <c r="B27" s="85" t="s">
        <v>2779</v>
      </c>
      <c r="C27" s="84">
        <v>29610</v>
      </c>
      <c r="D27" s="84">
        <v>27770</v>
      </c>
      <c r="E27" s="84">
        <v>28300</v>
      </c>
      <c r="F27" s="84"/>
      <c r="G27" s="84">
        <v>20210</v>
      </c>
      <c r="L27" s="84" t="s">
        <v>2832</v>
      </c>
      <c r="M27" s="84" t="s">
        <v>2864</v>
      </c>
      <c r="N27" s="84" t="s">
        <v>2904</v>
      </c>
      <c r="O27" s="84" t="s">
        <v>2967</v>
      </c>
      <c r="P27" s="84" t="s">
        <v>3010</v>
      </c>
      <c r="Q27" s="84" t="s">
        <v>3053</v>
      </c>
      <c r="R27" s="84" t="s">
        <v>3103</v>
      </c>
    </row>
    <row r="28" spans="1:19" ht="14.25" customHeight="1">
      <c r="A28" s="84" t="s">
        <v>251</v>
      </c>
      <c r="B28" s="85" t="s">
        <v>2780</v>
      </c>
      <c r="C28" s="84"/>
      <c r="D28" s="84">
        <v>31520</v>
      </c>
      <c r="E28" s="84">
        <v>31410</v>
      </c>
      <c r="F28" s="84"/>
      <c r="G28" s="84">
        <v>22940</v>
      </c>
      <c r="L28" s="84" t="s">
        <v>2833</v>
      </c>
      <c r="M28" s="84" t="s">
        <v>2865</v>
      </c>
      <c r="N28" s="84" t="s">
        <v>2905</v>
      </c>
      <c r="O28" s="84" t="s">
        <v>549</v>
      </c>
      <c r="P28" s="84" t="s">
        <v>3011</v>
      </c>
      <c r="Q28" s="84" t="s">
        <v>3054</v>
      </c>
      <c r="R28" s="84" t="s">
        <v>3104</v>
      </c>
    </row>
    <row r="29" spans="1:19" ht="14.25" customHeight="1">
      <c r="A29" s="91" t="s">
        <v>251</v>
      </c>
      <c r="B29" s="93" t="s">
        <v>2781</v>
      </c>
      <c r="C29" s="94"/>
      <c r="D29" s="94">
        <v>29460</v>
      </c>
      <c r="E29" s="94">
        <v>28640</v>
      </c>
      <c r="F29" s="94"/>
      <c r="G29" s="94">
        <v>21430</v>
      </c>
      <c r="L29" s="84" t="s">
        <v>2834</v>
      </c>
      <c r="M29" s="84" t="s">
        <v>2866</v>
      </c>
      <c r="N29" s="84" t="s">
        <v>2906</v>
      </c>
      <c r="O29" s="84" t="s">
        <v>2968</v>
      </c>
      <c r="P29" s="84" t="s">
        <v>3012</v>
      </c>
      <c r="Q29" s="84" t="s">
        <v>3055</v>
      </c>
      <c r="R29" s="84" t="s">
        <v>3105</v>
      </c>
    </row>
    <row r="30" spans="1:19" ht="14.25" customHeight="1">
      <c r="A30" s="88" t="s">
        <v>264</v>
      </c>
      <c r="B30" s="80" t="s">
        <v>2782</v>
      </c>
      <c r="C30" s="80">
        <v>26890</v>
      </c>
      <c r="D30" s="80">
        <v>26770</v>
      </c>
      <c r="E30" s="80">
        <v>25700</v>
      </c>
      <c r="F30" s="80">
        <v>8180</v>
      </c>
      <c r="G30" s="95">
        <v>18740</v>
      </c>
      <c r="L30" s="84" t="s">
        <v>2835</v>
      </c>
      <c r="M30" s="84" t="s">
        <v>2867</v>
      </c>
      <c r="N30" s="84" t="s">
        <v>2907</v>
      </c>
      <c r="O30" s="84" t="s">
        <v>2969</v>
      </c>
      <c r="P30" s="84" t="s">
        <v>3013</v>
      </c>
      <c r="Q30" s="84" t="s">
        <v>3056</v>
      </c>
      <c r="R30" s="84" t="s">
        <v>3106</v>
      </c>
    </row>
    <row r="31" spans="1:19" ht="14.25" customHeight="1">
      <c r="A31" s="84" t="s">
        <v>264</v>
      </c>
      <c r="B31" s="85" t="s">
        <v>2783</v>
      </c>
      <c r="C31" s="84">
        <v>24550</v>
      </c>
      <c r="D31" s="84">
        <v>23990</v>
      </c>
      <c r="E31" s="84">
        <v>22930</v>
      </c>
      <c r="F31" s="84">
        <v>7470</v>
      </c>
      <c r="G31" s="96">
        <v>16790</v>
      </c>
      <c r="L31" s="84" t="s">
        <v>2836</v>
      </c>
      <c r="M31" s="84" t="s">
        <v>2868</v>
      </c>
      <c r="N31" s="84" t="s">
        <v>2908</v>
      </c>
      <c r="O31" s="84" t="s">
        <v>2970</v>
      </c>
      <c r="P31" s="84" t="s">
        <v>3014</v>
      </c>
      <c r="Q31" s="84" t="s">
        <v>3057</v>
      </c>
      <c r="R31" s="84" t="s">
        <v>3107</v>
      </c>
    </row>
    <row r="32" spans="1:19" ht="14.25" customHeight="1">
      <c r="A32" s="84" t="s">
        <v>264</v>
      </c>
      <c r="B32" s="85" t="s">
        <v>2784</v>
      </c>
      <c r="C32" s="84">
        <v>27210</v>
      </c>
      <c r="D32" s="84">
        <v>23240</v>
      </c>
      <c r="E32" s="84">
        <v>23260</v>
      </c>
      <c r="F32" s="84">
        <v>7130</v>
      </c>
      <c r="G32" s="96">
        <v>16270</v>
      </c>
      <c r="L32" s="84" t="s">
        <v>2837</v>
      </c>
      <c r="M32" s="84" t="s">
        <v>2869</v>
      </c>
      <c r="N32" s="84" t="s">
        <v>2909</v>
      </c>
      <c r="O32" s="84" t="s">
        <v>2971</v>
      </c>
      <c r="P32" s="84" t="s">
        <v>3015</v>
      </c>
      <c r="Q32" s="84" t="s">
        <v>3058</v>
      </c>
      <c r="R32" s="90" t="s">
        <v>3108</v>
      </c>
    </row>
    <row r="33" spans="1:17" ht="14.25" customHeight="1">
      <c r="A33" s="84" t="s">
        <v>264</v>
      </c>
      <c r="B33" s="85" t="s">
        <v>2785</v>
      </c>
      <c r="C33" s="84">
        <v>27300</v>
      </c>
      <c r="D33" s="84">
        <v>22980</v>
      </c>
      <c r="E33" s="84">
        <v>24260</v>
      </c>
      <c r="F33" s="84">
        <v>5860</v>
      </c>
      <c r="G33" s="96">
        <v>16090</v>
      </c>
      <c r="L33" s="90" t="s">
        <v>2838</v>
      </c>
      <c r="M33" s="84" t="s">
        <v>2870</v>
      </c>
      <c r="N33" s="84" t="s">
        <v>2910</v>
      </c>
      <c r="O33" s="84" t="s">
        <v>2972</v>
      </c>
      <c r="P33" s="84" t="s">
        <v>3016</v>
      </c>
      <c r="Q33" s="84" t="s">
        <v>3059</v>
      </c>
    </row>
    <row r="34" spans="1:17" ht="14.25" customHeight="1">
      <c r="A34" s="84" t="s">
        <v>264</v>
      </c>
      <c r="B34" s="85" t="s">
        <v>2786</v>
      </c>
      <c r="C34" s="84">
        <v>23090</v>
      </c>
      <c r="D34" s="84">
        <v>23390</v>
      </c>
      <c r="E34" s="84">
        <v>23510</v>
      </c>
      <c r="F34" s="84">
        <v>6700</v>
      </c>
      <c r="G34" s="96">
        <v>16370</v>
      </c>
      <c r="M34" s="84" t="s">
        <v>2871</v>
      </c>
      <c r="N34" s="84" t="s">
        <v>2911</v>
      </c>
      <c r="O34" s="84" t="s">
        <v>2973</v>
      </c>
      <c r="P34" s="84" t="s">
        <v>3017</v>
      </c>
      <c r="Q34" s="84" t="s">
        <v>3060</v>
      </c>
    </row>
    <row r="35" spans="1:17" ht="14.25" customHeight="1">
      <c r="A35" s="84" t="s">
        <v>264</v>
      </c>
      <c r="B35" s="85" t="s">
        <v>2787</v>
      </c>
      <c r="C35" s="84">
        <v>27270</v>
      </c>
      <c r="D35" s="84">
        <v>24270</v>
      </c>
      <c r="E35" s="84">
        <v>24950</v>
      </c>
      <c r="F35" s="84">
        <v>6600</v>
      </c>
      <c r="G35" s="96">
        <v>16990</v>
      </c>
      <c r="M35" s="84" t="s">
        <v>2872</v>
      </c>
      <c r="N35" s="84" t="s">
        <v>2912</v>
      </c>
      <c r="O35" s="84" t="s">
        <v>2974</v>
      </c>
      <c r="P35" s="84" t="s">
        <v>3018</v>
      </c>
      <c r="Q35" s="84" t="s">
        <v>3061</v>
      </c>
    </row>
    <row r="36" spans="1:17" ht="14.25" customHeight="1">
      <c r="A36" s="84" t="s">
        <v>264</v>
      </c>
      <c r="B36" s="85" t="s">
        <v>2788</v>
      </c>
      <c r="C36" s="84">
        <v>23490</v>
      </c>
      <c r="D36" s="84">
        <v>23020</v>
      </c>
      <c r="E36" s="84">
        <v>25230</v>
      </c>
      <c r="F36" s="84">
        <v>6780</v>
      </c>
      <c r="G36" s="96">
        <v>16120</v>
      </c>
      <c r="M36" s="84" t="s">
        <v>2873</v>
      </c>
      <c r="N36" s="84" t="s">
        <v>2913</v>
      </c>
      <c r="O36" s="84" t="s">
        <v>2975</v>
      </c>
      <c r="P36" s="84" t="s">
        <v>3019</v>
      </c>
      <c r="Q36" s="84" t="s">
        <v>3062</v>
      </c>
    </row>
    <row r="37" spans="1:17" ht="14.25" customHeight="1">
      <c r="A37" s="84" t="s">
        <v>264</v>
      </c>
      <c r="B37" s="85" t="s">
        <v>2789</v>
      </c>
      <c r="C37" s="84">
        <v>24380</v>
      </c>
      <c r="D37" s="84">
        <v>22240</v>
      </c>
      <c r="E37" s="84">
        <v>25980</v>
      </c>
      <c r="F37" s="84">
        <v>8160</v>
      </c>
      <c r="G37" s="96">
        <v>15570</v>
      </c>
      <c r="M37" s="84" t="s">
        <v>2874</v>
      </c>
      <c r="N37" s="84" t="s">
        <v>2914</v>
      </c>
      <c r="O37" s="84" t="s">
        <v>2976</v>
      </c>
      <c r="P37" s="84" t="s">
        <v>3020</v>
      </c>
      <c r="Q37" s="84" t="s">
        <v>3063</v>
      </c>
    </row>
    <row r="38" spans="1:17" ht="14.25" customHeight="1">
      <c r="A38" s="84" t="s">
        <v>264</v>
      </c>
      <c r="B38" s="85" t="s">
        <v>2790</v>
      </c>
      <c r="C38" s="84">
        <v>23120</v>
      </c>
      <c r="D38" s="84">
        <v>24630</v>
      </c>
      <c r="E38" s="84">
        <v>25030</v>
      </c>
      <c r="F38" s="84">
        <v>7710</v>
      </c>
      <c r="G38" s="96">
        <v>17240</v>
      </c>
      <c r="M38" s="84" t="s">
        <v>2875</v>
      </c>
      <c r="N38" s="84" t="s">
        <v>2915</v>
      </c>
      <c r="O38" s="84" t="s">
        <v>2977</v>
      </c>
      <c r="P38" s="84" t="s">
        <v>3021</v>
      </c>
      <c r="Q38" s="84" t="s">
        <v>3064</v>
      </c>
    </row>
    <row r="39" spans="1:17" ht="14.25" customHeight="1">
      <c r="A39" s="84" t="s">
        <v>264</v>
      </c>
      <c r="B39" s="85" t="s">
        <v>2791</v>
      </c>
      <c r="C39" s="84">
        <v>22330</v>
      </c>
      <c r="D39" s="84">
        <v>21140</v>
      </c>
      <c r="E39" s="84">
        <v>23970</v>
      </c>
      <c r="F39" s="84">
        <v>7940</v>
      </c>
      <c r="G39" s="96">
        <v>14790</v>
      </c>
      <c r="M39" s="84" t="s">
        <v>2876</v>
      </c>
      <c r="N39" s="84" t="s">
        <v>2916</v>
      </c>
      <c r="O39" s="84" t="s">
        <v>3265</v>
      </c>
      <c r="P39" s="84" t="s">
        <v>3022</v>
      </c>
      <c r="Q39" s="84" t="s">
        <v>3065</v>
      </c>
    </row>
    <row r="40" spans="1:17" ht="14.25" customHeight="1">
      <c r="A40" s="84" t="s">
        <v>264</v>
      </c>
      <c r="B40" s="85" t="s">
        <v>2792</v>
      </c>
      <c r="C40" s="84">
        <v>24740</v>
      </c>
      <c r="D40" s="84">
        <v>24690</v>
      </c>
      <c r="E40" s="84">
        <v>22610</v>
      </c>
      <c r="F40" s="84"/>
      <c r="G40" s="96">
        <v>17280</v>
      </c>
      <c r="M40" s="84" t="s">
        <v>2877</v>
      </c>
      <c r="N40" s="84" t="s">
        <v>2917</v>
      </c>
      <c r="O40" s="84" t="s">
        <v>3266</v>
      </c>
      <c r="P40" s="84" t="s">
        <v>3023</v>
      </c>
      <c r="Q40" s="84" t="s">
        <v>3066</v>
      </c>
    </row>
    <row r="41" spans="1:17" ht="14.25" customHeight="1">
      <c r="A41" s="84" t="s">
        <v>264</v>
      </c>
      <c r="B41" s="85" t="s">
        <v>2793</v>
      </c>
      <c r="C41" s="84">
        <v>21220</v>
      </c>
      <c r="D41" s="84">
        <v>21120</v>
      </c>
      <c r="E41" s="84">
        <v>22590</v>
      </c>
      <c r="F41" s="84"/>
      <c r="G41" s="96">
        <v>14780</v>
      </c>
      <c r="M41" s="90" t="s">
        <v>2878</v>
      </c>
      <c r="N41" s="84" t="s">
        <v>2918</v>
      </c>
      <c r="O41" s="84" t="s">
        <v>3267</v>
      </c>
      <c r="P41" s="84" t="s">
        <v>3024</v>
      </c>
      <c r="Q41" s="84" t="s">
        <v>3067</v>
      </c>
    </row>
    <row r="42" spans="1:17" ht="14.25" customHeight="1">
      <c r="A42" s="84" t="s">
        <v>264</v>
      </c>
      <c r="B42" s="85" t="s">
        <v>2794</v>
      </c>
      <c r="C42" s="84">
        <v>24800</v>
      </c>
      <c r="D42" s="84">
        <v>22280</v>
      </c>
      <c r="E42" s="84">
        <v>24350</v>
      </c>
      <c r="F42" s="84"/>
      <c r="G42" s="96">
        <v>15590</v>
      </c>
      <c r="N42" s="84" t="s">
        <v>2919</v>
      </c>
      <c r="O42" s="84" t="s">
        <v>2981</v>
      </c>
      <c r="P42" s="84" t="s">
        <v>3025</v>
      </c>
      <c r="Q42" s="84" t="s">
        <v>3068</v>
      </c>
    </row>
    <row r="43" spans="1:17" ht="14.25" customHeight="1">
      <c r="A43" s="84" t="s">
        <v>264</v>
      </c>
      <c r="B43" s="85" t="s">
        <v>2795</v>
      </c>
      <c r="C43" s="84">
        <v>21210</v>
      </c>
      <c r="D43" s="84">
        <v>21160</v>
      </c>
      <c r="E43" s="84">
        <v>22650</v>
      </c>
      <c r="F43" s="84"/>
      <c r="G43" s="96">
        <v>14800</v>
      </c>
      <c r="N43" s="84" t="s">
        <v>2920</v>
      </c>
      <c r="O43" s="84" t="s">
        <v>2982</v>
      </c>
      <c r="P43" s="84" t="s">
        <v>3026</v>
      </c>
      <c r="Q43" s="84" t="s">
        <v>3069</v>
      </c>
    </row>
    <row r="44" spans="1:17" ht="14.25" customHeight="1">
      <c r="A44" s="84" t="s">
        <v>264</v>
      </c>
      <c r="B44" s="85" t="s">
        <v>2796</v>
      </c>
      <c r="C44" s="84">
        <v>22370</v>
      </c>
      <c r="D44" s="84">
        <v>23140</v>
      </c>
      <c r="E44" s="84">
        <v>25090</v>
      </c>
      <c r="F44" s="84"/>
      <c r="G44" s="96">
        <v>16190</v>
      </c>
      <c r="N44" s="84" t="s">
        <v>2921</v>
      </c>
      <c r="O44" s="84" t="s">
        <v>3268</v>
      </c>
      <c r="P44" s="90" t="s">
        <v>3027</v>
      </c>
      <c r="Q44" s="84" t="s">
        <v>3070</v>
      </c>
    </row>
    <row r="45" spans="1:17" ht="14.25" customHeight="1">
      <c r="A45" s="84" t="s">
        <v>264</v>
      </c>
      <c r="B45" s="85" t="s">
        <v>2797</v>
      </c>
      <c r="C45" s="84">
        <v>21240</v>
      </c>
      <c r="D45" s="84">
        <v>27050</v>
      </c>
      <c r="E45" s="84">
        <v>28000</v>
      </c>
      <c r="F45" s="84"/>
      <c r="G45" s="96">
        <v>18940</v>
      </c>
      <c r="N45" s="84" t="s">
        <v>2922</v>
      </c>
      <c r="O45" s="90" t="s">
        <v>2984</v>
      </c>
      <c r="Q45" s="84" t="s">
        <v>3071</v>
      </c>
    </row>
    <row r="46" spans="1:17" ht="14.25" customHeight="1">
      <c r="A46" s="84" t="s">
        <v>264</v>
      </c>
      <c r="B46" s="85" t="s">
        <v>2798</v>
      </c>
      <c r="C46" s="84">
        <v>23240</v>
      </c>
      <c r="D46" s="84">
        <v>23000</v>
      </c>
      <c r="E46" s="84">
        <v>24980</v>
      </c>
      <c r="F46" s="84"/>
      <c r="G46" s="96">
        <v>16100</v>
      </c>
      <c r="N46" s="84" t="s">
        <v>2923</v>
      </c>
      <c r="Q46" s="84" t="s">
        <v>3072</v>
      </c>
    </row>
    <row r="47" spans="1:17" ht="14.25" customHeight="1">
      <c r="A47" s="84" t="s">
        <v>264</v>
      </c>
      <c r="B47" s="85" t="s">
        <v>2799</v>
      </c>
      <c r="C47" s="84">
        <v>27150</v>
      </c>
      <c r="D47" s="84">
        <v>23310</v>
      </c>
      <c r="E47" s="84">
        <v>25150</v>
      </c>
      <c r="F47" s="84"/>
      <c r="G47" s="96">
        <v>16310</v>
      </c>
      <c r="N47" s="84" t="s">
        <v>2924</v>
      </c>
      <c r="Q47" s="84" t="s">
        <v>3073</v>
      </c>
    </row>
    <row r="48" spans="1:17" ht="14.25" customHeight="1">
      <c r="A48" s="84" t="s">
        <v>264</v>
      </c>
      <c r="B48" s="85" t="s">
        <v>2800</v>
      </c>
      <c r="C48" s="84">
        <v>23100</v>
      </c>
      <c r="D48" s="84">
        <v>21110</v>
      </c>
      <c r="E48" s="84">
        <v>23080</v>
      </c>
      <c r="F48" s="84"/>
      <c r="G48" s="96">
        <v>14780</v>
      </c>
      <c r="N48" s="84" t="s">
        <v>2925</v>
      </c>
      <c r="Q48" s="84" t="s">
        <v>3074</v>
      </c>
    </row>
    <row r="49" spans="1:17" ht="14.25" customHeight="1">
      <c r="A49" s="84" t="s">
        <v>264</v>
      </c>
      <c r="B49" s="85" t="s">
        <v>2801</v>
      </c>
      <c r="C49" s="84">
        <v>23400</v>
      </c>
      <c r="D49" s="84">
        <v>22920</v>
      </c>
      <c r="E49" s="84">
        <v>24900</v>
      </c>
      <c r="F49" s="84"/>
      <c r="G49" s="96">
        <v>16040</v>
      </c>
      <c r="N49" s="84" t="s">
        <v>2926</v>
      </c>
      <c r="Q49" s="84" t="s">
        <v>3075</v>
      </c>
    </row>
    <row r="50" spans="1:17" ht="14.25" customHeight="1">
      <c r="A50" s="84" t="s">
        <v>264</v>
      </c>
      <c r="B50" s="85" t="s">
        <v>2802</v>
      </c>
      <c r="C50" s="84">
        <v>21200</v>
      </c>
      <c r="D50" s="84">
        <v>26540</v>
      </c>
      <c r="E50" s="84">
        <v>23200</v>
      </c>
      <c r="F50" s="84"/>
      <c r="G50" s="96">
        <v>18580</v>
      </c>
      <c r="N50" s="84" t="s">
        <v>2927</v>
      </c>
      <c r="Q50" s="85" t="s">
        <v>3076</v>
      </c>
    </row>
    <row r="51" spans="1:17" ht="14.25" customHeight="1">
      <c r="A51" s="84" t="s">
        <v>264</v>
      </c>
      <c r="B51" s="85" t="s">
        <v>2803</v>
      </c>
      <c r="C51" s="84">
        <v>23000</v>
      </c>
      <c r="D51" s="84">
        <v>23460</v>
      </c>
      <c r="E51" s="84">
        <v>25290</v>
      </c>
      <c r="F51" s="84"/>
      <c r="G51" s="96">
        <v>16420</v>
      </c>
      <c r="N51" s="84" t="s">
        <v>2928</v>
      </c>
      <c r="Q51" s="90" t="s">
        <v>3077</v>
      </c>
    </row>
    <row r="52" spans="1:17" ht="14.25" customHeight="1">
      <c r="A52" s="84" t="s">
        <v>264</v>
      </c>
      <c r="B52" s="85" t="s">
        <v>2804</v>
      </c>
      <c r="C52" s="84">
        <v>26660</v>
      </c>
      <c r="D52" s="84">
        <v>22350</v>
      </c>
      <c r="E52" s="84">
        <v>22920</v>
      </c>
      <c r="F52" s="84"/>
      <c r="G52" s="96">
        <v>15640</v>
      </c>
      <c r="N52" s="84" t="s">
        <v>2929</v>
      </c>
    </row>
    <row r="53" spans="1:17" ht="14.25" customHeight="1">
      <c r="A53" s="84" t="s">
        <v>264</v>
      </c>
      <c r="B53" s="85" t="s">
        <v>2805</v>
      </c>
      <c r="C53" s="84">
        <v>23580</v>
      </c>
      <c r="D53" s="84"/>
      <c r="E53" s="84">
        <v>24280</v>
      </c>
      <c r="F53" s="84"/>
      <c r="G53" s="96"/>
      <c r="N53" s="84" t="s">
        <v>2930</v>
      </c>
    </row>
    <row r="54" spans="1:17" ht="14.25" customHeight="1">
      <c r="A54" s="97" t="s">
        <v>264</v>
      </c>
      <c r="B54" s="89" t="s">
        <v>2806</v>
      </c>
      <c r="C54" s="90">
        <v>22460</v>
      </c>
      <c r="D54" s="90"/>
      <c r="E54" s="90"/>
      <c r="F54" s="90"/>
      <c r="G54" s="98"/>
      <c r="N54" s="84" t="s">
        <v>2931</v>
      </c>
    </row>
    <row r="55" spans="1:17" ht="14.25" customHeight="1">
      <c r="A55" s="88" t="s">
        <v>275</v>
      </c>
      <c r="B55" s="80" t="s">
        <v>2807</v>
      </c>
      <c r="C55" s="84">
        <v>21970</v>
      </c>
      <c r="D55" s="84">
        <v>20370</v>
      </c>
      <c r="E55" s="84">
        <v>20180</v>
      </c>
      <c r="F55" s="84">
        <v>5730</v>
      </c>
      <c r="G55" s="84">
        <v>13820</v>
      </c>
      <c r="N55" s="84" t="s">
        <v>2932</v>
      </c>
    </row>
    <row r="56" spans="1:17" ht="14.25" customHeight="1">
      <c r="A56" s="84" t="s">
        <v>275</v>
      </c>
      <c r="B56" s="84" t="s">
        <v>2808</v>
      </c>
      <c r="C56" s="84">
        <v>20470</v>
      </c>
      <c r="D56" s="84">
        <v>20700</v>
      </c>
      <c r="E56" s="84">
        <v>20380</v>
      </c>
      <c r="F56" s="84">
        <v>4760</v>
      </c>
      <c r="G56" s="84">
        <v>14050</v>
      </c>
      <c r="N56" s="84" t="s">
        <v>2933</v>
      </c>
    </row>
    <row r="57" spans="1:17" ht="14.25" customHeight="1">
      <c r="A57" s="84" t="s">
        <v>275</v>
      </c>
      <c r="B57" s="84" t="s">
        <v>2809</v>
      </c>
      <c r="C57" s="84">
        <v>20790</v>
      </c>
      <c r="D57" s="84">
        <v>21370</v>
      </c>
      <c r="E57" s="84">
        <v>20890</v>
      </c>
      <c r="F57" s="84">
        <v>4910</v>
      </c>
      <c r="G57" s="84">
        <v>14510</v>
      </c>
      <c r="N57" s="84" t="s">
        <v>2934</v>
      </c>
    </row>
    <row r="58" spans="1:17" ht="14.25" customHeight="1">
      <c r="A58" s="84" t="s">
        <v>275</v>
      </c>
      <c r="B58" s="84" t="s">
        <v>2810</v>
      </c>
      <c r="C58" s="84">
        <v>21460</v>
      </c>
      <c r="D58" s="84">
        <v>20920</v>
      </c>
      <c r="E58" s="84">
        <v>23410</v>
      </c>
      <c r="F58" s="84">
        <v>5100</v>
      </c>
      <c r="G58" s="84">
        <v>14200</v>
      </c>
      <c r="N58" s="84" t="s">
        <v>2935</v>
      </c>
    </row>
    <row r="59" spans="1:17" ht="14.25" customHeight="1">
      <c r="A59" s="84" t="s">
        <v>275</v>
      </c>
      <c r="B59" s="84" t="s">
        <v>2811</v>
      </c>
      <c r="C59" s="84">
        <v>21000</v>
      </c>
      <c r="D59" s="84">
        <v>21550</v>
      </c>
      <c r="E59" s="84">
        <v>21150</v>
      </c>
      <c r="F59" s="84">
        <v>5250</v>
      </c>
      <c r="G59" s="84">
        <v>14630</v>
      </c>
      <c r="N59" s="84" t="s">
        <v>2936</v>
      </c>
    </row>
    <row r="60" spans="1:17" ht="14.25" customHeight="1">
      <c r="A60" s="84" t="s">
        <v>275</v>
      </c>
      <c r="B60" s="84" t="s">
        <v>2812</v>
      </c>
      <c r="C60" s="84">
        <v>21640</v>
      </c>
      <c r="D60" s="84">
        <v>21260</v>
      </c>
      <c r="E60" s="84">
        <v>24040</v>
      </c>
      <c r="F60" s="84">
        <v>4470</v>
      </c>
      <c r="G60" s="84">
        <v>14430</v>
      </c>
      <c r="N60" s="84" t="s">
        <v>2937</v>
      </c>
    </row>
    <row r="61" spans="1:17" ht="14.25" customHeight="1">
      <c r="A61" s="84" t="s">
        <v>275</v>
      </c>
      <c r="B61" s="84" t="s">
        <v>2813</v>
      </c>
      <c r="C61" s="84">
        <v>21330</v>
      </c>
      <c r="D61" s="84">
        <v>18640</v>
      </c>
      <c r="E61" s="84">
        <v>21190</v>
      </c>
      <c r="F61" s="84">
        <v>4180</v>
      </c>
      <c r="G61" s="84">
        <v>12650</v>
      </c>
      <c r="N61" s="84" t="s">
        <v>2938</v>
      </c>
    </row>
    <row r="62" spans="1:17" ht="14.25" customHeight="1">
      <c r="A62" s="84" t="s">
        <v>275</v>
      </c>
      <c r="B62" s="84" t="s">
        <v>2814</v>
      </c>
      <c r="C62" s="84">
        <v>18710</v>
      </c>
      <c r="D62" s="84">
        <v>19400</v>
      </c>
      <c r="E62" s="84">
        <v>23750</v>
      </c>
      <c r="F62" s="84">
        <v>4860</v>
      </c>
      <c r="G62" s="84">
        <v>13170</v>
      </c>
      <c r="N62" s="84" t="s">
        <v>2939</v>
      </c>
    </row>
    <row r="63" spans="1:17" ht="14.25" customHeight="1">
      <c r="A63" s="84" t="s">
        <v>275</v>
      </c>
      <c r="B63" s="84" t="s">
        <v>2815</v>
      </c>
      <c r="C63" s="84">
        <v>19480</v>
      </c>
      <c r="D63" s="84">
        <v>16830</v>
      </c>
      <c r="E63" s="84">
        <v>21590</v>
      </c>
      <c r="F63" s="84">
        <v>4560</v>
      </c>
      <c r="G63" s="84">
        <v>11420</v>
      </c>
      <c r="N63" s="84" t="s">
        <v>2940</v>
      </c>
    </row>
    <row r="64" spans="1:17" ht="14.25" customHeight="1">
      <c r="A64" s="84" t="s">
        <v>275</v>
      </c>
      <c r="B64" s="84" t="s">
        <v>2816</v>
      </c>
      <c r="C64" s="84">
        <v>16920</v>
      </c>
      <c r="D64" s="84">
        <v>19190</v>
      </c>
      <c r="E64" s="84">
        <v>22200</v>
      </c>
      <c r="F64" s="84">
        <v>4390</v>
      </c>
      <c r="G64" s="84">
        <v>13030</v>
      </c>
      <c r="N64" s="90" t="s">
        <v>2941</v>
      </c>
    </row>
    <row r="65" spans="1:7" s="73" customFormat="1" ht="14.25" customHeight="1">
      <c r="A65" s="84" t="s">
        <v>275</v>
      </c>
      <c r="B65" s="84" t="s">
        <v>2817</v>
      </c>
      <c r="C65" s="84">
        <v>19290</v>
      </c>
      <c r="D65" s="84">
        <v>17020</v>
      </c>
      <c r="E65" s="84">
        <v>19880</v>
      </c>
      <c r="F65" s="84">
        <v>4070</v>
      </c>
      <c r="G65" s="84">
        <v>11550</v>
      </c>
    </row>
    <row r="66" spans="1:7" s="73" customFormat="1" ht="14.25" customHeight="1">
      <c r="A66" s="84" t="s">
        <v>275</v>
      </c>
      <c r="B66" s="84" t="s">
        <v>2818</v>
      </c>
      <c r="C66" s="84">
        <v>17090</v>
      </c>
      <c r="D66" s="84">
        <v>18340</v>
      </c>
      <c r="E66" s="84">
        <v>21830</v>
      </c>
      <c r="F66" s="84">
        <v>4690</v>
      </c>
      <c r="G66" s="84">
        <v>12450</v>
      </c>
    </row>
    <row r="67" spans="1:7" s="73" customFormat="1" ht="14.25" customHeight="1">
      <c r="A67" s="84" t="s">
        <v>275</v>
      </c>
      <c r="B67" s="84" t="s">
        <v>2819</v>
      </c>
      <c r="C67" s="84">
        <v>18420</v>
      </c>
      <c r="D67" s="84">
        <v>16360</v>
      </c>
      <c r="E67" s="84">
        <v>20020</v>
      </c>
      <c r="F67" s="84">
        <v>5150</v>
      </c>
      <c r="G67" s="84">
        <v>11110</v>
      </c>
    </row>
    <row r="68" spans="1:7" s="73" customFormat="1" ht="14.25" customHeight="1">
      <c r="A68" s="84" t="s">
        <v>275</v>
      </c>
      <c r="B68" s="84" t="s">
        <v>2820</v>
      </c>
      <c r="C68" s="84">
        <v>16450</v>
      </c>
      <c r="D68" s="84">
        <v>18430</v>
      </c>
      <c r="E68" s="84">
        <v>21010</v>
      </c>
      <c r="F68" s="84">
        <v>4720</v>
      </c>
      <c r="G68" s="84">
        <v>12510</v>
      </c>
    </row>
    <row r="69" spans="1:7" s="73" customFormat="1" ht="14.25" customHeight="1">
      <c r="A69" s="84" t="s">
        <v>275</v>
      </c>
      <c r="B69" s="84" t="s">
        <v>2821</v>
      </c>
      <c r="C69" s="84">
        <v>18510</v>
      </c>
      <c r="D69" s="84">
        <v>16300</v>
      </c>
      <c r="E69" s="84">
        <v>18830</v>
      </c>
      <c r="F69" s="84">
        <v>5400</v>
      </c>
      <c r="G69" s="84">
        <v>11070</v>
      </c>
    </row>
    <row r="70" spans="1:7" s="73" customFormat="1" ht="14.25" customHeight="1">
      <c r="A70" s="84" t="s">
        <v>275</v>
      </c>
      <c r="B70" s="84" t="s">
        <v>2822</v>
      </c>
      <c r="C70" s="84">
        <v>16370</v>
      </c>
      <c r="D70" s="84">
        <v>18620</v>
      </c>
      <c r="E70" s="84">
        <v>21100</v>
      </c>
      <c r="F70" s="84">
        <v>5700</v>
      </c>
      <c r="G70" s="84">
        <v>12640</v>
      </c>
    </row>
    <row r="71" spans="1:7" s="73" customFormat="1" ht="14.25" customHeight="1">
      <c r="A71" s="84" t="s">
        <v>275</v>
      </c>
      <c r="B71" s="84" t="s">
        <v>2823</v>
      </c>
      <c r="C71" s="84">
        <v>18700</v>
      </c>
      <c r="D71" s="84">
        <v>16290</v>
      </c>
      <c r="E71" s="84">
        <v>18760</v>
      </c>
      <c r="F71" s="84">
        <v>4780</v>
      </c>
      <c r="G71" s="84">
        <v>11050</v>
      </c>
    </row>
    <row r="72" spans="1:7" s="73" customFormat="1" ht="14.25" customHeight="1">
      <c r="A72" s="84" t="s">
        <v>275</v>
      </c>
      <c r="B72" s="84" t="s">
        <v>2824</v>
      </c>
      <c r="C72" s="84">
        <v>16340</v>
      </c>
      <c r="D72" s="84">
        <v>17520</v>
      </c>
      <c r="E72" s="84">
        <v>21170</v>
      </c>
      <c r="F72" s="84"/>
      <c r="G72" s="84">
        <v>11900</v>
      </c>
    </row>
    <row r="73" spans="1:7" s="73" customFormat="1" ht="14.25" customHeight="1">
      <c r="A73" s="84" t="s">
        <v>275</v>
      </c>
      <c r="B73" s="84" t="s">
        <v>2825</v>
      </c>
      <c r="C73" s="84">
        <v>17610</v>
      </c>
      <c r="D73" s="84">
        <v>18520</v>
      </c>
      <c r="E73" s="84">
        <v>18720</v>
      </c>
      <c r="F73" s="84"/>
      <c r="G73" s="84">
        <v>12570</v>
      </c>
    </row>
    <row r="74" spans="1:7" s="73" customFormat="1" ht="14.25" customHeight="1">
      <c r="A74" s="84" t="s">
        <v>275</v>
      </c>
      <c r="B74" s="84" t="s">
        <v>2826</v>
      </c>
      <c r="C74" s="84">
        <v>18600</v>
      </c>
      <c r="D74" s="84">
        <v>16480</v>
      </c>
      <c r="E74" s="84">
        <v>20100</v>
      </c>
      <c r="F74" s="84"/>
      <c r="G74" s="84">
        <v>11190</v>
      </c>
    </row>
    <row r="75" spans="1:7" s="73" customFormat="1" ht="14.25" customHeight="1">
      <c r="A75" s="84" t="s">
        <v>275</v>
      </c>
      <c r="B75" s="84" t="s">
        <v>2827</v>
      </c>
      <c r="C75" s="84">
        <v>16570</v>
      </c>
      <c r="D75" s="84">
        <v>17530</v>
      </c>
      <c r="E75" s="84">
        <v>21030</v>
      </c>
      <c r="F75" s="84"/>
      <c r="G75" s="84">
        <v>11900</v>
      </c>
    </row>
    <row r="76" spans="1:7" s="73" customFormat="1" ht="14.25" customHeight="1">
      <c r="A76" s="84" t="s">
        <v>275</v>
      </c>
      <c r="B76" s="84" t="s">
        <v>2828</v>
      </c>
      <c r="C76" s="84">
        <v>17610</v>
      </c>
      <c r="D76" s="84">
        <v>20800</v>
      </c>
      <c r="E76" s="84">
        <v>18920</v>
      </c>
      <c r="F76" s="84"/>
      <c r="G76" s="84">
        <v>14120</v>
      </c>
    </row>
    <row r="77" spans="1:7" s="73" customFormat="1" ht="14.25" customHeight="1">
      <c r="A77" s="84" t="s">
        <v>275</v>
      </c>
      <c r="B77" s="84" t="s">
        <v>2829</v>
      </c>
      <c r="C77" s="84">
        <v>20890</v>
      </c>
      <c r="D77" s="84">
        <v>19740</v>
      </c>
      <c r="E77" s="84">
        <v>20110</v>
      </c>
      <c r="F77" s="84"/>
      <c r="G77" s="84">
        <v>13400</v>
      </c>
    </row>
    <row r="78" spans="1:7" s="73" customFormat="1" ht="14.25" customHeight="1">
      <c r="A78" s="84" t="s">
        <v>275</v>
      </c>
      <c r="B78" s="84" t="s">
        <v>2830</v>
      </c>
      <c r="C78" s="84">
        <v>19820</v>
      </c>
      <c r="D78" s="84">
        <v>19780</v>
      </c>
      <c r="E78" s="84">
        <v>18560</v>
      </c>
      <c r="F78" s="84"/>
      <c r="G78" s="84">
        <v>13430</v>
      </c>
    </row>
    <row r="79" spans="1:7" s="73" customFormat="1" ht="14.25" customHeight="1">
      <c r="A79" s="84" t="s">
        <v>275</v>
      </c>
      <c r="B79" s="84" t="s">
        <v>2831</v>
      </c>
      <c r="C79" s="84">
        <v>21660</v>
      </c>
      <c r="D79" s="84">
        <v>18000</v>
      </c>
      <c r="E79" s="84">
        <v>22570</v>
      </c>
      <c r="F79" s="84"/>
      <c r="G79" s="84">
        <v>12220</v>
      </c>
    </row>
    <row r="80" spans="1:7" s="73" customFormat="1" ht="14.25" customHeight="1">
      <c r="A80" s="84" t="s">
        <v>275</v>
      </c>
      <c r="B80" s="84" t="s">
        <v>2832</v>
      </c>
      <c r="C80" s="84">
        <v>19850</v>
      </c>
      <c r="D80" s="84"/>
      <c r="E80" s="84">
        <v>21700</v>
      </c>
      <c r="F80" s="84"/>
      <c r="G80" s="84"/>
    </row>
    <row r="81" spans="1:7" s="73" customFormat="1" ht="14.25" customHeight="1">
      <c r="A81" s="84" t="s">
        <v>275</v>
      </c>
      <c r="B81" s="84" t="s">
        <v>2833</v>
      </c>
      <c r="C81" s="84">
        <v>18080</v>
      </c>
      <c r="D81" s="84"/>
      <c r="E81" s="84">
        <v>20900</v>
      </c>
      <c r="F81" s="84"/>
      <c r="G81" s="84"/>
    </row>
    <row r="82" spans="1:7" s="73" customFormat="1" ht="14.25" customHeight="1">
      <c r="A82" s="84" t="s">
        <v>275</v>
      </c>
      <c r="B82" s="84" t="s">
        <v>2834</v>
      </c>
      <c r="C82" s="84"/>
      <c r="D82" s="84"/>
      <c r="E82" s="84">
        <v>20840</v>
      </c>
      <c r="F82" s="84"/>
      <c r="G82" s="84"/>
    </row>
    <row r="83" spans="1:7" s="73" customFormat="1" ht="14.25" customHeight="1">
      <c r="A83" s="84" t="s">
        <v>275</v>
      </c>
      <c r="B83" s="84" t="s">
        <v>2835</v>
      </c>
      <c r="C83" s="84"/>
      <c r="D83" s="84"/>
      <c r="E83" s="84"/>
      <c r="F83" s="84">
        <v>4770</v>
      </c>
      <c r="G83" s="84"/>
    </row>
    <row r="84" spans="1:7" s="73" customFormat="1" ht="14.25" customHeight="1">
      <c r="A84" s="84" t="s">
        <v>275</v>
      </c>
      <c r="B84" s="84" t="s">
        <v>2836</v>
      </c>
      <c r="C84" s="84"/>
      <c r="D84" s="84"/>
      <c r="E84" s="84"/>
      <c r="F84" s="84">
        <v>4600</v>
      </c>
      <c r="G84" s="84"/>
    </row>
    <row r="85" spans="1:7" s="73" customFormat="1" ht="14.25" customHeight="1">
      <c r="A85" s="84" t="s">
        <v>275</v>
      </c>
      <c r="B85" s="84" t="s">
        <v>2837</v>
      </c>
      <c r="C85" s="84"/>
      <c r="D85" s="84"/>
      <c r="E85" s="84"/>
      <c r="F85" s="84">
        <v>4680</v>
      </c>
      <c r="G85" s="84"/>
    </row>
    <row r="86" spans="1:7" s="73" customFormat="1" ht="14.25" customHeight="1">
      <c r="A86" s="91" t="s">
        <v>275</v>
      </c>
      <c r="B86" s="93" t="s">
        <v>2838</v>
      </c>
      <c r="C86" s="94">
        <v>16610</v>
      </c>
      <c r="D86" s="94">
        <v>16540</v>
      </c>
      <c r="E86" s="94">
        <v>18850</v>
      </c>
      <c r="F86" s="94"/>
      <c r="G86" s="94">
        <v>11220</v>
      </c>
    </row>
    <row r="87" spans="1:7" s="73" customFormat="1" ht="14.25" customHeight="1">
      <c r="A87" s="88" t="s">
        <v>286</v>
      </c>
      <c r="B87" s="80" t="s">
        <v>2839</v>
      </c>
      <c r="C87" s="80">
        <v>15240</v>
      </c>
      <c r="D87" s="80">
        <v>15170</v>
      </c>
      <c r="E87" s="80">
        <v>18260</v>
      </c>
      <c r="F87" s="80">
        <v>3830</v>
      </c>
      <c r="G87" s="95">
        <v>10020</v>
      </c>
    </row>
    <row r="88" spans="1:7" s="73" customFormat="1" ht="14.25" customHeight="1">
      <c r="A88" s="84" t="s">
        <v>286</v>
      </c>
      <c r="B88" s="84" t="s">
        <v>2840</v>
      </c>
      <c r="C88" s="84">
        <v>17310</v>
      </c>
      <c r="D88" s="84">
        <v>17220</v>
      </c>
      <c r="E88" s="84">
        <v>18610</v>
      </c>
      <c r="F88" s="84">
        <v>3990</v>
      </c>
      <c r="G88" s="96">
        <v>11380</v>
      </c>
    </row>
    <row r="89" spans="1:7" s="73" customFormat="1" ht="14.25" customHeight="1">
      <c r="A89" s="84" t="s">
        <v>286</v>
      </c>
      <c r="B89" s="84" t="s">
        <v>2841</v>
      </c>
      <c r="C89" s="84">
        <v>15600</v>
      </c>
      <c r="D89" s="84">
        <v>15550</v>
      </c>
      <c r="E89" s="84">
        <v>19200</v>
      </c>
      <c r="F89" s="84">
        <v>4110</v>
      </c>
      <c r="G89" s="96">
        <v>10270</v>
      </c>
    </row>
    <row r="90" spans="1:7" s="73" customFormat="1" ht="14.25" customHeight="1">
      <c r="A90" s="84" t="s">
        <v>286</v>
      </c>
      <c r="B90" s="84" t="s">
        <v>2842</v>
      </c>
      <c r="C90" s="84">
        <v>17330</v>
      </c>
      <c r="D90" s="84">
        <v>17240</v>
      </c>
      <c r="E90" s="84">
        <v>18570</v>
      </c>
      <c r="F90" s="84">
        <v>4070</v>
      </c>
      <c r="G90" s="96">
        <v>11390</v>
      </c>
    </row>
    <row r="91" spans="1:7" s="73" customFormat="1" ht="14.25" customHeight="1">
      <c r="A91" s="84" t="s">
        <v>286</v>
      </c>
      <c r="B91" s="84" t="s">
        <v>2843</v>
      </c>
      <c r="C91" s="84">
        <v>16330</v>
      </c>
      <c r="D91" s="84">
        <v>16260</v>
      </c>
      <c r="E91" s="84">
        <v>16800</v>
      </c>
      <c r="F91" s="84">
        <v>3410</v>
      </c>
      <c r="G91" s="96">
        <v>10740</v>
      </c>
    </row>
    <row r="92" spans="1:7" s="73" customFormat="1" ht="14.25" customHeight="1">
      <c r="A92" s="84" t="s">
        <v>286</v>
      </c>
      <c r="B92" s="84" t="s">
        <v>2844</v>
      </c>
      <c r="C92" s="84">
        <v>15570</v>
      </c>
      <c r="D92" s="84">
        <v>15500</v>
      </c>
      <c r="E92" s="84">
        <v>17360</v>
      </c>
      <c r="F92" s="84">
        <v>3510</v>
      </c>
      <c r="G92" s="96">
        <v>10240</v>
      </c>
    </row>
    <row r="93" spans="1:7" s="73" customFormat="1" ht="14.25" customHeight="1">
      <c r="A93" s="84" t="s">
        <v>286</v>
      </c>
      <c r="B93" s="84" t="s">
        <v>2845</v>
      </c>
      <c r="C93" s="84">
        <v>14000</v>
      </c>
      <c r="D93" s="84">
        <v>13930</v>
      </c>
      <c r="E93" s="84">
        <v>18200</v>
      </c>
      <c r="F93" s="84">
        <v>3640</v>
      </c>
      <c r="G93" s="96">
        <v>9210</v>
      </c>
    </row>
    <row r="94" spans="1:7" s="73" customFormat="1" ht="14.25" customHeight="1">
      <c r="A94" s="84" t="s">
        <v>286</v>
      </c>
      <c r="B94" s="84" t="s">
        <v>2846</v>
      </c>
      <c r="C94" s="84">
        <v>14530</v>
      </c>
      <c r="D94" s="84">
        <v>14470</v>
      </c>
      <c r="E94" s="84">
        <v>18240</v>
      </c>
      <c r="F94" s="84">
        <v>3180</v>
      </c>
      <c r="G94" s="96">
        <v>9560</v>
      </c>
    </row>
    <row r="95" spans="1:7" s="73" customFormat="1" ht="14.25" customHeight="1">
      <c r="A95" s="84" t="s">
        <v>286</v>
      </c>
      <c r="B95" s="84" t="s">
        <v>2847</v>
      </c>
      <c r="C95" s="84">
        <v>17330</v>
      </c>
      <c r="D95" s="84">
        <v>17260</v>
      </c>
      <c r="E95" s="84">
        <v>18420</v>
      </c>
      <c r="F95" s="84">
        <v>3060</v>
      </c>
      <c r="G95" s="96">
        <v>11410</v>
      </c>
    </row>
    <row r="96" spans="1:7" s="73" customFormat="1" ht="14.25" customHeight="1">
      <c r="A96" s="84" t="s">
        <v>286</v>
      </c>
      <c r="B96" s="84" t="s">
        <v>2848</v>
      </c>
      <c r="C96" s="84">
        <v>15030</v>
      </c>
      <c r="D96" s="84">
        <v>14970</v>
      </c>
      <c r="E96" s="84">
        <v>17580</v>
      </c>
      <c r="F96" s="84">
        <v>2970</v>
      </c>
      <c r="G96" s="96">
        <v>9890</v>
      </c>
    </row>
    <row r="97" spans="1:7" s="73" customFormat="1" ht="14.25" customHeight="1">
      <c r="A97" s="84" t="s">
        <v>286</v>
      </c>
      <c r="B97" s="84" t="s">
        <v>2849</v>
      </c>
      <c r="C97" s="84">
        <v>17400</v>
      </c>
      <c r="D97" s="84">
        <v>17330</v>
      </c>
      <c r="E97" s="84">
        <v>16430</v>
      </c>
      <c r="F97" s="84">
        <v>2950</v>
      </c>
      <c r="G97" s="96">
        <v>11450</v>
      </c>
    </row>
    <row r="98" spans="1:7" s="73" customFormat="1" ht="14.25" customHeight="1">
      <c r="A98" s="84" t="s">
        <v>286</v>
      </c>
      <c r="B98" s="84" t="s">
        <v>2850</v>
      </c>
      <c r="C98" s="84">
        <v>15200</v>
      </c>
      <c r="D98" s="84">
        <v>15120</v>
      </c>
      <c r="E98" s="84">
        <v>17550</v>
      </c>
      <c r="F98" s="84">
        <v>3080</v>
      </c>
      <c r="G98" s="96">
        <v>9990</v>
      </c>
    </row>
    <row r="99" spans="1:7" s="73" customFormat="1" ht="14.25" customHeight="1">
      <c r="A99" s="84" t="s">
        <v>286</v>
      </c>
      <c r="B99" s="84" t="s">
        <v>2851</v>
      </c>
      <c r="C99" s="84">
        <v>17520</v>
      </c>
      <c r="D99" s="84">
        <v>17430</v>
      </c>
      <c r="E99" s="84">
        <v>16350</v>
      </c>
      <c r="F99" s="84">
        <v>3260</v>
      </c>
      <c r="G99" s="96">
        <v>11510</v>
      </c>
    </row>
    <row r="100" spans="1:7" s="73" customFormat="1" ht="14.25" customHeight="1">
      <c r="A100" s="84" t="s">
        <v>286</v>
      </c>
      <c r="B100" s="84" t="s">
        <v>2852</v>
      </c>
      <c r="C100" s="84">
        <v>15340</v>
      </c>
      <c r="D100" s="84">
        <v>15260</v>
      </c>
      <c r="E100" s="84">
        <v>15930</v>
      </c>
      <c r="F100" s="84">
        <v>2740</v>
      </c>
      <c r="G100" s="96">
        <v>10080</v>
      </c>
    </row>
    <row r="101" spans="1:7" s="73" customFormat="1" ht="14.25" customHeight="1">
      <c r="A101" s="84" t="s">
        <v>286</v>
      </c>
      <c r="B101" s="84" t="s">
        <v>2853</v>
      </c>
      <c r="C101" s="84">
        <v>14620</v>
      </c>
      <c r="D101" s="84">
        <v>14560</v>
      </c>
      <c r="E101" s="84">
        <v>15570</v>
      </c>
      <c r="F101" s="84">
        <v>3500</v>
      </c>
      <c r="G101" s="96">
        <v>9630</v>
      </c>
    </row>
    <row r="102" spans="1:7" s="73" customFormat="1" ht="14.25" customHeight="1">
      <c r="A102" s="84" t="s">
        <v>286</v>
      </c>
      <c r="B102" s="84" t="s">
        <v>2854</v>
      </c>
      <c r="C102" s="84">
        <v>13680</v>
      </c>
      <c r="D102" s="84">
        <v>13610</v>
      </c>
      <c r="E102" s="84">
        <v>15690</v>
      </c>
      <c r="F102" s="84">
        <v>2870</v>
      </c>
      <c r="G102" s="96">
        <v>8990</v>
      </c>
    </row>
    <row r="103" spans="1:7" s="73" customFormat="1" ht="14.25" customHeight="1">
      <c r="A103" s="84" t="s">
        <v>286</v>
      </c>
      <c r="B103" s="84" t="s">
        <v>2855</v>
      </c>
      <c r="C103" s="84">
        <v>14620</v>
      </c>
      <c r="D103" s="84">
        <v>14540</v>
      </c>
      <c r="E103" s="84">
        <v>15240</v>
      </c>
      <c r="F103" s="84">
        <v>2840</v>
      </c>
      <c r="G103" s="96">
        <v>9610</v>
      </c>
    </row>
    <row r="104" spans="1:7" s="73" customFormat="1" ht="14.25" customHeight="1">
      <c r="A104" s="84" t="s">
        <v>286</v>
      </c>
      <c r="B104" s="84" t="s">
        <v>2856</v>
      </c>
      <c r="C104" s="84">
        <v>13610</v>
      </c>
      <c r="D104" s="84">
        <v>13540</v>
      </c>
      <c r="E104" s="84">
        <v>15750</v>
      </c>
      <c r="F104" s="84">
        <v>2770</v>
      </c>
      <c r="G104" s="96">
        <v>8940</v>
      </c>
    </row>
    <row r="105" spans="1:7" s="73" customFormat="1" ht="14.25" customHeight="1">
      <c r="A105" s="84" t="s">
        <v>286</v>
      </c>
      <c r="B105" s="84" t="s">
        <v>2857</v>
      </c>
      <c r="C105" s="84">
        <v>13310</v>
      </c>
      <c r="D105" s="84">
        <v>13240</v>
      </c>
      <c r="E105" s="84">
        <v>16280</v>
      </c>
      <c r="F105" s="84">
        <v>3210</v>
      </c>
      <c r="G105" s="96">
        <v>8750</v>
      </c>
    </row>
    <row r="106" spans="1:7" s="73" customFormat="1" ht="14.25" customHeight="1">
      <c r="A106" s="84" t="s">
        <v>286</v>
      </c>
      <c r="B106" s="84" t="s">
        <v>2858</v>
      </c>
      <c r="C106" s="84">
        <v>13010</v>
      </c>
      <c r="D106" s="84">
        <v>12930</v>
      </c>
      <c r="E106" s="84">
        <v>14960</v>
      </c>
      <c r="F106" s="84">
        <v>3530</v>
      </c>
      <c r="G106" s="96">
        <v>8550</v>
      </c>
    </row>
    <row r="107" spans="1:7" s="73" customFormat="1" ht="14.25" customHeight="1">
      <c r="A107" s="84" t="s">
        <v>286</v>
      </c>
      <c r="B107" s="84" t="s">
        <v>2859</v>
      </c>
      <c r="C107" s="84">
        <v>13070</v>
      </c>
      <c r="D107" s="84">
        <v>13000</v>
      </c>
      <c r="E107" s="84">
        <v>15910</v>
      </c>
      <c r="F107" s="84">
        <v>3990</v>
      </c>
      <c r="G107" s="96">
        <v>8580</v>
      </c>
    </row>
    <row r="108" spans="1:7" s="73" customFormat="1" ht="14.25" customHeight="1">
      <c r="A108" s="84" t="s">
        <v>286</v>
      </c>
      <c r="B108" s="84" t="s">
        <v>2860</v>
      </c>
      <c r="C108" s="84">
        <v>12640</v>
      </c>
      <c r="D108" s="84">
        <v>12580</v>
      </c>
      <c r="E108" s="84">
        <v>15730</v>
      </c>
      <c r="F108" s="84"/>
      <c r="G108" s="96">
        <v>8310</v>
      </c>
    </row>
    <row r="109" spans="1:7" s="73" customFormat="1" ht="14.25" customHeight="1">
      <c r="A109" s="84" t="s">
        <v>286</v>
      </c>
      <c r="B109" s="84" t="s">
        <v>2861</v>
      </c>
      <c r="C109" s="84">
        <v>13130</v>
      </c>
      <c r="D109" s="84">
        <v>13070</v>
      </c>
      <c r="E109" s="84">
        <v>15000</v>
      </c>
      <c r="F109" s="84"/>
      <c r="G109" s="96">
        <v>8630</v>
      </c>
    </row>
    <row r="110" spans="1:7" s="73" customFormat="1" ht="14.25" customHeight="1">
      <c r="A110" s="84" t="s">
        <v>286</v>
      </c>
      <c r="B110" s="84" t="s">
        <v>2862</v>
      </c>
      <c r="C110" s="84">
        <v>13560</v>
      </c>
      <c r="D110" s="84">
        <v>13490</v>
      </c>
      <c r="E110" s="84">
        <v>16300</v>
      </c>
      <c r="F110" s="84"/>
      <c r="G110" s="96">
        <v>8920</v>
      </c>
    </row>
    <row r="111" spans="1:7" s="73" customFormat="1" ht="14.25" customHeight="1">
      <c r="A111" s="84" t="s">
        <v>286</v>
      </c>
      <c r="B111" s="84" t="s">
        <v>2863</v>
      </c>
      <c r="C111" s="84">
        <v>12440</v>
      </c>
      <c r="D111" s="84">
        <v>12380</v>
      </c>
      <c r="E111" s="84">
        <v>17850</v>
      </c>
      <c r="F111" s="84"/>
      <c r="G111" s="96">
        <v>8180</v>
      </c>
    </row>
    <row r="112" spans="1:7" s="73" customFormat="1" ht="14.25" customHeight="1">
      <c r="A112" s="84" t="s">
        <v>286</v>
      </c>
      <c r="B112" s="84" t="s">
        <v>2864</v>
      </c>
      <c r="C112" s="84">
        <v>13260</v>
      </c>
      <c r="D112" s="84">
        <v>13180</v>
      </c>
      <c r="E112" s="84">
        <v>19740</v>
      </c>
      <c r="F112" s="84"/>
      <c r="G112" s="96">
        <v>8710</v>
      </c>
    </row>
    <row r="113" spans="1:7" s="73" customFormat="1" ht="14.25" customHeight="1">
      <c r="A113" s="84" t="s">
        <v>286</v>
      </c>
      <c r="B113" s="84" t="s">
        <v>2865</v>
      </c>
      <c r="C113" s="84">
        <v>15520</v>
      </c>
      <c r="D113" s="84">
        <v>15450</v>
      </c>
      <c r="E113" s="84"/>
      <c r="F113" s="84"/>
      <c r="G113" s="96">
        <v>10210</v>
      </c>
    </row>
    <row r="114" spans="1:7" s="73" customFormat="1" ht="14.25" customHeight="1">
      <c r="A114" s="84" t="s">
        <v>286</v>
      </c>
      <c r="B114" s="84" t="s">
        <v>2866</v>
      </c>
      <c r="C114" s="84">
        <v>13110</v>
      </c>
      <c r="D114" s="84">
        <v>13050</v>
      </c>
      <c r="E114" s="84"/>
      <c r="F114" s="84"/>
      <c r="G114" s="96">
        <v>8620</v>
      </c>
    </row>
    <row r="115" spans="1:7" s="73" customFormat="1" ht="14.25" customHeight="1">
      <c r="A115" s="84" t="s">
        <v>286</v>
      </c>
      <c r="B115" s="84" t="s">
        <v>2867</v>
      </c>
      <c r="C115" s="84">
        <v>12460</v>
      </c>
      <c r="D115" s="84">
        <v>12390</v>
      </c>
      <c r="E115" s="84"/>
      <c r="F115" s="84"/>
      <c r="G115" s="96">
        <v>8190</v>
      </c>
    </row>
    <row r="116" spans="1:7" s="73" customFormat="1" ht="14.25" customHeight="1">
      <c r="A116" s="84" t="s">
        <v>286</v>
      </c>
      <c r="B116" s="84" t="s">
        <v>2868</v>
      </c>
      <c r="C116" s="84">
        <v>13580</v>
      </c>
      <c r="D116" s="84">
        <v>13520</v>
      </c>
      <c r="E116" s="84"/>
      <c r="F116" s="84"/>
      <c r="G116" s="96">
        <v>8930</v>
      </c>
    </row>
    <row r="117" spans="1:7" s="73" customFormat="1" ht="14.25" customHeight="1">
      <c r="A117" s="84" t="s">
        <v>286</v>
      </c>
      <c r="B117" s="84" t="s">
        <v>2869</v>
      </c>
      <c r="C117" s="84">
        <v>17120</v>
      </c>
      <c r="D117" s="84">
        <v>17040</v>
      </c>
      <c r="E117" s="84"/>
      <c r="F117" s="84"/>
      <c r="G117" s="96">
        <v>11260</v>
      </c>
    </row>
    <row r="118" spans="1:7" s="73" customFormat="1" ht="14.25" customHeight="1">
      <c r="A118" s="84" t="s">
        <v>286</v>
      </c>
      <c r="B118" s="84" t="s">
        <v>2870</v>
      </c>
      <c r="C118" s="84">
        <v>14860</v>
      </c>
      <c r="D118" s="84">
        <v>14790</v>
      </c>
      <c r="E118" s="84"/>
      <c r="F118" s="84"/>
      <c r="G118" s="96">
        <v>9780</v>
      </c>
    </row>
    <row r="119" spans="1:7" s="73" customFormat="1" ht="14.25" customHeight="1">
      <c r="A119" s="84" t="s">
        <v>286</v>
      </c>
      <c r="B119" s="84" t="s">
        <v>2871</v>
      </c>
      <c r="C119" s="84">
        <v>16470</v>
      </c>
      <c r="D119" s="84">
        <v>16400</v>
      </c>
      <c r="E119" s="84"/>
      <c r="F119" s="84"/>
      <c r="G119" s="96">
        <v>10840</v>
      </c>
    </row>
    <row r="120" spans="1:7" s="73" customFormat="1" ht="14.25" customHeight="1">
      <c r="A120" s="84" t="s">
        <v>286</v>
      </c>
      <c r="B120" s="84" t="s">
        <v>2872</v>
      </c>
      <c r="C120" s="84"/>
      <c r="D120" s="84"/>
      <c r="E120" s="84"/>
      <c r="F120" s="84">
        <v>4160</v>
      </c>
      <c r="G120" s="96"/>
    </row>
    <row r="121" spans="1:7" s="73" customFormat="1" ht="14.25" customHeight="1">
      <c r="A121" s="84" t="s">
        <v>286</v>
      </c>
      <c r="B121" s="84" t="s">
        <v>2873</v>
      </c>
      <c r="C121" s="84"/>
      <c r="D121" s="84"/>
      <c r="E121" s="84"/>
      <c r="F121" s="84">
        <v>3880</v>
      </c>
      <c r="G121" s="96"/>
    </row>
    <row r="122" spans="1:7" s="73" customFormat="1" ht="14.25" customHeight="1">
      <c r="A122" s="84" t="s">
        <v>286</v>
      </c>
      <c r="B122" s="84" t="s">
        <v>2874</v>
      </c>
      <c r="C122" s="84">
        <v>13750</v>
      </c>
      <c r="D122" s="84">
        <v>13680</v>
      </c>
      <c r="E122" s="84">
        <v>16460</v>
      </c>
      <c r="F122" s="84">
        <v>2880</v>
      </c>
      <c r="G122" s="96">
        <v>9040</v>
      </c>
    </row>
    <row r="123" spans="1:7" s="73" customFormat="1" ht="14.25" customHeight="1">
      <c r="A123" s="84" t="s">
        <v>286</v>
      </c>
      <c r="B123" s="84" t="s">
        <v>2875</v>
      </c>
      <c r="C123" s="84">
        <v>13590</v>
      </c>
      <c r="D123" s="84">
        <v>13520</v>
      </c>
      <c r="E123" s="84">
        <v>16290</v>
      </c>
      <c r="F123" s="84">
        <v>2790</v>
      </c>
      <c r="G123" s="96">
        <v>8930</v>
      </c>
    </row>
    <row r="124" spans="1:7" s="73" customFormat="1" ht="14.25" customHeight="1">
      <c r="A124" s="84" t="s">
        <v>286</v>
      </c>
      <c r="B124" s="84" t="s">
        <v>2876</v>
      </c>
      <c r="C124" s="84">
        <v>13400</v>
      </c>
      <c r="D124" s="84">
        <v>13320</v>
      </c>
      <c r="E124" s="84">
        <v>16100</v>
      </c>
      <c r="F124" s="84">
        <v>2320</v>
      </c>
      <c r="G124" s="96">
        <v>8800</v>
      </c>
    </row>
    <row r="125" spans="1:7" s="73" customFormat="1" ht="14.25" customHeight="1">
      <c r="A125" s="84" t="s">
        <v>286</v>
      </c>
      <c r="B125" s="84" t="s">
        <v>2877</v>
      </c>
      <c r="C125" s="84">
        <v>12860</v>
      </c>
      <c r="D125" s="84">
        <v>12790</v>
      </c>
      <c r="E125" s="84">
        <v>15370</v>
      </c>
      <c r="F125" s="84">
        <v>2280</v>
      </c>
      <c r="G125" s="96">
        <v>8450</v>
      </c>
    </row>
    <row r="126" spans="1:7" s="73" customFormat="1" ht="14.25" customHeight="1">
      <c r="A126" s="97" t="s">
        <v>286</v>
      </c>
      <c r="B126" s="90" t="s">
        <v>2878</v>
      </c>
      <c r="C126" s="90">
        <v>12960</v>
      </c>
      <c r="D126" s="90">
        <v>12890</v>
      </c>
      <c r="E126" s="90">
        <v>15530</v>
      </c>
      <c r="F126" s="90">
        <v>2910</v>
      </c>
      <c r="G126" s="98">
        <v>8520</v>
      </c>
    </row>
    <row r="127" spans="1:7" s="73" customFormat="1" ht="14.25" customHeight="1">
      <c r="A127" s="88" t="s">
        <v>295</v>
      </c>
      <c r="B127" s="80" t="s">
        <v>2879</v>
      </c>
      <c r="C127" s="84">
        <v>12280</v>
      </c>
      <c r="D127" s="84">
        <v>12250</v>
      </c>
      <c r="E127" s="84">
        <v>15130</v>
      </c>
      <c r="F127" s="84">
        <v>2710</v>
      </c>
      <c r="G127" s="84">
        <v>7870</v>
      </c>
    </row>
    <row r="128" spans="1:7" s="73" customFormat="1" ht="14.25" customHeight="1">
      <c r="A128" s="84" t="s">
        <v>295</v>
      </c>
      <c r="B128" s="84" t="s">
        <v>2880</v>
      </c>
      <c r="C128" s="84">
        <v>13180</v>
      </c>
      <c r="D128" s="84">
        <v>13150</v>
      </c>
      <c r="E128" s="84">
        <v>16190</v>
      </c>
      <c r="F128" s="84">
        <v>2820</v>
      </c>
      <c r="G128" s="84">
        <v>8460</v>
      </c>
    </row>
    <row r="129" spans="1:7" s="73" customFormat="1" ht="14.25" customHeight="1">
      <c r="A129" s="84" t="s">
        <v>295</v>
      </c>
      <c r="B129" s="84" t="s">
        <v>2881</v>
      </c>
      <c r="C129" s="84">
        <v>10950</v>
      </c>
      <c r="D129" s="84">
        <v>10920</v>
      </c>
      <c r="E129" s="84">
        <v>13820</v>
      </c>
      <c r="F129" s="84">
        <v>2500</v>
      </c>
      <c r="G129" s="84">
        <v>7020</v>
      </c>
    </row>
    <row r="130" spans="1:7" s="73" customFormat="1" ht="14.25" customHeight="1">
      <c r="A130" s="84" t="s">
        <v>295</v>
      </c>
      <c r="B130" s="84" t="s">
        <v>2882</v>
      </c>
      <c r="C130" s="84">
        <v>10910</v>
      </c>
      <c r="D130" s="84">
        <v>10860</v>
      </c>
      <c r="E130" s="84">
        <v>13730</v>
      </c>
      <c r="F130" s="84">
        <v>2760</v>
      </c>
      <c r="G130" s="84">
        <v>6990</v>
      </c>
    </row>
    <row r="131" spans="1:7" s="73" customFormat="1" ht="14.25" customHeight="1">
      <c r="A131" s="84" t="s">
        <v>295</v>
      </c>
      <c r="B131" s="84" t="s">
        <v>2883</v>
      </c>
      <c r="C131" s="84">
        <v>12910</v>
      </c>
      <c r="D131" s="84">
        <v>12870</v>
      </c>
      <c r="E131" s="84">
        <v>15720</v>
      </c>
      <c r="F131" s="84">
        <v>2750</v>
      </c>
      <c r="G131" s="84">
        <v>8280</v>
      </c>
    </row>
    <row r="132" spans="1:7" s="73" customFormat="1" ht="14.25" customHeight="1">
      <c r="A132" s="84" t="s">
        <v>295</v>
      </c>
      <c r="B132" s="84" t="s">
        <v>2884</v>
      </c>
      <c r="C132" s="84">
        <v>11910</v>
      </c>
      <c r="D132" s="84">
        <v>11860</v>
      </c>
      <c r="E132" s="84">
        <v>14730</v>
      </c>
      <c r="F132" s="84">
        <v>2360</v>
      </c>
      <c r="G132" s="84">
        <v>7630</v>
      </c>
    </row>
    <row r="133" spans="1:7" s="73" customFormat="1" ht="14.25" customHeight="1">
      <c r="A133" s="84" t="s">
        <v>295</v>
      </c>
      <c r="B133" s="84" t="s">
        <v>2885</v>
      </c>
      <c r="C133" s="84">
        <v>12270</v>
      </c>
      <c r="D133" s="84">
        <v>12210</v>
      </c>
      <c r="E133" s="84">
        <v>15010</v>
      </c>
      <c r="F133" s="84">
        <v>2580</v>
      </c>
      <c r="G133" s="84">
        <v>7860</v>
      </c>
    </row>
    <row r="134" spans="1:7" s="73" customFormat="1" ht="14.25" customHeight="1">
      <c r="A134" s="84" t="s">
        <v>295</v>
      </c>
      <c r="B134" s="84" t="s">
        <v>2886</v>
      </c>
      <c r="C134" s="84">
        <v>10800</v>
      </c>
      <c r="D134" s="84">
        <v>10780</v>
      </c>
      <c r="E134" s="84">
        <v>13640</v>
      </c>
      <c r="F134" s="84">
        <v>2110</v>
      </c>
      <c r="G134" s="84">
        <v>6930</v>
      </c>
    </row>
    <row r="135" spans="1:7" s="73" customFormat="1" ht="14.25" customHeight="1">
      <c r="A135" s="84" t="s">
        <v>295</v>
      </c>
      <c r="B135" s="84" t="s">
        <v>2887</v>
      </c>
      <c r="C135" s="84">
        <v>10430</v>
      </c>
      <c r="D135" s="84">
        <v>10390</v>
      </c>
      <c r="E135" s="84">
        <v>13140</v>
      </c>
      <c r="F135" s="84">
        <v>2240</v>
      </c>
      <c r="G135" s="84">
        <v>6680</v>
      </c>
    </row>
    <row r="136" spans="1:7" s="73" customFormat="1" ht="14.25" customHeight="1">
      <c r="A136" s="84" t="s">
        <v>295</v>
      </c>
      <c r="B136" s="84" t="s">
        <v>2888</v>
      </c>
      <c r="C136" s="84">
        <v>11930</v>
      </c>
      <c r="D136" s="84">
        <v>11880</v>
      </c>
      <c r="E136" s="84">
        <v>14770</v>
      </c>
      <c r="F136" s="84">
        <v>1970</v>
      </c>
      <c r="G136" s="84">
        <v>7640</v>
      </c>
    </row>
    <row r="137" spans="1:7" s="73" customFormat="1" ht="14.25" customHeight="1">
      <c r="A137" s="84" t="s">
        <v>295</v>
      </c>
      <c r="B137" s="84" t="s">
        <v>2889</v>
      </c>
      <c r="C137" s="84">
        <v>10470</v>
      </c>
      <c r="D137" s="84">
        <v>10430</v>
      </c>
      <c r="E137" s="84">
        <v>13190</v>
      </c>
      <c r="F137" s="84">
        <v>1990</v>
      </c>
      <c r="G137" s="84">
        <v>6710</v>
      </c>
    </row>
    <row r="138" spans="1:7" s="73" customFormat="1" ht="14.25" customHeight="1">
      <c r="A138" s="84" t="s">
        <v>295</v>
      </c>
      <c r="B138" s="84" t="s">
        <v>2890</v>
      </c>
      <c r="C138" s="84">
        <v>10410</v>
      </c>
      <c r="D138" s="84">
        <v>10380</v>
      </c>
      <c r="E138" s="84">
        <v>13130</v>
      </c>
      <c r="F138" s="84">
        <v>2030</v>
      </c>
      <c r="G138" s="84">
        <v>6680</v>
      </c>
    </row>
    <row r="139" spans="1:7" s="73" customFormat="1" ht="14.25" customHeight="1">
      <c r="A139" s="84" t="s">
        <v>295</v>
      </c>
      <c r="B139" s="84" t="s">
        <v>2891</v>
      </c>
      <c r="C139" s="84">
        <v>9460</v>
      </c>
      <c r="D139" s="84">
        <v>9410</v>
      </c>
      <c r="E139" s="84">
        <v>12050</v>
      </c>
      <c r="F139" s="84">
        <v>2140</v>
      </c>
      <c r="G139" s="84">
        <v>6050</v>
      </c>
    </row>
    <row r="140" spans="1:7" s="73" customFormat="1" ht="14.25" customHeight="1">
      <c r="A140" s="84" t="s">
        <v>295</v>
      </c>
      <c r="B140" s="84" t="s">
        <v>2892</v>
      </c>
      <c r="C140" s="84">
        <v>11030</v>
      </c>
      <c r="D140" s="84">
        <v>10980</v>
      </c>
      <c r="E140" s="84">
        <v>13880</v>
      </c>
      <c r="F140" s="84">
        <v>2210</v>
      </c>
      <c r="G140" s="84">
        <v>7060</v>
      </c>
    </row>
    <row r="141" spans="1:7" s="73" customFormat="1" ht="14.25" customHeight="1">
      <c r="A141" s="84" t="s">
        <v>295</v>
      </c>
      <c r="B141" s="84" t="s">
        <v>2893</v>
      </c>
      <c r="C141" s="84">
        <v>11200</v>
      </c>
      <c r="D141" s="84">
        <v>11150</v>
      </c>
      <c r="E141" s="84">
        <v>14100</v>
      </c>
      <c r="F141" s="84">
        <v>2470</v>
      </c>
      <c r="G141" s="84">
        <v>7170</v>
      </c>
    </row>
    <row r="142" spans="1:7" s="73" customFormat="1" ht="14.25" customHeight="1">
      <c r="A142" s="84" t="s">
        <v>295</v>
      </c>
      <c r="B142" s="84" t="s">
        <v>2894</v>
      </c>
      <c r="C142" s="84">
        <v>10780</v>
      </c>
      <c r="D142" s="84">
        <v>10730</v>
      </c>
      <c r="E142" s="84">
        <v>13540</v>
      </c>
      <c r="F142" s="84">
        <v>2280</v>
      </c>
      <c r="G142" s="84">
        <v>6900</v>
      </c>
    </row>
    <row r="143" spans="1:7" s="73" customFormat="1" ht="14.25" customHeight="1">
      <c r="A143" s="84" t="s">
        <v>295</v>
      </c>
      <c r="B143" s="84" t="s">
        <v>2895</v>
      </c>
      <c r="C143" s="84">
        <v>11550</v>
      </c>
      <c r="D143" s="84">
        <v>11490</v>
      </c>
      <c r="E143" s="84">
        <v>14480</v>
      </c>
      <c r="F143" s="84">
        <v>2070</v>
      </c>
      <c r="G143" s="84">
        <v>7390</v>
      </c>
    </row>
    <row r="144" spans="1:7" s="73" customFormat="1" ht="14.25" customHeight="1">
      <c r="A144" s="84" t="s">
        <v>295</v>
      </c>
      <c r="B144" s="84" t="s">
        <v>2896</v>
      </c>
      <c r="C144" s="84">
        <v>10720</v>
      </c>
      <c r="D144" s="84">
        <v>10680</v>
      </c>
      <c r="E144" s="84">
        <v>13480</v>
      </c>
      <c r="F144" s="84">
        <v>2440</v>
      </c>
      <c r="G144" s="84">
        <v>6870</v>
      </c>
    </row>
    <row r="145" spans="1:7" s="73" customFormat="1" ht="14.25" customHeight="1">
      <c r="A145" s="84" t="s">
        <v>295</v>
      </c>
      <c r="B145" s="84" t="s">
        <v>2897</v>
      </c>
      <c r="C145" s="84">
        <v>10340</v>
      </c>
      <c r="D145" s="84">
        <v>10290</v>
      </c>
      <c r="E145" s="84">
        <v>12880</v>
      </c>
      <c r="F145" s="84">
        <v>2650</v>
      </c>
      <c r="G145" s="84">
        <v>6620</v>
      </c>
    </row>
    <row r="146" spans="1:7" s="73" customFormat="1" ht="14.25" customHeight="1">
      <c r="A146" s="84" t="s">
        <v>295</v>
      </c>
      <c r="B146" s="84" t="s">
        <v>2898</v>
      </c>
      <c r="C146" s="84">
        <v>11890</v>
      </c>
      <c r="D146" s="84">
        <v>11830</v>
      </c>
      <c r="E146" s="84">
        <v>14670</v>
      </c>
      <c r="F146" s="84"/>
      <c r="G146" s="84">
        <v>7610</v>
      </c>
    </row>
    <row r="147" spans="1:7" s="73" customFormat="1" ht="14.25" customHeight="1">
      <c r="A147" s="84" t="s">
        <v>295</v>
      </c>
      <c r="B147" s="84" t="s">
        <v>2899</v>
      </c>
      <c r="C147" s="84">
        <v>12650</v>
      </c>
      <c r="D147" s="84">
        <v>12600</v>
      </c>
      <c r="E147" s="84">
        <v>15440</v>
      </c>
      <c r="F147" s="84"/>
      <c r="G147" s="84">
        <v>8110</v>
      </c>
    </row>
    <row r="148" spans="1:7" s="73" customFormat="1" ht="14.25" customHeight="1">
      <c r="A148" s="84" t="s">
        <v>295</v>
      </c>
      <c r="B148" s="84" t="s">
        <v>2900</v>
      </c>
      <c r="C148" s="84">
        <v>10370</v>
      </c>
      <c r="D148" s="84">
        <v>10310</v>
      </c>
      <c r="E148" s="84">
        <v>12970</v>
      </c>
      <c r="F148" s="84"/>
      <c r="G148" s="84">
        <v>6630</v>
      </c>
    </row>
    <row r="149" spans="1:7" s="73" customFormat="1" ht="14.25" customHeight="1">
      <c r="A149" s="84" t="s">
        <v>295</v>
      </c>
      <c r="B149" s="84" t="s">
        <v>2901</v>
      </c>
      <c r="C149" s="84">
        <v>11600</v>
      </c>
      <c r="D149" s="84">
        <v>11560</v>
      </c>
      <c r="E149" s="84">
        <v>14540</v>
      </c>
      <c r="F149" s="84">
        <v>2390</v>
      </c>
      <c r="G149" s="84">
        <v>7430</v>
      </c>
    </row>
    <row r="150" spans="1:7" s="73" customFormat="1" ht="14.25" customHeight="1">
      <c r="A150" s="84" t="s">
        <v>295</v>
      </c>
      <c r="B150" s="84" t="s">
        <v>2902</v>
      </c>
      <c r="C150" s="84">
        <v>9950</v>
      </c>
      <c r="D150" s="84">
        <v>9890</v>
      </c>
      <c r="E150" s="84">
        <v>12590</v>
      </c>
      <c r="F150" s="84">
        <v>1970</v>
      </c>
      <c r="G150" s="84">
        <v>6360</v>
      </c>
    </row>
    <row r="151" spans="1:7" s="73" customFormat="1" ht="14.25" customHeight="1">
      <c r="A151" s="84" t="s">
        <v>295</v>
      </c>
      <c r="B151" s="84" t="s">
        <v>2903</v>
      </c>
      <c r="C151" s="84">
        <v>10700</v>
      </c>
      <c r="D151" s="84">
        <v>10650</v>
      </c>
      <c r="E151" s="84">
        <v>13420</v>
      </c>
      <c r="F151" s="84">
        <v>2020</v>
      </c>
      <c r="G151" s="84">
        <v>6850</v>
      </c>
    </row>
    <row r="152" spans="1:7" s="73" customFormat="1" ht="14.25" customHeight="1">
      <c r="A152" s="84" t="s">
        <v>295</v>
      </c>
      <c r="B152" s="84" t="s">
        <v>2904</v>
      </c>
      <c r="C152" s="84">
        <v>10310</v>
      </c>
      <c r="D152" s="84">
        <v>10260</v>
      </c>
      <c r="E152" s="84">
        <v>12820</v>
      </c>
      <c r="F152" s="84">
        <v>1980</v>
      </c>
      <c r="G152" s="84">
        <v>6600</v>
      </c>
    </row>
    <row r="153" spans="1:7" s="73" customFormat="1" ht="14.25" customHeight="1">
      <c r="A153" s="84" t="s">
        <v>295</v>
      </c>
      <c r="B153" s="84" t="s">
        <v>2905</v>
      </c>
      <c r="C153" s="84">
        <v>10880</v>
      </c>
      <c r="D153" s="84">
        <v>10820</v>
      </c>
      <c r="E153" s="84">
        <v>13660</v>
      </c>
      <c r="F153" s="84">
        <v>2260</v>
      </c>
      <c r="G153" s="84">
        <v>6970</v>
      </c>
    </row>
    <row r="154" spans="1:7" s="73" customFormat="1" ht="14.25" customHeight="1">
      <c r="A154" s="84" t="s">
        <v>295</v>
      </c>
      <c r="B154" s="84" t="s">
        <v>2906</v>
      </c>
      <c r="C154" s="84">
        <v>11220</v>
      </c>
      <c r="D154" s="84">
        <v>11160</v>
      </c>
      <c r="E154" s="84">
        <v>14130</v>
      </c>
      <c r="F154" s="84">
        <v>2230</v>
      </c>
      <c r="G154" s="84">
        <v>7180</v>
      </c>
    </row>
    <row r="155" spans="1:7" s="73" customFormat="1" ht="14.25" customHeight="1">
      <c r="A155" s="84" t="s">
        <v>295</v>
      </c>
      <c r="B155" s="84" t="s">
        <v>2907</v>
      </c>
      <c r="C155" s="84">
        <v>10430</v>
      </c>
      <c r="D155" s="84">
        <v>10380</v>
      </c>
      <c r="E155" s="84">
        <v>13140</v>
      </c>
      <c r="F155" s="84">
        <v>2080</v>
      </c>
      <c r="G155" s="84">
        <v>6650</v>
      </c>
    </row>
    <row r="156" spans="1:7" s="73" customFormat="1" ht="14.25" customHeight="1">
      <c r="A156" s="84" t="s">
        <v>295</v>
      </c>
      <c r="B156" s="84" t="s">
        <v>2908</v>
      </c>
      <c r="C156" s="84">
        <v>10440</v>
      </c>
      <c r="D156" s="84">
        <v>10400</v>
      </c>
      <c r="E156" s="84">
        <v>13150</v>
      </c>
      <c r="F156" s="84">
        <v>2490</v>
      </c>
      <c r="G156" s="84">
        <v>6690</v>
      </c>
    </row>
    <row r="157" spans="1:7" s="73" customFormat="1" ht="14.25" customHeight="1">
      <c r="A157" s="84" t="s">
        <v>295</v>
      </c>
      <c r="B157" s="84" t="s">
        <v>2909</v>
      </c>
      <c r="C157" s="84">
        <v>10970</v>
      </c>
      <c r="D157" s="84">
        <v>10920</v>
      </c>
      <c r="E157" s="84">
        <v>13840</v>
      </c>
      <c r="F157" s="84">
        <v>2420</v>
      </c>
      <c r="G157" s="84">
        <v>7020</v>
      </c>
    </row>
    <row r="158" spans="1:7" s="73" customFormat="1" ht="14.25" customHeight="1">
      <c r="A158" s="84" t="s">
        <v>295</v>
      </c>
      <c r="B158" s="84" t="s">
        <v>2910</v>
      </c>
      <c r="C158" s="84">
        <v>9590</v>
      </c>
      <c r="D158" s="84">
        <v>9540</v>
      </c>
      <c r="E158" s="84">
        <v>12210</v>
      </c>
      <c r="F158" s="84">
        <v>2100</v>
      </c>
      <c r="G158" s="84">
        <v>6130</v>
      </c>
    </row>
    <row r="159" spans="1:7" s="73" customFormat="1" ht="14.25" customHeight="1">
      <c r="A159" s="84" t="s">
        <v>295</v>
      </c>
      <c r="B159" s="84" t="s">
        <v>2911</v>
      </c>
      <c r="C159" s="84">
        <v>11190</v>
      </c>
      <c r="D159" s="84">
        <v>11140</v>
      </c>
      <c r="E159" s="84">
        <v>14090</v>
      </c>
      <c r="F159" s="84">
        <v>2470</v>
      </c>
      <c r="G159" s="84">
        <v>7170</v>
      </c>
    </row>
    <row r="160" spans="1:7" s="73" customFormat="1" ht="14.25" customHeight="1">
      <c r="A160" s="84" t="s">
        <v>295</v>
      </c>
      <c r="B160" s="84" t="s">
        <v>2912</v>
      </c>
      <c r="C160" s="84">
        <v>11180</v>
      </c>
      <c r="D160" s="84">
        <v>11140</v>
      </c>
      <c r="E160" s="84">
        <v>14050</v>
      </c>
      <c r="F160" s="84">
        <v>2270</v>
      </c>
      <c r="G160" s="84">
        <v>7170</v>
      </c>
    </row>
    <row r="161" spans="1:7" s="73" customFormat="1" ht="14.25" customHeight="1">
      <c r="A161" s="84" t="s">
        <v>295</v>
      </c>
      <c r="B161" s="84" t="s">
        <v>2913</v>
      </c>
      <c r="C161" s="84">
        <v>11160</v>
      </c>
      <c r="D161" s="84">
        <v>11120</v>
      </c>
      <c r="E161" s="84">
        <v>14020</v>
      </c>
      <c r="F161" s="84">
        <v>2150</v>
      </c>
      <c r="G161" s="84">
        <v>7160</v>
      </c>
    </row>
    <row r="162" spans="1:7" s="73" customFormat="1" ht="14.25" customHeight="1">
      <c r="A162" s="84" t="s">
        <v>295</v>
      </c>
      <c r="B162" s="84" t="s">
        <v>2914</v>
      </c>
      <c r="C162" s="84">
        <v>9620</v>
      </c>
      <c r="D162" s="84">
        <v>9570</v>
      </c>
      <c r="E162" s="84">
        <v>12320</v>
      </c>
      <c r="F162" s="84">
        <v>2010</v>
      </c>
      <c r="G162" s="84">
        <v>6160</v>
      </c>
    </row>
    <row r="163" spans="1:7" s="73" customFormat="1" ht="14.25" customHeight="1">
      <c r="A163" s="84" t="s">
        <v>295</v>
      </c>
      <c r="B163" s="84" t="s">
        <v>2915</v>
      </c>
      <c r="C163" s="84">
        <v>9320</v>
      </c>
      <c r="D163" s="84">
        <v>9270</v>
      </c>
      <c r="E163" s="84">
        <v>11790</v>
      </c>
      <c r="F163" s="84">
        <v>1920</v>
      </c>
      <c r="G163" s="84">
        <v>5960</v>
      </c>
    </row>
    <row r="164" spans="1:7" s="73" customFormat="1" ht="14.25" customHeight="1">
      <c r="A164" s="84" t="s">
        <v>295</v>
      </c>
      <c r="B164" s="84" t="s">
        <v>2916</v>
      </c>
      <c r="C164" s="84"/>
      <c r="D164" s="84"/>
      <c r="E164" s="84"/>
      <c r="F164" s="84">
        <v>1980</v>
      </c>
      <c r="G164" s="84"/>
    </row>
    <row r="165" spans="1:7" s="73" customFormat="1" ht="14.25" customHeight="1">
      <c r="A165" s="84" t="s">
        <v>295</v>
      </c>
      <c r="B165" s="84" t="s">
        <v>2917</v>
      </c>
      <c r="C165" s="84">
        <v>11060</v>
      </c>
      <c r="D165" s="84">
        <v>11030</v>
      </c>
      <c r="E165" s="84">
        <v>13850</v>
      </c>
      <c r="F165" s="84">
        <v>2170</v>
      </c>
      <c r="G165" s="84">
        <v>7090</v>
      </c>
    </row>
    <row r="166" spans="1:7" s="73" customFormat="1" ht="14.25" customHeight="1">
      <c r="A166" s="84" t="s">
        <v>295</v>
      </c>
      <c r="B166" s="84" t="s">
        <v>2918</v>
      </c>
      <c r="C166" s="84">
        <v>11050</v>
      </c>
      <c r="D166" s="84">
        <v>11010</v>
      </c>
      <c r="E166" s="84">
        <v>13920</v>
      </c>
      <c r="F166" s="84">
        <v>2140</v>
      </c>
      <c r="G166" s="84">
        <v>7080</v>
      </c>
    </row>
    <row r="167" spans="1:7" s="73" customFormat="1" ht="14.25" customHeight="1">
      <c r="A167" s="84" t="s">
        <v>295</v>
      </c>
      <c r="B167" s="84" t="s">
        <v>2919</v>
      </c>
      <c r="C167" s="84">
        <v>10930</v>
      </c>
      <c r="D167" s="84">
        <v>10890</v>
      </c>
      <c r="E167" s="84">
        <v>13790</v>
      </c>
      <c r="F167" s="84">
        <v>2010</v>
      </c>
      <c r="G167" s="84">
        <v>7000</v>
      </c>
    </row>
    <row r="168" spans="1:7" s="73" customFormat="1" ht="14.25" customHeight="1">
      <c r="A168" s="84" t="s">
        <v>295</v>
      </c>
      <c r="B168" s="84" t="s">
        <v>2920</v>
      </c>
      <c r="C168" s="84">
        <v>9420</v>
      </c>
      <c r="D168" s="84">
        <v>9380</v>
      </c>
      <c r="E168" s="84">
        <v>11970</v>
      </c>
      <c r="F168" s="84"/>
      <c r="G168" s="84">
        <v>6040</v>
      </c>
    </row>
    <row r="169" spans="1:7" s="73" customFormat="1" ht="14.25" customHeight="1">
      <c r="A169" s="84" t="s">
        <v>295</v>
      </c>
      <c r="B169" s="84" t="s">
        <v>2921</v>
      </c>
      <c r="C169" s="84"/>
      <c r="D169" s="84"/>
      <c r="E169" s="84"/>
      <c r="F169" s="84">
        <v>2880</v>
      </c>
      <c r="G169" s="84"/>
    </row>
    <row r="170" spans="1:7" s="73" customFormat="1" ht="14.25" customHeight="1">
      <c r="A170" s="84" t="s">
        <v>295</v>
      </c>
      <c r="B170" s="84" t="s">
        <v>2922</v>
      </c>
      <c r="C170" s="84"/>
      <c r="D170" s="84"/>
      <c r="E170" s="84"/>
      <c r="F170" s="84">
        <v>2880</v>
      </c>
      <c r="G170" s="84"/>
    </row>
    <row r="171" spans="1:7" s="73" customFormat="1" ht="14.25" customHeight="1">
      <c r="A171" s="84" t="s">
        <v>295</v>
      </c>
      <c r="B171" s="84" t="s">
        <v>2923</v>
      </c>
      <c r="C171" s="84"/>
      <c r="D171" s="84"/>
      <c r="E171" s="84"/>
      <c r="F171" s="84">
        <v>2880</v>
      </c>
      <c r="G171" s="84"/>
    </row>
    <row r="172" spans="1:7" s="73" customFormat="1" ht="14.25" customHeight="1">
      <c r="A172" s="84" t="s">
        <v>295</v>
      </c>
      <c r="B172" s="84" t="s">
        <v>2924</v>
      </c>
      <c r="C172" s="84"/>
      <c r="D172" s="84"/>
      <c r="E172" s="84"/>
      <c r="F172" s="84">
        <v>2880</v>
      </c>
      <c r="G172" s="84"/>
    </row>
    <row r="173" spans="1:7" s="73" customFormat="1" ht="14.25" customHeight="1">
      <c r="A173" s="84" t="s">
        <v>295</v>
      </c>
      <c r="B173" s="84" t="s">
        <v>2925</v>
      </c>
      <c r="C173" s="84"/>
      <c r="D173" s="84"/>
      <c r="E173" s="84"/>
      <c r="F173" s="84">
        <v>2150</v>
      </c>
      <c r="G173" s="84"/>
    </row>
    <row r="174" spans="1:7" s="73" customFormat="1" ht="14.25" customHeight="1">
      <c r="A174" s="84" t="s">
        <v>295</v>
      </c>
      <c r="B174" s="84" t="s">
        <v>2926</v>
      </c>
      <c r="C174" s="84"/>
      <c r="D174" s="84"/>
      <c r="E174" s="84"/>
      <c r="F174" s="84">
        <v>2030</v>
      </c>
      <c r="G174" s="84"/>
    </row>
    <row r="175" spans="1:7" s="73" customFormat="1" ht="14.25" customHeight="1">
      <c r="A175" s="84" t="s">
        <v>295</v>
      </c>
      <c r="B175" s="84" t="s">
        <v>2927</v>
      </c>
      <c r="C175" s="84"/>
      <c r="D175" s="84"/>
      <c r="E175" s="84"/>
      <c r="F175" s="84">
        <v>2780</v>
      </c>
      <c r="G175" s="84"/>
    </row>
    <row r="176" spans="1:7" s="73" customFormat="1" ht="14.25" customHeight="1">
      <c r="A176" s="84" t="s">
        <v>295</v>
      </c>
      <c r="B176" s="84" t="s">
        <v>2928</v>
      </c>
      <c r="C176" s="84"/>
      <c r="D176" s="84"/>
      <c r="E176" s="84"/>
      <c r="F176" s="84">
        <v>2780</v>
      </c>
      <c r="G176" s="84"/>
    </row>
    <row r="177" spans="1:7" s="73" customFormat="1" ht="14.25" customHeight="1">
      <c r="A177" s="84" t="s">
        <v>295</v>
      </c>
      <c r="B177" s="84" t="s">
        <v>2929</v>
      </c>
      <c r="C177" s="84"/>
      <c r="D177" s="84"/>
      <c r="E177" s="84"/>
      <c r="F177" s="84">
        <v>2780</v>
      </c>
      <c r="G177" s="84"/>
    </row>
    <row r="178" spans="1:7" s="73" customFormat="1" ht="14.25" customHeight="1">
      <c r="A178" s="84" t="s">
        <v>295</v>
      </c>
      <c r="B178" s="84" t="s">
        <v>2930</v>
      </c>
      <c r="C178" s="84"/>
      <c r="D178" s="84"/>
      <c r="E178" s="84"/>
      <c r="F178" s="84">
        <v>2060</v>
      </c>
      <c r="G178" s="84"/>
    </row>
    <row r="179" spans="1:7" s="73" customFormat="1" ht="14.25" customHeight="1">
      <c r="A179" s="84" t="s">
        <v>295</v>
      </c>
      <c r="B179" s="84" t="s">
        <v>2931</v>
      </c>
      <c r="C179" s="84"/>
      <c r="D179" s="84"/>
      <c r="E179" s="84"/>
      <c r="F179" s="84">
        <v>2120</v>
      </c>
      <c r="G179" s="84"/>
    </row>
    <row r="180" spans="1:7" s="73" customFormat="1" ht="14.25" customHeight="1">
      <c r="A180" s="84" t="s">
        <v>295</v>
      </c>
      <c r="B180" s="84" t="s">
        <v>2932</v>
      </c>
      <c r="C180" s="84"/>
      <c r="D180" s="84"/>
      <c r="E180" s="84"/>
      <c r="F180" s="84">
        <v>2340</v>
      </c>
      <c r="G180" s="84"/>
    </row>
    <row r="181" spans="1:7" s="73" customFormat="1" ht="14.25" customHeight="1">
      <c r="A181" s="84" t="s">
        <v>295</v>
      </c>
      <c r="B181" s="84" t="s">
        <v>2933</v>
      </c>
      <c r="C181" s="84"/>
      <c r="D181" s="84"/>
      <c r="E181" s="84"/>
      <c r="F181" s="84">
        <v>2340</v>
      </c>
      <c r="G181" s="84"/>
    </row>
    <row r="182" spans="1:7" s="73" customFormat="1" ht="14.25" customHeight="1">
      <c r="A182" s="84" t="s">
        <v>295</v>
      </c>
      <c r="B182" s="84" t="s">
        <v>2934</v>
      </c>
      <c r="C182" s="84"/>
      <c r="D182" s="84"/>
      <c r="E182" s="84"/>
      <c r="F182" s="84">
        <v>2340</v>
      </c>
      <c r="G182" s="84"/>
    </row>
    <row r="183" spans="1:7" s="73" customFormat="1" ht="14.25" customHeight="1">
      <c r="A183" s="84" t="s">
        <v>295</v>
      </c>
      <c r="B183" s="84" t="s">
        <v>2935</v>
      </c>
      <c r="C183" s="84"/>
      <c r="D183" s="84"/>
      <c r="E183" s="84"/>
      <c r="F183" s="84">
        <v>2340</v>
      </c>
      <c r="G183" s="84"/>
    </row>
    <row r="184" spans="1:7" s="73" customFormat="1" ht="14.25" customHeight="1">
      <c r="A184" s="84" t="s">
        <v>295</v>
      </c>
      <c r="B184" s="84" t="s">
        <v>2936</v>
      </c>
      <c r="C184" s="84"/>
      <c r="D184" s="84"/>
      <c r="E184" s="84"/>
      <c r="F184" s="84">
        <v>2340</v>
      </c>
      <c r="G184" s="84"/>
    </row>
    <row r="185" spans="1:7" s="73" customFormat="1" ht="14.25" customHeight="1">
      <c r="A185" s="84" t="s">
        <v>295</v>
      </c>
      <c r="B185" s="84" t="s">
        <v>2937</v>
      </c>
      <c r="C185" s="84"/>
      <c r="D185" s="84"/>
      <c r="E185" s="84"/>
      <c r="F185" s="84">
        <v>2530</v>
      </c>
      <c r="G185" s="84"/>
    </row>
    <row r="186" spans="1:7" s="73" customFormat="1" ht="14.25" customHeight="1">
      <c r="A186" s="84" t="s">
        <v>295</v>
      </c>
      <c r="B186" s="84" t="s">
        <v>2938</v>
      </c>
      <c r="C186" s="84"/>
      <c r="D186" s="84"/>
      <c r="E186" s="84"/>
      <c r="F186" s="84">
        <v>2550</v>
      </c>
      <c r="G186" s="84"/>
    </row>
    <row r="187" spans="1:7" s="73" customFormat="1" ht="14.25" customHeight="1">
      <c r="A187" s="84" t="s">
        <v>295</v>
      </c>
      <c r="B187" s="84" t="s">
        <v>2939</v>
      </c>
      <c r="C187" s="84"/>
      <c r="D187" s="84"/>
      <c r="E187" s="84"/>
      <c r="F187" s="84">
        <v>2070</v>
      </c>
      <c r="G187" s="84"/>
    </row>
    <row r="188" spans="1:7" s="73" customFormat="1" ht="14.25" customHeight="1">
      <c r="A188" s="84" t="s">
        <v>295</v>
      </c>
      <c r="B188" s="84" t="s">
        <v>2940</v>
      </c>
      <c r="C188" s="84"/>
      <c r="D188" s="84"/>
      <c r="E188" s="84"/>
      <c r="F188" s="84">
        <v>2340</v>
      </c>
      <c r="G188" s="84"/>
    </row>
    <row r="189" spans="1:7" s="73" customFormat="1" ht="14.25" customHeight="1">
      <c r="A189" s="91" t="s">
        <v>295</v>
      </c>
      <c r="B189" s="94" t="s">
        <v>2941</v>
      </c>
      <c r="C189" s="94"/>
      <c r="D189" s="94"/>
      <c r="E189" s="94"/>
      <c r="F189" s="94">
        <v>2050</v>
      </c>
      <c r="G189" s="94"/>
    </row>
    <row r="190" spans="1:7" s="73" customFormat="1" ht="14.25" customHeight="1">
      <c r="A190" s="88" t="s">
        <v>303</v>
      </c>
      <c r="B190" s="80" t="s">
        <v>2942</v>
      </c>
      <c r="C190" s="80">
        <v>8830</v>
      </c>
      <c r="D190" s="80">
        <v>8790</v>
      </c>
      <c r="E190" s="80">
        <v>11630</v>
      </c>
      <c r="F190" s="80">
        <v>1790</v>
      </c>
      <c r="G190" s="95">
        <v>5550</v>
      </c>
    </row>
    <row r="191" spans="1:7" s="73" customFormat="1" ht="14.25" customHeight="1">
      <c r="A191" s="84" t="s">
        <v>303</v>
      </c>
      <c r="B191" s="84" t="s">
        <v>2943</v>
      </c>
      <c r="C191" s="84">
        <v>9780</v>
      </c>
      <c r="D191" s="84">
        <v>9710</v>
      </c>
      <c r="E191" s="84">
        <v>12550</v>
      </c>
      <c r="F191" s="84">
        <v>1980</v>
      </c>
      <c r="G191" s="96">
        <v>6130</v>
      </c>
    </row>
    <row r="192" spans="1:7" s="73" customFormat="1" ht="14.25" customHeight="1">
      <c r="A192" s="84" t="s">
        <v>303</v>
      </c>
      <c r="B192" s="84" t="s">
        <v>2944</v>
      </c>
      <c r="C192" s="84">
        <v>8180</v>
      </c>
      <c r="D192" s="84">
        <v>8140</v>
      </c>
      <c r="E192" s="84">
        <v>10870</v>
      </c>
      <c r="F192" s="84">
        <v>1690</v>
      </c>
      <c r="G192" s="96">
        <v>5140</v>
      </c>
    </row>
    <row r="193" spans="1:7" s="73" customFormat="1" ht="14.25" customHeight="1">
      <c r="A193" s="84" t="s">
        <v>303</v>
      </c>
      <c r="B193" s="84" t="s">
        <v>2945</v>
      </c>
      <c r="C193" s="84">
        <v>8440</v>
      </c>
      <c r="D193" s="84">
        <v>8390</v>
      </c>
      <c r="E193" s="84">
        <v>11210</v>
      </c>
      <c r="F193" s="84">
        <v>1600</v>
      </c>
      <c r="G193" s="96">
        <v>5300</v>
      </c>
    </row>
    <row r="194" spans="1:7" s="73" customFormat="1" ht="14.25" customHeight="1">
      <c r="A194" s="84" t="s">
        <v>303</v>
      </c>
      <c r="B194" s="84" t="s">
        <v>2946</v>
      </c>
      <c r="C194" s="84">
        <v>8780</v>
      </c>
      <c r="D194" s="84">
        <v>8730</v>
      </c>
      <c r="E194" s="84">
        <v>11550</v>
      </c>
      <c r="F194" s="84">
        <v>1660</v>
      </c>
      <c r="G194" s="96">
        <v>5520</v>
      </c>
    </row>
    <row r="195" spans="1:7" s="73" customFormat="1" ht="14.25" customHeight="1">
      <c r="A195" s="84" t="s">
        <v>303</v>
      </c>
      <c r="B195" s="84" t="s">
        <v>2947</v>
      </c>
      <c r="C195" s="84">
        <v>8720</v>
      </c>
      <c r="D195" s="84">
        <v>8670</v>
      </c>
      <c r="E195" s="84">
        <v>11450</v>
      </c>
      <c r="F195" s="84">
        <v>1720</v>
      </c>
      <c r="G195" s="96">
        <v>5480</v>
      </c>
    </row>
    <row r="196" spans="1:7" s="73" customFormat="1" ht="14.25" customHeight="1">
      <c r="A196" s="84" t="s">
        <v>303</v>
      </c>
      <c r="B196" s="84" t="s">
        <v>2948</v>
      </c>
      <c r="C196" s="84">
        <v>8460</v>
      </c>
      <c r="D196" s="84">
        <v>8410</v>
      </c>
      <c r="E196" s="84">
        <v>11230</v>
      </c>
      <c r="F196" s="84">
        <v>1730</v>
      </c>
      <c r="G196" s="96">
        <v>5310</v>
      </c>
    </row>
    <row r="197" spans="1:7" s="73" customFormat="1" ht="14.25" customHeight="1">
      <c r="A197" s="84" t="s">
        <v>303</v>
      </c>
      <c r="B197" s="84" t="s">
        <v>2949</v>
      </c>
      <c r="C197" s="84">
        <v>8790</v>
      </c>
      <c r="D197" s="84">
        <v>8730</v>
      </c>
      <c r="E197" s="84">
        <v>11560</v>
      </c>
      <c r="F197" s="84">
        <v>1750</v>
      </c>
      <c r="G197" s="96">
        <v>5520</v>
      </c>
    </row>
    <row r="198" spans="1:7" s="73" customFormat="1" ht="14.25" customHeight="1">
      <c r="A198" s="84" t="s">
        <v>303</v>
      </c>
      <c r="B198" s="84" t="s">
        <v>2950</v>
      </c>
      <c r="C198" s="84">
        <v>8720</v>
      </c>
      <c r="D198" s="84">
        <v>8680</v>
      </c>
      <c r="E198" s="84">
        <v>11470</v>
      </c>
      <c r="F198" s="84"/>
      <c r="G198" s="96">
        <v>5480</v>
      </c>
    </row>
    <row r="199" spans="1:7" s="73" customFormat="1" ht="14.25" customHeight="1">
      <c r="A199" s="84" t="s">
        <v>303</v>
      </c>
      <c r="B199" s="84" t="s">
        <v>2951</v>
      </c>
      <c r="C199" s="84">
        <v>8690</v>
      </c>
      <c r="D199" s="84">
        <v>8630</v>
      </c>
      <c r="E199" s="84">
        <v>11350</v>
      </c>
      <c r="F199" s="84">
        <v>1600</v>
      </c>
      <c r="G199" s="96">
        <v>5450</v>
      </c>
    </row>
    <row r="200" spans="1:7" s="73" customFormat="1" ht="14.25" customHeight="1">
      <c r="A200" s="84" t="s">
        <v>303</v>
      </c>
      <c r="B200" s="84" t="s">
        <v>2952</v>
      </c>
      <c r="C200" s="84"/>
      <c r="D200" s="84"/>
      <c r="E200" s="84"/>
      <c r="F200" s="84">
        <v>1510</v>
      </c>
      <c r="G200" s="96"/>
    </row>
    <row r="201" spans="1:7" s="73" customFormat="1" ht="14.25" customHeight="1">
      <c r="A201" s="84" t="s">
        <v>303</v>
      </c>
      <c r="B201" s="84" t="s">
        <v>2953</v>
      </c>
      <c r="C201" s="84">
        <v>8440</v>
      </c>
      <c r="D201" s="84">
        <v>8390</v>
      </c>
      <c r="E201" s="84">
        <v>10930</v>
      </c>
      <c r="F201" s="84">
        <v>1500</v>
      </c>
      <c r="G201" s="96">
        <v>5300</v>
      </c>
    </row>
    <row r="202" spans="1:7" s="73" customFormat="1" ht="14.25" customHeight="1">
      <c r="A202" s="84" t="s">
        <v>303</v>
      </c>
      <c r="B202" s="84" t="s">
        <v>2954</v>
      </c>
      <c r="C202" s="84">
        <v>8530</v>
      </c>
      <c r="D202" s="84">
        <v>8490</v>
      </c>
      <c r="E202" s="84">
        <v>11160</v>
      </c>
      <c r="F202" s="84">
        <v>1580</v>
      </c>
      <c r="G202" s="96">
        <v>5360</v>
      </c>
    </row>
    <row r="203" spans="1:7" s="73" customFormat="1" ht="14.25" customHeight="1">
      <c r="A203" s="84" t="s">
        <v>303</v>
      </c>
      <c r="B203" s="84" t="s">
        <v>2955</v>
      </c>
      <c r="C203" s="84">
        <v>8130</v>
      </c>
      <c r="D203" s="84">
        <v>8070</v>
      </c>
      <c r="E203" s="84">
        <v>10820</v>
      </c>
      <c r="F203" s="84">
        <v>1690</v>
      </c>
      <c r="G203" s="96">
        <v>5100</v>
      </c>
    </row>
    <row r="204" spans="1:7" s="73" customFormat="1" ht="14.25" customHeight="1">
      <c r="A204" s="84" t="s">
        <v>303</v>
      </c>
      <c r="B204" s="84" t="s">
        <v>2956</v>
      </c>
      <c r="C204" s="84">
        <v>8350</v>
      </c>
      <c r="D204" s="84">
        <v>8290</v>
      </c>
      <c r="E204" s="84">
        <v>11080</v>
      </c>
      <c r="F204" s="84">
        <v>1450</v>
      </c>
      <c r="G204" s="96">
        <v>5240</v>
      </c>
    </row>
    <row r="205" spans="1:7" s="73" customFormat="1" ht="14.25" customHeight="1">
      <c r="A205" s="84" t="s">
        <v>303</v>
      </c>
      <c r="B205" s="84" t="s">
        <v>2957</v>
      </c>
      <c r="C205" s="84">
        <v>7190</v>
      </c>
      <c r="D205" s="84">
        <v>7130</v>
      </c>
      <c r="E205" s="84">
        <v>9490</v>
      </c>
      <c r="F205" s="84">
        <v>1470</v>
      </c>
      <c r="G205" s="96">
        <v>4510</v>
      </c>
    </row>
    <row r="206" spans="1:7" s="73" customFormat="1" ht="14.25" customHeight="1">
      <c r="A206" s="84" t="s">
        <v>303</v>
      </c>
      <c r="B206" s="84" t="s">
        <v>2958</v>
      </c>
      <c r="C206" s="84">
        <v>7000</v>
      </c>
      <c r="D206" s="84">
        <v>6950</v>
      </c>
      <c r="E206" s="84">
        <v>9170</v>
      </c>
      <c r="F206" s="84">
        <v>1400</v>
      </c>
      <c r="G206" s="96">
        <v>4380</v>
      </c>
    </row>
    <row r="207" spans="1:7" s="73" customFormat="1" ht="14.25" customHeight="1">
      <c r="A207" s="84" t="s">
        <v>303</v>
      </c>
      <c r="B207" s="84" t="s">
        <v>2959</v>
      </c>
      <c r="C207" s="84">
        <v>6950</v>
      </c>
      <c r="D207" s="84">
        <v>6900</v>
      </c>
      <c r="E207" s="84">
        <v>9110</v>
      </c>
      <c r="F207" s="84">
        <v>1790</v>
      </c>
      <c r="G207" s="96">
        <v>4360</v>
      </c>
    </row>
    <row r="208" spans="1:7" s="73" customFormat="1" ht="14.25" customHeight="1">
      <c r="A208" s="84" t="s">
        <v>303</v>
      </c>
      <c r="B208" s="84" t="s">
        <v>2960</v>
      </c>
      <c r="C208" s="84">
        <v>9470</v>
      </c>
      <c r="D208" s="84">
        <v>9410</v>
      </c>
      <c r="E208" s="84">
        <v>12330</v>
      </c>
      <c r="F208" s="84">
        <v>1770</v>
      </c>
      <c r="G208" s="96">
        <v>5940</v>
      </c>
    </row>
    <row r="209" spans="1:7" s="73" customFormat="1" ht="14.25" customHeight="1">
      <c r="A209" s="84" t="s">
        <v>303</v>
      </c>
      <c r="B209" s="84" t="s">
        <v>2961</v>
      </c>
      <c r="C209" s="84">
        <v>8740</v>
      </c>
      <c r="D209" s="84">
        <v>8700</v>
      </c>
      <c r="E209" s="84">
        <v>11500</v>
      </c>
      <c r="F209" s="84">
        <v>1730</v>
      </c>
      <c r="G209" s="96">
        <v>5490</v>
      </c>
    </row>
    <row r="210" spans="1:7" s="73" customFormat="1" ht="14.25" customHeight="1">
      <c r="A210" s="84" t="s">
        <v>303</v>
      </c>
      <c r="B210" s="84" t="s">
        <v>2962</v>
      </c>
      <c r="C210" s="84">
        <v>8710</v>
      </c>
      <c r="D210" s="84">
        <v>8660</v>
      </c>
      <c r="E210" s="84">
        <v>11440</v>
      </c>
      <c r="F210" s="84">
        <v>1740</v>
      </c>
      <c r="G210" s="96">
        <v>5470</v>
      </c>
    </row>
    <row r="211" spans="1:7" s="73" customFormat="1" ht="14.25" customHeight="1">
      <c r="A211" s="84" t="s">
        <v>303</v>
      </c>
      <c r="B211" s="84" t="s">
        <v>2963</v>
      </c>
      <c r="C211" s="84">
        <v>9480</v>
      </c>
      <c r="D211" s="84">
        <v>9430</v>
      </c>
      <c r="E211" s="84">
        <v>12360</v>
      </c>
      <c r="F211" s="84">
        <v>1820</v>
      </c>
      <c r="G211" s="96">
        <v>5950</v>
      </c>
    </row>
    <row r="212" spans="1:7" s="73" customFormat="1" ht="14.25" customHeight="1">
      <c r="A212" s="84" t="s">
        <v>303</v>
      </c>
      <c r="B212" s="84" t="s">
        <v>2964</v>
      </c>
      <c r="C212" s="84">
        <v>9070</v>
      </c>
      <c r="D212" s="84">
        <v>9020</v>
      </c>
      <c r="E212" s="84">
        <v>11720</v>
      </c>
      <c r="F212" s="84">
        <v>1850</v>
      </c>
      <c r="G212" s="96">
        <v>5700</v>
      </c>
    </row>
    <row r="213" spans="1:7" s="73" customFormat="1" ht="14.25" customHeight="1">
      <c r="A213" s="84" t="s">
        <v>303</v>
      </c>
      <c r="B213" s="84" t="s">
        <v>2965</v>
      </c>
      <c r="C213" s="84">
        <v>9030</v>
      </c>
      <c r="D213" s="84">
        <v>8980</v>
      </c>
      <c r="E213" s="84">
        <v>11670</v>
      </c>
      <c r="F213" s="84">
        <v>1690</v>
      </c>
      <c r="G213" s="96">
        <v>5670</v>
      </c>
    </row>
    <row r="214" spans="1:7" s="73" customFormat="1" ht="14.25" customHeight="1">
      <c r="A214" s="84" t="s">
        <v>303</v>
      </c>
      <c r="B214" s="84" t="s">
        <v>2966</v>
      </c>
      <c r="C214" s="84">
        <v>8090</v>
      </c>
      <c r="D214" s="84">
        <v>8030</v>
      </c>
      <c r="E214" s="84">
        <v>10780</v>
      </c>
      <c r="F214" s="84">
        <v>1570</v>
      </c>
      <c r="G214" s="96">
        <v>5070</v>
      </c>
    </row>
    <row r="215" spans="1:7" s="73" customFormat="1" ht="14.25" customHeight="1">
      <c r="A215" s="84" t="s">
        <v>303</v>
      </c>
      <c r="B215" s="84" t="s">
        <v>2967</v>
      </c>
      <c r="C215" s="84">
        <v>7950</v>
      </c>
      <c r="D215" s="84">
        <v>7900</v>
      </c>
      <c r="E215" s="84">
        <v>10560</v>
      </c>
      <c r="F215" s="84">
        <v>1630</v>
      </c>
      <c r="G215" s="96">
        <v>4990</v>
      </c>
    </row>
    <row r="216" spans="1:7" s="73" customFormat="1" ht="14.25" customHeight="1">
      <c r="A216" s="84" t="s">
        <v>303</v>
      </c>
      <c r="B216" s="84" t="s">
        <v>549</v>
      </c>
      <c r="C216" s="84">
        <v>8490</v>
      </c>
      <c r="D216" s="84">
        <v>8440</v>
      </c>
      <c r="E216" s="84">
        <v>11260</v>
      </c>
      <c r="F216" s="84">
        <v>1690</v>
      </c>
      <c r="G216" s="96">
        <v>5330</v>
      </c>
    </row>
    <row r="217" spans="1:7" s="73" customFormat="1" ht="14.25" customHeight="1">
      <c r="A217" s="84" t="s">
        <v>303</v>
      </c>
      <c r="B217" s="84" t="s">
        <v>2968</v>
      </c>
      <c r="C217" s="84">
        <v>8200</v>
      </c>
      <c r="D217" s="84">
        <v>8150</v>
      </c>
      <c r="E217" s="84">
        <v>10910</v>
      </c>
      <c r="F217" s="84">
        <v>1670</v>
      </c>
      <c r="G217" s="96">
        <v>5150</v>
      </c>
    </row>
    <row r="218" spans="1:7" s="73" customFormat="1" ht="14.25" customHeight="1">
      <c r="A218" s="84" t="s">
        <v>303</v>
      </c>
      <c r="B218" s="84" t="s">
        <v>2969</v>
      </c>
      <c r="C218" s="84"/>
      <c r="D218" s="84"/>
      <c r="E218" s="84"/>
      <c r="F218" s="84">
        <v>2040</v>
      </c>
      <c r="G218" s="96"/>
    </row>
    <row r="219" spans="1:7" s="73" customFormat="1" ht="14.25" customHeight="1">
      <c r="A219" s="84" t="s">
        <v>303</v>
      </c>
      <c r="B219" s="84" t="s">
        <v>2970</v>
      </c>
      <c r="C219" s="84"/>
      <c r="D219" s="84"/>
      <c r="E219" s="84"/>
      <c r="F219" s="84">
        <v>2040</v>
      </c>
      <c r="G219" s="96"/>
    </row>
    <row r="220" spans="1:7" s="73" customFormat="1" ht="14.25" customHeight="1">
      <c r="A220" s="84" t="s">
        <v>303</v>
      </c>
      <c r="B220" s="84" t="s">
        <v>2971</v>
      </c>
      <c r="C220" s="84"/>
      <c r="D220" s="84"/>
      <c r="E220" s="84"/>
      <c r="F220" s="84">
        <v>2040</v>
      </c>
      <c r="G220" s="96"/>
    </row>
    <row r="221" spans="1:7" s="73" customFormat="1" ht="14.25" customHeight="1">
      <c r="A221" s="84" t="s">
        <v>303</v>
      </c>
      <c r="B221" s="84" t="s">
        <v>2972</v>
      </c>
      <c r="C221" s="84"/>
      <c r="D221" s="84"/>
      <c r="E221" s="84"/>
      <c r="F221" s="84">
        <v>2040</v>
      </c>
      <c r="G221" s="96"/>
    </row>
    <row r="222" spans="1:7" s="73" customFormat="1" ht="14.25" customHeight="1">
      <c r="A222" s="84" t="s">
        <v>303</v>
      </c>
      <c r="B222" s="84" t="s">
        <v>2973</v>
      </c>
      <c r="C222" s="84"/>
      <c r="D222" s="84"/>
      <c r="E222" s="84"/>
      <c r="F222" s="84">
        <v>2040</v>
      </c>
      <c r="G222" s="96"/>
    </row>
    <row r="223" spans="1:7" s="73" customFormat="1" ht="14.25" customHeight="1">
      <c r="A223" s="84" t="s">
        <v>303</v>
      </c>
      <c r="B223" s="84" t="s">
        <v>2974</v>
      </c>
      <c r="C223" s="84"/>
      <c r="D223" s="84"/>
      <c r="E223" s="84"/>
      <c r="F223" s="84">
        <v>1930</v>
      </c>
      <c r="G223" s="96"/>
    </row>
    <row r="224" spans="1:7" s="73" customFormat="1" ht="14.25" customHeight="1">
      <c r="A224" s="84" t="s">
        <v>303</v>
      </c>
      <c r="B224" s="84" t="s">
        <v>2975</v>
      </c>
      <c r="C224" s="84"/>
      <c r="D224" s="84"/>
      <c r="E224" s="84"/>
      <c r="F224" s="84">
        <v>1930</v>
      </c>
      <c r="G224" s="96"/>
    </row>
    <row r="225" spans="1:7" s="73" customFormat="1" ht="14.25" customHeight="1">
      <c r="A225" s="84" t="s">
        <v>303</v>
      </c>
      <c r="B225" s="84" t="s">
        <v>2976</v>
      </c>
      <c r="C225" s="84"/>
      <c r="D225" s="84"/>
      <c r="E225" s="84"/>
      <c r="F225" s="84">
        <v>1930</v>
      </c>
      <c r="G225" s="96"/>
    </row>
    <row r="226" spans="1:7" s="73" customFormat="1" ht="14.25" customHeight="1">
      <c r="A226" s="84" t="s">
        <v>303</v>
      </c>
      <c r="B226" s="84" t="s">
        <v>2977</v>
      </c>
      <c r="C226" s="84"/>
      <c r="D226" s="84"/>
      <c r="E226" s="84"/>
      <c r="F226" s="84">
        <v>1700</v>
      </c>
      <c r="G226" s="96"/>
    </row>
    <row r="227" spans="1:7" s="73" customFormat="1" ht="14.25" customHeight="1">
      <c r="A227" s="84" t="s">
        <v>303</v>
      </c>
      <c r="B227" s="84" t="s">
        <v>3265</v>
      </c>
      <c r="C227" s="84"/>
      <c r="D227" s="84"/>
      <c r="E227" s="84"/>
      <c r="F227" s="84">
        <v>1520</v>
      </c>
      <c r="G227" s="96"/>
    </row>
    <row r="228" spans="1:7" s="73" customFormat="1" ht="14.25" customHeight="1">
      <c r="A228" s="84" t="s">
        <v>303</v>
      </c>
      <c r="B228" s="84" t="s">
        <v>3266</v>
      </c>
      <c r="C228" s="84"/>
      <c r="D228" s="84"/>
      <c r="E228" s="84"/>
      <c r="F228" s="84">
        <v>1520</v>
      </c>
      <c r="G228" s="96"/>
    </row>
    <row r="229" spans="1:7" s="73" customFormat="1" ht="14.25" customHeight="1">
      <c r="A229" s="84" t="s">
        <v>303</v>
      </c>
      <c r="B229" s="84" t="s">
        <v>3267</v>
      </c>
      <c r="C229" s="84"/>
      <c r="D229" s="84"/>
      <c r="E229" s="84"/>
      <c r="F229" s="84">
        <v>1520</v>
      </c>
      <c r="G229" s="96"/>
    </row>
    <row r="230" spans="1:7" s="73" customFormat="1" ht="14.25" customHeight="1">
      <c r="A230" s="84" t="s">
        <v>303</v>
      </c>
      <c r="B230" s="84" t="s">
        <v>2981</v>
      </c>
      <c r="C230" s="84"/>
      <c r="D230" s="84"/>
      <c r="E230" s="84"/>
      <c r="F230" s="84">
        <v>1820</v>
      </c>
      <c r="G230" s="96"/>
    </row>
    <row r="231" spans="1:7" s="73" customFormat="1" ht="14.25" customHeight="1">
      <c r="A231" s="84" t="s">
        <v>303</v>
      </c>
      <c r="B231" s="84" t="s">
        <v>2982</v>
      </c>
      <c r="C231" s="84"/>
      <c r="D231" s="84"/>
      <c r="E231" s="84"/>
      <c r="F231" s="84">
        <v>1760</v>
      </c>
      <c r="G231" s="96"/>
    </row>
    <row r="232" spans="1:7" s="73" customFormat="1" ht="14.25" customHeight="1">
      <c r="A232" s="84" t="s">
        <v>303</v>
      </c>
      <c r="B232" s="84" t="s">
        <v>3268</v>
      </c>
      <c r="C232" s="84"/>
      <c r="D232" s="84"/>
      <c r="E232" s="84"/>
      <c r="F232" s="84">
        <v>1840</v>
      </c>
      <c r="G232" s="96"/>
    </row>
    <row r="233" spans="1:7" s="73" customFormat="1" ht="14.25" customHeight="1">
      <c r="A233" s="97" t="s">
        <v>303</v>
      </c>
      <c r="B233" s="90" t="s">
        <v>2984</v>
      </c>
      <c r="C233" s="90"/>
      <c r="D233" s="90"/>
      <c r="E233" s="90"/>
      <c r="F233" s="90">
        <v>1770</v>
      </c>
      <c r="G233" s="98"/>
    </row>
    <row r="234" spans="1:7" s="73" customFormat="1" ht="14.25" customHeight="1">
      <c r="A234" s="88" t="s">
        <v>311</v>
      </c>
      <c r="B234" s="80" t="s">
        <v>2985</v>
      </c>
      <c r="C234" s="84">
        <v>6980</v>
      </c>
      <c r="D234" s="84">
        <v>6970</v>
      </c>
      <c r="E234" s="84">
        <v>8720</v>
      </c>
      <c r="F234" s="84">
        <v>1350</v>
      </c>
      <c r="G234" s="84">
        <v>4280</v>
      </c>
    </row>
    <row r="235" spans="1:7" s="73" customFormat="1" ht="14.25" customHeight="1">
      <c r="A235" s="84" t="s">
        <v>311</v>
      </c>
      <c r="B235" s="84" t="s">
        <v>2986</v>
      </c>
      <c r="C235" s="84">
        <v>7620</v>
      </c>
      <c r="D235" s="84">
        <v>7580</v>
      </c>
      <c r="E235" s="84">
        <v>9360</v>
      </c>
      <c r="F235" s="84">
        <v>1490</v>
      </c>
      <c r="G235" s="84">
        <v>4650</v>
      </c>
    </row>
    <row r="236" spans="1:7" s="73" customFormat="1" ht="14.25" customHeight="1">
      <c r="A236" s="84" t="s">
        <v>311</v>
      </c>
      <c r="B236" s="84" t="s">
        <v>2987</v>
      </c>
      <c r="C236" s="84">
        <v>6650</v>
      </c>
      <c r="D236" s="84">
        <v>6630</v>
      </c>
      <c r="E236" s="84">
        <v>8330</v>
      </c>
      <c r="F236" s="84">
        <v>1250</v>
      </c>
      <c r="G236" s="84">
        <v>4070</v>
      </c>
    </row>
    <row r="237" spans="1:7" s="73" customFormat="1" ht="14.25" customHeight="1">
      <c r="A237" s="84" t="s">
        <v>311</v>
      </c>
      <c r="B237" s="84" t="s">
        <v>2988</v>
      </c>
      <c r="C237" s="84">
        <v>5850</v>
      </c>
      <c r="D237" s="84">
        <v>5820</v>
      </c>
      <c r="E237" s="84">
        <v>7260</v>
      </c>
      <c r="F237" s="84">
        <v>1140</v>
      </c>
      <c r="G237" s="84">
        <v>3570</v>
      </c>
    </row>
    <row r="238" spans="1:7" s="73" customFormat="1" ht="14.25" customHeight="1">
      <c r="A238" s="84" t="s">
        <v>311</v>
      </c>
      <c r="B238" s="84" t="s">
        <v>2989</v>
      </c>
      <c r="C238" s="84">
        <v>6920</v>
      </c>
      <c r="D238" s="84">
        <v>6890</v>
      </c>
      <c r="E238" s="84">
        <v>8640</v>
      </c>
      <c r="F238" s="84">
        <v>1310</v>
      </c>
      <c r="G238" s="84">
        <v>4230</v>
      </c>
    </row>
    <row r="239" spans="1:7" s="73" customFormat="1" ht="14.25" customHeight="1">
      <c r="A239" s="84" t="s">
        <v>311</v>
      </c>
      <c r="B239" s="84" t="s">
        <v>2990</v>
      </c>
      <c r="C239" s="84">
        <v>6780</v>
      </c>
      <c r="D239" s="84">
        <v>6750</v>
      </c>
      <c r="E239" s="84">
        <v>8440</v>
      </c>
      <c r="F239" s="84">
        <v>1160</v>
      </c>
      <c r="G239" s="84">
        <v>4140</v>
      </c>
    </row>
    <row r="240" spans="1:7" s="73" customFormat="1" ht="14.25" customHeight="1">
      <c r="A240" s="84" t="s">
        <v>311</v>
      </c>
      <c r="B240" s="84" t="s">
        <v>2991</v>
      </c>
      <c r="C240" s="84">
        <v>5420</v>
      </c>
      <c r="D240" s="84">
        <v>5380</v>
      </c>
      <c r="E240" s="84">
        <v>6640</v>
      </c>
      <c r="F240" s="84">
        <v>1020</v>
      </c>
      <c r="G240" s="84">
        <v>3300</v>
      </c>
    </row>
    <row r="241" spans="1:7" s="73" customFormat="1" ht="14.25" customHeight="1">
      <c r="A241" s="84" t="s">
        <v>311</v>
      </c>
      <c r="B241" s="84" t="s">
        <v>2992</v>
      </c>
      <c r="C241" s="84">
        <v>6660</v>
      </c>
      <c r="D241" s="84">
        <v>6640</v>
      </c>
      <c r="E241" s="84">
        <v>8340</v>
      </c>
      <c r="F241" s="84">
        <v>1130</v>
      </c>
      <c r="G241" s="84">
        <v>4080</v>
      </c>
    </row>
    <row r="242" spans="1:7" s="73" customFormat="1" ht="14.25" customHeight="1">
      <c r="A242" s="84" t="s">
        <v>311</v>
      </c>
      <c r="B242" s="84" t="s">
        <v>2993</v>
      </c>
      <c r="C242" s="84">
        <v>6580</v>
      </c>
      <c r="D242" s="84">
        <v>6550</v>
      </c>
      <c r="E242" s="84">
        <v>8090</v>
      </c>
      <c r="F242" s="84">
        <v>1240</v>
      </c>
      <c r="G242" s="84">
        <v>4020</v>
      </c>
    </row>
    <row r="243" spans="1:7" s="73" customFormat="1" ht="14.25" customHeight="1">
      <c r="A243" s="84" t="s">
        <v>311</v>
      </c>
      <c r="B243" s="84" t="s">
        <v>2994</v>
      </c>
      <c r="C243" s="84">
        <v>6000</v>
      </c>
      <c r="D243" s="84">
        <v>5970</v>
      </c>
      <c r="E243" s="84">
        <v>7370</v>
      </c>
      <c r="F243" s="84">
        <v>1070</v>
      </c>
      <c r="G243" s="84">
        <v>3670</v>
      </c>
    </row>
    <row r="244" spans="1:7" s="73" customFormat="1" ht="14.25" customHeight="1">
      <c r="A244" s="84" t="s">
        <v>311</v>
      </c>
      <c r="B244" s="84" t="s">
        <v>2995</v>
      </c>
      <c r="C244" s="84">
        <v>5840</v>
      </c>
      <c r="D244" s="84">
        <v>5810</v>
      </c>
      <c r="E244" s="84">
        <v>7240</v>
      </c>
      <c r="F244" s="84">
        <v>1100</v>
      </c>
      <c r="G244" s="84">
        <v>3560</v>
      </c>
    </row>
    <row r="245" spans="1:7" s="73" customFormat="1" ht="14.25" customHeight="1">
      <c r="A245" s="84" t="s">
        <v>311</v>
      </c>
      <c r="B245" s="84" t="s">
        <v>2996</v>
      </c>
      <c r="C245" s="84">
        <v>6040</v>
      </c>
      <c r="D245" s="84">
        <v>6000</v>
      </c>
      <c r="E245" s="84">
        <v>7420</v>
      </c>
      <c r="F245" s="84">
        <v>1140</v>
      </c>
      <c r="G245" s="84">
        <v>3690</v>
      </c>
    </row>
    <row r="246" spans="1:7" s="73" customFormat="1" ht="14.25" customHeight="1">
      <c r="A246" s="84" t="s">
        <v>311</v>
      </c>
      <c r="B246" s="84" t="s">
        <v>2997</v>
      </c>
      <c r="C246" s="84">
        <v>5890</v>
      </c>
      <c r="D246" s="84">
        <v>5860</v>
      </c>
      <c r="E246" s="84">
        <v>7300</v>
      </c>
      <c r="F246" s="84">
        <v>1110</v>
      </c>
      <c r="G246" s="84">
        <v>3590</v>
      </c>
    </row>
    <row r="247" spans="1:7" s="73" customFormat="1" ht="14.25" customHeight="1">
      <c r="A247" s="84" t="s">
        <v>311</v>
      </c>
      <c r="B247" s="84" t="s">
        <v>2998</v>
      </c>
      <c r="C247" s="84">
        <v>6480</v>
      </c>
      <c r="D247" s="84">
        <v>6450</v>
      </c>
      <c r="E247" s="84">
        <v>8010</v>
      </c>
      <c r="F247" s="84">
        <v>1170</v>
      </c>
      <c r="G247" s="84">
        <v>3960</v>
      </c>
    </row>
    <row r="248" spans="1:7" s="73" customFormat="1" ht="14.25" customHeight="1">
      <c r="A248" s="84" t="s">
        <v>311</v>
      </c>
      <c r="B248" s="84" t="s">
        <v>2999</v>
      </c>
      <c r="C248" s="84">
        <v>6860</v>
      </c>
      <c r="D248" s="84">
        <v>6840</v>
      </c>
      <c r="E248" s="84">
        <v>8520</v>
      </c>
      <c r="F248" s="84">
        <v>1240</v>
      </c>
      <c r="G248" s="84">
        <v>4200</v>
      </c>
    </row>
    <row r="249" spans="1:7" s="73" customFormat="1" ht="14.25" customHeight="1">
      <c r="A249" s="84" t="s">
        <v>311</v>
      </c>
      <c r="B249" s="84" t="s">
        <v>3000</v>
      </c>
      <c r="C249" s="84">
        <v>7180</v>
      </c>
      <c r="D249" s="84">
        <v>7140</v>
      </c>
      <c r="E249" s="84">
        <v>8900</v>
      </c>
      <c r="F249" s="84">
        <v>1350</v>
      </c>
      <c r="G249" s="84">
        <v>4380</v>
      </c>
    </row>
    <row r="250" spans="1:7" s="73" customFormat="1" ht="14.25" customHeight="1">
      <c r="A250" s="84" t="s">
        <v>311</v>
      </c>
      <c r="B250" s="84" t="s">
        <v>3001</v>
      </c>
      <c r="C250" s="84">
        <v>6880</v>
      </c>
      <c r="D250" s="84">
        <v>6860</v>
      </c>
      <c r="E250" s="84">
        <v>8550</v>
      </c>
      <c r="F250" s="84">
        <v>1220</v>
      </c>
      <c r="G250" s="84">
        <v>4210</v>
      </c>
    </row>
    <row r="251" spans="1:7" s="73" customFormat="1" ht="14.25" customHeight="1">
      <c r="A251" s="84" t="s">
        <v>311</v>
      </c>
      <c r="B251" s="84" t="s">
        <v>3002</v>
      </c>
      <c r="C251" s="84"/>
      <c r="D251" s="84"/>
      <c r="E251" s="84"/>
      <c r="F251" s="84">
        <v>1100</v>
      </c>
      <c r="G251" s="84"/>
    </row>
    <row r="252" spans="1:7" s="73" customFormat="1" ht="14.25" customHeight="1">
      <c r="A252" s="84" t="s">
        <v>311</v>
      </c>
      <c r="B252" s="84" t="s">
        <v>3003</v>
      </c>
      <c r="C252" s="84">
        <v>7240</v>
      </c>
      <c r="D252" s="84">
        <v>7200</v>
      </c>
      <c r="E252" s="84">
        <v>9040</v>
      </c>
      <c r="F252" s="84">
        <v>1380</v>
      </c>
      <c r="G252" s="84">
        <v>4420</v>
      </c>
    </row>
    <row r="253" spans="1:7" s="73" customFormat="1" ht="14.25" customHeight="1">
      <c r="A253" s="84" t="s">
        <v>311</v>
      </c>
      <c r="B253" s="84" t="s">
        <v>3004</v>
      </c>
      <c r="C253" s="84">
        <v>6670</v>
      </c>
      <c r="D253" s="84">
        <v>6650</v>
      </c>
      <c r="E253" s="84">
        <v>8350</v>
      </c>
      <c r="F253" s="84">
        <v>1260</v>
      </c>
      <c r="G253" s="84">
        <v>4080</v>
      </c>
    </row>
    <row r="254" spans="1:7" s="73" customFormat="1" ht="14.25" customHeight="1">
      <c r="A254" s="84" t="s">
        <v>311</v>
      </c>
      <c r="B254" s="84" t="s">
        <v>3005</v>
      </c>
      <c r="C254" s="84">
        <v>7630</v>
      </c>
      <c r="D254" s="84">
        <v>7590</v>
      </c>
      <c r="E254" s="84">
        <v>9380</v>
      </c>
      <c r="F254" s="84">
        <v>1320</v>
      </c>
      <c r="G254" s="84">
        <v>4660</v>
      </c>
    </row>
    <row r="255" spans="1:7" s="73" customFormat="1" ht="14.25" customHeight="1">
      <c r="A255" s="84" t="s">
        <v>311</v>
      </c>
      <c r="B255" s="84" t="s">
        <v>3006</v>
      </c>
      <c r="C255" s="84">
        <v>6940</v>
      </c>
      <c r="D255" s="84">
        <v>6890</v>
      </c>
      <c r="E255" s="84">
        <v>8650</v>
      </c>
      <c r="F255" s="84">
        <v>1210</v>
      </c>
      <c r="G255" s="84">
        <v>4230</v>
      </c>
    </row>
    <row r="256" spans="1:7" s="73" customFormat="1" ht="14.25" customHeight="1">
      <c r="A256" s="84" t="s">
        <v>311</v>
      </c>
      <c r="B256" s="84" t="s">
        <v>3007</v>
      </c>
      <c r="C256" s="84">
        <v>7520</v>
      </c>
      <c r="D256" s="84">
        <v>7490</v>
      </c>
      <c r="E256" s="84">
        <v>9240</v>
      </c>
      <c r="F256" s="84">
        <v>1270</v>
      </c>
      <c r="G256" s="84">
        <v>4590</v>
      </c>
    </row>
    <row r="257" spans="1:7" s="73" customFormat="1" ht="14.25" customHeight="1">
      <c r="A257" s="84" t="s">
        <v>311</v>
      </c>
      <c r="B257" s="84" t="s">
        <v>3008</v>
      </c>
      <c r="C257" s="84">
        <v>6280</v>
      </c>
      <c r="D257" s="84">
        <v>6230</v>
      </c>
      <c r="E257" s="84">
        <v>7740</v>
      </c>
      <c r="F257" s="84">
        <v>1080</v>
      </c>
      <c r="G257" s="84">
        <v>3830</v>
      </c>
    </row>
    <row r="258" spans="1:7" s="73" customFormat="1" ht="14.25" customHeight="1">
      <c r="A258" s="84" t="s">
        <v>311</v>
      </c>
      <c r="B258" s="84" t="s">
        <v>3009</v>
      </c>
      <c r="C258" s="84">
        <v>6190</v>
      </c>
      <c r="D258" s="84">
        <v>6160</v>
      </c>
      <c r="E258" s="84">
        <v>7680</v>
      </c>
      <c r="F258" s="84">
        <v>1170</v>
      </c>
      <c r="G258" s="84">
        <v>3780</v>
      </c>
    </row>
    <row r="259" spans="1:7" s="73" customFormat="1" ht="14.25" customHeight="1">
      <c r="A259" s="84" t="s">
        <v>311</v>
      </c>
      <c r="B259" s="84" t="s">
        <v>3010</v>
      </c>
      <c r="C259" s="84">
        <v>7610</v>
      </c>
      <c r="D259" s="84">
        <v>7570</v>
      </c>
      <c r="E259" s="84">
        <v>9350</v>
      </c>
      <c r="F259" s="84">
        <v>1350</v>
      </c>
      <c r="G259" s="84">
        <v>4650</v>
      </c>
    </row>
    <row r="260" spans="1:7" s="73" customFormat="1" ht="14.25" customHeight="1">
      <c r="A260" s="84" t="s">
        <v>311</v>
      </c>
      <c r="B260" s="84" t="s">
        <v>3011</v>
      </c>
      <c r="C260" s="84">
        <v>6920</v>
      </c>
      <c r="D260" s="84">
        <v>6880</v>
      </c>
      <c r="E260" s="84">
        <v>8380</v>
      </c>
      <c r="F260" s="84">
        <v>1160</v>
      </c>
      <c r="G260" s="84">
        <v>4220</v>
      </c>
    </row>
    <row r="261" spans="1:7" s="73" customFormat="1" ht="14.25" customHeight="1">
      <c r="A261" s="84" t="s">
        <v>311</v>
      </c>
      <c r="B261" s="84" t="s">
        <v>3012</v>
      </c>
      <c r="C261" s="84">
        <v>6850</v>
      </c>
      <c r="D261" s="84">
        <v>6810</v>
      </c>
      <c r="E261" s="84">
        <v>8290</v>
      </c>
      <c r="F261" s="84">
        <v>1130</v>
      </c>
      <c r="G261" s="84">
        <v>4180</v>
      </c>
    </row>
    <row r="262" spans="1:7" s="73" customFormat="1" ht="14.25" customHeight="1">
      <c r="A262" s="84" t="s">
        <v>311</v>
      </c>
      <c r="B262" s="84" t="s">
        <v>3013</v>
      </c>
      <c r="C262" s="84">
        <v>5860</v>
      </c>
      <c r="D262" s="84">
        <v>5820</v>
      </c>
      <c r="E262" s="84">
        <v>7640</v>
      </c>
      <c r="F262" s="84">
        <v>1070</v>
      </c>
      <c r="G262" s="84">
        <v>3570</v>
      </c>
    </row>
    <row r="263" spans="1:7" s="73" customFormat="1" ht="14.25" customHeight="1">
      <c r="A263" s="84" t="s">
        <v>311</v>
      </c>
      <c r="B263" s="84" t="s">
        <v>3014</v>
      </c>
      <c r="C263" s="84">
        <v>5870</v>
      </c>
      <c r="D263" s="84">
        <v>5840</v>
      </c>
      <c r="E263" s="84">
        <v>7270</v>
      </c>
      <c r="F263" s="84">
        <v>1190</v>
      </c>
      <c r="G263" s="84">
        <v>3580</v>
      </c>
    </row>
    <row r="264" spans="1:7" s="73" customFormat="1" ht="14.25" customHeight="1">
      <c r="A264" s="84" t="s">
        <v>311</v>
      </c>
      <c r="B264" s="84" t="s">
        <v>3015</v>
      </c>
      <c r="C264" s="84">
        <v>6190</v>
      </c>
      <c r="D264" s="84">
        <v>6150</v>
      </c>
      <c r="E264" s="84">
        <v>7660</v>
      </c>
      <c r="F264" s="84">
        <v>1160</v>
      </c>
      <c r="G264" s="84">
        <v>3770</v>
      </c>
    </row>
    <row r="265" spans="1:7" s="73" customFormat="1" ht="14.25" customHeight="1">
      <c r="A265" s="84" t="s">
        <v>311</v>
      </c>
      <c r="B265" s="84" t="s">
        <v>3016</v>
      </c>
      <c r="C265" s="84"/>
      <c r="D265" s="84"/>
      <c r="E265" s="84"/>
      <c r="F265" s="84">
        <v>1500</v>
      </c>
      <c r="G265" s="84"/>
    </row>
    <row r="266" spans="1:7" s="73" customFormat="1" ht="14.25" customHeight="1">
      <c r="A266" s="84" t="s">
        <v>311</v>
      </c>
      <c r="B266" s="84" t="s">
        <v>3017</v>
      </c>
      <c r="C266" s="84"/>
      <c r="D266" s="84"/>
      <c r="E266" s="84"/>
      <c r="F266" s="84">
        <v>1500</v>
      </c>
      <c r="G266" s="84"/>
    </row>
    <row r="267" spans="1:7" s="73" customFormat="1" ht="14.25" customHeight="1">
      <c r="A267" s="84" t="s">
        <v>311</v>
      </c>
      <c r="B267" s="84" t="s">
        <v>3018</v>
      </c>
      <c r="C267" s="84"/>
      <c r="D267" s="84"/>
      <c r="E267" s="84"/>
      <c r="F267" s="84">
        <v>1500</v>
      </c>
      <c r="G267" s="84"/>
    </row>
    <row r="268" spans="1:7" s="73" customFormat="1" ht="14.25" customHeight="1">
      <c r="A268" s="84" t="s">
        <v>311</v>
      </c>
      <c r="B268" s="84" t="s">
        <v>3019</v>
      </c>
      <c r="C268" s="84"/>
      <c r="D268" s="84"/>
      <c r="E268" s="84"/>
      <c r="F268" s="84">
        <v>1290</v>
      </c>
      <c r="G268" s="84"/>
    </row>
    <row r="269" spans="1:7" s="73" customFormat="1" ht="14.25" customHeight="1">
      <c r="A269" s="84" t="s">
        <v>311</v>
      </c>
      <c r="B269" s="84" t="s">
        <v>3020</v>
      </c>
      <c r="C269" s="84"/>
      <c r="D269" s="84"/>
      <c r="E269" s="84"/>
      <c r="F269" s="84">
        <v>1150</v>
      </c>
      <c r="G269" s="84"/>
    </row>
    <row r="270" spans="1:7" s="73" customFormat="1" ht="14.25" customHeight="1">
      <c r="A270" s="84" t="s">
        <v>311</v>
      </c>
      <c r="B270" s="84" t="s">
        <v>3021</v>
      </c>
      <c r="C270" s="84"/>
      <c r="D270" s="84"/>
      <c r="E270" s="84"/>
      <c r="F270" s="84">
        <v>1380</v>
      </c>
      <c r="G270" s="84"/>
    </row>
    <row r="271" spans="1:7" s="73" customFormat="1" ht="14.25" customHeight="1">
      <c r="A271" s="84" t="s">
        <v>311</v>
      </c>
      <c r="B271" s="84" t="s">
        <v>3022</v>
      </c>
      <c r="C271" s="84"/>
      <c r="D271" s="84"/>
      <c r="E271" s="84"/>
      <c r="F271" s="84">
        <v>1460</v>
      </c>
      <c r="G271" s="84"/>
    </row>
    <row r="272" spans="1:7" s="73" customFormat="1" ht="14.25" customHeight="1">
      <c r="A272" s="84" t="s">
        <v>311</v>
      </c>
      <c r="B272" s="84" t="s">
        <v>3023</v>
      </c>
      <c r="C272" s="84"/>
      <c r="D272" s="84"/>
      <c r="E272" s="84"/>
      <c r="F272" s="84">
        <v>1460</v>
      </c>
      <c r="G272" s="84"/>
    </row>
    <row r="273" spans="1:7" s="73" customFormat="1" ht="14.25" customHeight="1">
      <c r="A273" s="84" t="s">
        <v>311</v>
      </c>
      <c r="B273" s="84" t="s">
        <v>3024</v>
      </c>
      <c r="C273" s="84"/>
      <c r="D273" s="84"/>
      <c r="E273" s="84"/>
      <c r="F273" s="84">
        <v>1490</v>
      </c>
      <c r="G273" s="84"/>
    </row>
    <row r="274" spans="1:7" s="73" customFormat="1" ht="14.25" customHeight="1">
      <c r="A274" s="84" t="s">
        <v>311</v>
      </c>
      <c r="B274" s="84" t="s">
        <v>3025</v>
      </c>
      <c r="C274" s="84"/>
      <c r="D274" s="84"/>
      <c r="E274" s="84"/>
      <c r="F274" s="84">
        <v>1490</v>
      </c>
      <c r="G274" s="84"/>
    </row>
    <row r="275" spans="1:7" s="73" customFormat="1" ht="14.25" customHeight="1">
      <c r="A275" s="84" t="s">
        <v>311</v>
      </c>
      <c r="B275" s="84" t="s">
        <v>3026</v>
      </c>
      <c r="C275" s="84"/>
      <c r="D275" s="84"/>
      <c r="E275" s="84"/>
      <c r="F275" s="84">
        <v>1220</v>
      </c>
      <c r="G275" s="84"/>
    </row>
    <row r="276" spans="1:7" s="73" customFormat="1" ht="14.25" customHeight="1">
      <c r="A276" s="91" t="s">
        <v>311</v>
      </c>
      <c r="B276" s="93" t="s">
        <v>3027</v>
      </c>
      <c r="C276" s="94"/>
      <c r="D276" s="94"/>
      <c r="E276" s="94"/>
      <c r="F276" s="94">
        <v>1380</v>
      </c>
      <c r="G276" s="94"/>
    </row>
    <row r="277" spans="1:7" s="73" customFormat="1" ht="14.25" customHeight="1">
      <c r="A277" s="88" t="s">
        <v>318</v>
      </c>
      <c r="B277" s="80" t="s">
        <v>3028</v>
      </c>
      <c r="C277" s="80">
        <v>5790</v>
      </c>
      <c r="D277" s="80">
        <v>5740</v>
      </c>
      <c r="E277" s="80">
        <v>6730</v>
      </c>
      <c r="F277" s="80">
        <v>1110</v>
      </c>
      <c r="G277" s="95">
        <v>3460</v>
      </c>
    </row>
    <row r="278" spans="1:7" s="73" customFormat="1" ht="14.25" customHeight="1">
      <c r="A278" s="84" t="s">
        <v>318</v>
      </c>
      <c r="B278" s="84" t="s">
        <v>3029</v>
      </c>
      <c r="C278" s="84">
        <v>5740</v>
      </c>
      <c r="D278" s="84">
        <v>5670</v>
      </c>
      <c r="E278" s="84">
        <v>6680</v>
      </c>
      <c r="F278" s="84">
        <v>1070</v>
      </c>
      <c r="G278" s="96">
        <v>3420</v>
      </c>
    </row>
    <row r="279" spans="1:7" s="73" customFormat="1" ht="14.25" customHeight="1">
      <c r="A279" s="84" t="s">
        <v>318</v>
      </c>
      <c r="B279" s="84" t="s">
        <v>3030</v>
      </c>
      <c r="C279" s="84">
        <v>4760</v>
      </c>
      <c r="D279" s="84">
        <v>4720</v>
      </c>
      <c r="E279" s="84">
        <v>5540</v>
      </c>
      <c r="F279" s="84">
        <v>810</v>
      </c>
      <c r="G279" s="96">
        <v>2850</v>
      </c>
    </row>
    <row r="280" spans="1:7" s="73" customFormat="1" ht="14.25" customHeight="1">
      <c r="A280" s="84" t="s">
        <v>318</v>
      </c>
      <c r="B280" s="84" t="s">
        <v>3031</v>
      </c>
      <c r="C280" s="84">
        <v>4010</v>
      </c>
      <c r="D280" s="84">
        <v>3950</v>
      </c>
      <c r="E280" s="84">
        <v>4710</v>
      </c>
      <c r="F280" s="84">
        <v>800</v>
      </c>
      <c r="G280" s="96">
        <v>2390</v>
      </c>
    </row>
    <row r="281" spans="1:7" s="73" customFormat="1" ht="14.25" customHeight="1">
      <c r="A281" s="84" t="s">
        <v>318</v>
      </c>
      <c r="B281" s="84" t="s">
        <v>3032</v>
      </c>
      <c r="C281" s="84">
        <v>4480</v>
      </c>
      <c r="D281" s="84">
        <v>4420</v>
      </c>
      <c r="E281" s="84">
        <v>5230</v>
      </c>
      <c r="F281" s="84">
        <v>870</v>
      </c>
      <c r="G281" s="96">
        <v>2660</v>
      </c>
    </row>
    <row r="282" spans="1:7" s="73" customFormat="1" ht="14.25" customHeight="1">
      <c r="A282" s="84" t="s">
        <v>318</v>
      </c>
      <c r="B282" s="84" t="s">
        <v>3033</v>
      </c>
      <c r="C282" s="84">
        <v>5360</v>
      </c>
      <c r="D282" s="84">
        <v>5300</v>
      </c>
      <c r="E282" s="84">
        <v>6190</v>
      </c>
      <c r="F282" s="84">
        <v>950</v>
      </c>
      <c r="G282" s="96">
        <v>3190</v>
      </c>
    </row>
    <row r="283" spans="1:7" s="73" customFormat="1" ht="14.25" customHeight="1">
      <c r="A283" s="84" t="s">
        <v>318</v>
      </c>
      <c r="B283" s="84" t="s">
        <v>3034</v>
      </c>
      <c r="C283" s="84">
        <v>4950</v>
      </c>
      <c r="D283" s="84">
        <v>4900</v>
      </c>
      <c r="E283" s="84">
        <v>5720</v>
      </c>
      <c r="F283" s="84">
        <v>920</v>
      </c>
      <c r="G283" s="96">
        <v>2950</v>
      </c>
    </row>
    <row r="284" spans="1:7" s="73" customFormat="1" ht="14.25" customHeight="1">
      <c r="A284" s="84" t="s">
        <v>318</v>
      </c>
      <c r="B284" s="84" t="s">
        <v>3035</v>
      </c>
      <c r="C284" s="84">
        <v>5610</v>
      </c>
      <c r="D284" s="84">
        <v>5560</v>
      </c>
      <c r="E284" s="84">
        <v>6520</v>
      </c>
      <c r="F284" s="84">
        <v>1030</v>
      </c>
      <c r="G284" s="96">
        <v>3360</v>
      </c>
    </row>
    <row r="285" spans="1:7" s="73" customFormat="1" ht="14.25" customHeight="1">
      <c r="A285" s="84" t="s">
        <v>318</v>
      </c>
      <c r="B285" s="84" t="s">
        <v>3036</v>
      </c>
      <c r="C285" s="84">
        <v>5340</v>
      </c>
      <c r="D285" s="84">
        <v>5290</v>
      </c>
      <c r="E285" s="84">
        <v>6170</v>
      </c>
      <c r="F285" s="84">
        <v>1080</v>
      </c>
      <c r="G285" s="96">
        <v>3180</v>
      </c>
    </row>
    <row r="286" spans="1:7" s="73" customFormat="1" ht="14.25" customHeight="1">
      <c r="A286" s="84" t="s">
        <v>318</v>
      </c>
      <c r="B286" s="84" t="s">
        <v>3037</v>
      </c>
      <c r="C286" s="84">
        <v>4890</v>
      </c>
      <c r="D286" s="84">
        <v>4840</v>
      </c>
      <c r="E286" s="84">
        <v>5640</v>
      </c>
      <c r="F286" s="84">
        <v>960</v>
      </c>
      <c r="G286" s="96">
        <v>2910</v>
      </c>
    </row>
    <row r="287" spans="1:7" s="73" customFormat="1" ht="14.25" customHeight="1">
      <c r="A287" s="84" t="s">
        <v>318</v>
      </c>
      <c r="B287" s="84" t="s">
        <v>3038</v>
      </c>
      <c r="C287" s="84">
        <v>4960</v>
      </c>
      <c r="D287" s="84">
        <v>4920</v>
      </c>
      <c r="E287" s="84">
        <v>5730</v>
      </c>
      <c r="F287" s="84">
        <v>930</v>
      </c>
      <c r="G287" s="96">
        <v>2960</v>
      </c>
    </row>
    <row r="288" spans="1:7" s="73" customFormat="1" ht="14.25" customHeight="1">
      <c r="A288" s="84" t="s">
        <v>318</v>
      </c>
      <c r="B288" s="84" t="s">
        <v>3039</v>
      </c>
      <c r="C288" s="84">
        <v>4350</v>
      </c>
      <c r="D288" s="84">
        <v>4300</v>
      </c>
      <c r="E288" s="84">
        <v>4900</v>
      </c>
      <c r="F288" s="84">
        <v>820</v>
      </c>
      <c r="G288" s="96">
        <v>2590</v>
      </c>
    </row>
    <row r="289" spans="1:7" s="73" customFormat="1" ht="14.25" customHeight="1">
      <c r="A289" s="84" t="s">
        <v>318</v>
      </c>
      <c r="B289" s="84" t="s">
        <v>3040</v>
      </c>
      <c r="C289" s="84">
        <v>5230</v>
      </c>
      <c r="D289" s="84">
        <v>5170</v>
      </c>
      <c r="E289" s="84">
        <v>6060</v>
      </c>
      <c r="F289" s="84">
        <v>900</v>
      </c>
      <c r="G289" s="96">
        <v>3120</v>
      </c>
    </row>
    <row r="290" spans="1:7" s="73" customFormat="1" ht="14.25" customHeight="1">
      <c r="A290" s="84" t="s">
        <v>318</v>
      </c>
      <c r="B290" s="84" t="s">
        <v>3041</v>
      </c>
      <c r="C290" s="84">
        <v>5550</v>
      </c>
      <c r="D290" s="84">
        <v>5500</v>
      </c>
      <c r="E290" s="84">
        <v>6440</v>
      </c>
      <c r="F290" s="84">
        <v>960</v>
      </c>
      <c r="G290" s="96">
        <v>3320</v>
      </c>
    </row>
    <row r="291" spans="1:7" s="73" customFormat="1" ht="14.25" customHeight="1">
      <c r="A291" s="84" t="s">
        <v>318</v>
      </c>
      <c r="B291" s="84" t="s">
        <v>3042</v>
      </c>
      <c r="C291" s="84">
        <v>5440</v>
      </c>
      <c r="D291" s="84">
        <v>5400</v>
      </c>
      <c r="E291" s="84">
        <v>6320</v>
      </c>
      <c r="F291" s="84">
        <v>930</v>
      </c>
      <c r="G291" s="96">
        <v>3250</v>
      </c>
    </row>
    <row r="292" spans="1:7" s="73" customFormat="1" ht="14.25" customHeight="1">
      <c r="A292" s="84" t="s">
        <v>318</v>
      </c>
      <c r="B292" s="84" t="s">
        <v>3043</v>
      </c>
      <c r="C292" s="84">
        <v>5400</v>
      </c>
      <c r="D292" s="84">
        <v>5360</v>
      </c>
      <c r="E292" s="84">
        <v>6270</v>
      </c>
      <c r="F292" s="84">
        <v>1040</v>
      </c>
      <c r="G292" s="96">
        <v>3230</v>
      </c>
    </row>
    <row r="293" spans="1:7" s="73" customFormat="1" ht="14.25" customHeight="1">
      <c r="A293" s="84" t="s">
        <v>318</v>
      </c>
      <c r="B293" s="84" t="s">
        <v>3044</v>
      </c>
      <c r="C293" s="84">
        <v>5320</v>
      </c>
      <c r="D293" s="84">
        <v>5270</v>
      </c>
      <c r="E293" s="84">
        <v>6160</v>
      </c>
      <c r="F293" s="84">
        <v>990</v>
      </c>
      <c r="G293" s="96">
        <v>3170</v>
      </c>
    </row>
    <row r="294" spans="1:7" s="73" customFormat="1" ht="14.25" customHeight="1">
      <c r="A294" s="84" t="s">
        <v>318</v>
      </c>
      <c r="B294" s="84" t="s">
        <v>3045</v>
      </c>
      <c r="C294" s="84">
        <v>5260</v>
      </c>
      <c r="D294" s="84">
        <v>5210</v>
      </c>
      <c r="E294" s="84">
        <v>6100</v>
      </c>
      <c r="F294" s="84">
        <v>950</v>
      </c>
      <c r="G294" s="96">
        <v>3150</v>
      </c>
    </row>
    <row r="295" spans="1:7" s="73" customFormat="1" ht="14.25" customHeight="1">
      <c r="A295" s="84" t="s">
        <v>318</v>
      </c>
      <c r="B295" s="84" t="s">
        <v>3046</v>
      </c>
      <c r="C295" s="84">
        <v>5610</v>
      </c>
      <c r="D295" s="84">
        <v>5570</v>
      </c>
      <c r="E295" s="84">
        <v>6530</v>
      </c>
      <c r="F295" s="84">
        <v>960</v>
      </c>
      <c r="G295" s="96">
        <v>3360</v>
      </c>
    </row>
    <row r="296" spans="1:7" s="73" customFormat="1" ht="14.25" customHeight="1">
      <c r="A296" s="84" t="s">
        <v>318</v>
      </c>
      <c r="B296" s="84" t="s">
        <v>3047</v>
      </c>
      <c r="C296" s="84">
        <v>5540</v>
      </c>
      <c r="D296" s="84">
        <v>5490</v>
      </c>
      <c r="E296" s="84">
        <v>6430</v>
      </c>
      <c r="F296" s="84">
        <v>980</v>
      </c>
      <c r="G296" s="96">
        <v>3310</v>
      </c>
    </row>
    <row r="297" spans="1:7" s="73" customFormat="1" ht="14.25" customHeight="1">
      <c r="A297" s="84" t="s">
        <v>318</v>
      </c>
      <c r="B297" s="84" t="s">
        <v>3048</v>
      </c>
      <c r="C297" s="84">
        <v>5480</v>
      </c>
      <c r="D297" s="84">
        <v>5420</v>
      </c>
      <c r="E297" s="84">
        <v>6370</v>
      </c>
      <c r="F297" s="84">
        <v>990</v>
      </c>
      <c r="G297" s="96">
        <v>3270</v>
      </c>
    </row>
    <row r="298" spans="1:7" s="73" customFormat="1" ht="14.25" customHeight="1">
      <c r="A298" s="84" t="s">
        <v>318</v>
      </c>
      <c r="B298" s="84" t="s">
        <v>3049</v>
      </c>
      <c r="C298" s="84">
        <v>5090</v>
      </c>
      <c r="D298" s="84">
        <v>5050</v>
      </c>
      <c r="E298" s="84">
        <v>5910</v>
      </c>
      <c r="F298" s="84">
        <v>900</v>
      </c>
      <c r="G298" s="96">
        <v>3040</v>
      </c>
    </row>
    <row r="299" spans="1:7" s="73" customFormat="1" ht="14.25" customHeight="1">
      <c r="A299" s="84" t="s">
        <v>318</v>
      </c>
      <c r="B299" s="92" t="s">
        <v>3050</v>
      </c>
      <c r="C299" s="84">
        <v>5430</v>
      </c>
      <c r="D299" s="84">
        <v>5380</v>
      </c>
      <c r="E299" s="84">
        <v>6280</v>
      </c>
      <c r="F299" s="84">
        <v>1000</v>
      </c>
      <c r="G299" s="96">
        <v>3240</v>
      </c>
    </row>
    <row r="300" spans="1:7" s="73" customFormat="1" ht="14.25" customHeight="1">
      <c r="A300" s="84" t="s">
        <v>318</v>
      </c>
      <c r="B300" s="92" t="s">
        <v>3051</v>
      </c>
      <c r="C300" s="84">
        <v>4740</v>
      </c>
      <c r="D300" s="84">
        <v>4680</v>
      </c>
      <c r="E300" s="84">
        <v>5450</v>
      </c>
      <c r="F300" s="84">
        <v>900</v>
      </c>
      <c r="G300" s="96">
        <v>2830</v>
      </c>
    </row>
    <row r="301" spans="1:7" s="73" customFormat="1" ht="14.25" customHeight="1">
      <c r="A301" s="84" t="s">
        <v>318</v>
      </c>
      <c r="B301" s="92" t="s">
        <v>3052</v>
      </c>
      <c r="C301" s="84">
        <v>4870</v>
      </c>
      <c r="D301" s="84">
        <v>4810</v>
      </c>
      <c r="E301" s="84">
        <v>5560</v>
      </c>
      <c r="F301" s="84">
        <v>990</v>
      </c>
      <c r="G301" s="96">
        <v>2910</v>
      </c>
    </row>
    <row r="302" spans="1:7" s="73" customFormat="1" ht="14.25" customHeight="1">
      <c r="A302" s="84" t="s">
        <v>318</v>
      </c>
      <c r="B302" s="84" t="s">
        <v>3053</v>
      </c>
      <c r="C302" s="84">
        <v>5520</v>
      </c>
      <c r="D302" s="84">
        <v>5470</v>
      </c>
      <c r="E302" s="84">
        <v>6410</v>
      </c>
      <c r="F302" s="84">
        <v>950</v>
      </c>
      <c r="G302" s="96">
        <v>3300</v>
      </c>
    </row>
    <row r="303" spans="1:7" s="73" customFormat="1" ht="14.25" customHeight="1">
      <c r="A303" s="84" t="s">
        <v>318</v>
      </c>
      <c r="B303" s="84" t="s">
        <v>3054</v>
      </c>
      <c r="C303" s="84">
        <v>5630</v>
      </c>
      <c r="D303" s="84">
        <v>5590</v>
      </c>
      <c r="E303" s="84">
        <v>6550</v>
      </c>
      <c r="F303" s="84">
        <v>1010</v>
      </c>
      <c r="G303" s="96">
        <v>3370</v>
      </c>
    </row>
    <row r="304" spans="1:7" s="73" customFormat="1" ht="14.25" customHeight="1">
      <c r="A304" s="84" t="s">
        <v>318</v>
      </c>
      <c r="B304" s="84" t="s">
        <v>3055</v>
      </c>
      <c r="C304" s="84">
        <v>5680</v>
      </c>
      <c r="D304" s="84">
        <v>5620</v>
      </c>
      <c r="E304" s="84">
        <v>6620</v>
      </c>
      <c r="F304" s="84">
        <v>1050</v>
      </c>
      <c r="G304" s="96">
        <v>3390</v>
      </c>
    </row>
    <row r="305" spans="1:7" s="73" customFormat="1" ht="14.25" customHeight="1">
      <c r="A305" s="84" t="s">
        <v>318</v>
      </c>
      <c r="B305" s="84" t="s">
        <v>3056</v>
      </c>
      <c r="C305" s="84">
        <v>5590</v>
      </c>
      <c r="D305" s="84">
        <v>5530</v>
      </c>
      <c r="E305" s="84">
        <v>6460</v>
      </c>
      <c r="F305" s="84">
        <v>900</v>
      </c>
      <c r="G305" s="96">
        <v>3340</v>
      </c>
    </row>
    <row r="306" spans="1:7" s="73" customFormat="1" ht="14.25" customHeight="1">
      <c r="A306" s="84" t="s">
        <v>318</v>
      </c>
      <c r="B306" s="84" t="s">
        <v>3057</v>
      </c>
      <c r="C306" s="84">
        <v>5560</v>
      </c>
      <c r="D306" s="84">
        <v>5510</v>
      </c>
      <c r="E306" s="84">
        <v>6440</v>
      </c>
      <c r="F306" s="84">
        <v>900</v>
      </c>
      <c r="G306" s="96">
        <v>3320</v>
      </c>
    </row>
    <row r="307" spans="1:7" s="73" customFormat="1" ht="14.25" customHeight="1">
      <c r="A307" s="84" t="s">
        <v>318</v>
      </c>
      <c r="B307" s="84" t="s">
        <v>3058</v>
      </c>
      <c r="C307" s="84">
        <v>5650</v>
      </c>
      <c r="D307" s="84">
        <v>5600</v>
      </c>
      <c r="E307" s="84">
        <v>6590</v>
      </c>
      <c r="F307" s="84">
        <v>930</v>
      </c>
      <c r="G307" s="96">
        <v>3380</v>
      </c>
    </row>
    <row r="308" spans="1:7" s="73" customFormat="1" ht="14.25" customHeight="1">
      <c r="A308" s="84" t="s">
        <v>318</v>
      </c>
      <c r="B308" s="84" t="s">
        <v>3059</v>
      </c>
      <c r="C308" s="84">
        <v>5620</v>
      </c>
      <c r="D308" s="84">
        <v>5580</v>
      </c>
      <c r="E308" s="84">
        <v>6540</v>
      </c>
      <c r="F308" s="84">
        <v>910</v>
      </c>
      <c r="G308" s="96">
        <v>3370</v>
      </c>
    </row>
    <row r="309" spans="1:7" s="73" customFormat="1" ht="14.25" customHeight="1">
      <c r="A309" s="84" t="s">
        <v>318</v>
      </c>
      <c r="B309" s="84" t="s">
        <v>3060</v>
      </c>
      <c r="C309" s="84">
        <v>5060</v>
      </c>
      <c r="D309" s="84">
        <v>5020</v>
      </c>
      <c r="E309" s="84">
        <v>6370</v>
      </c>
      <c r="F309" s="84">
        <v>800</v>
      </c>
      <c r="G309" s="96">
        <v>3020</v>
      </c>
    </row>
    <row r="310" spans="1:7" s="73" customFormat="1" ht="14.25" customHeight="1">
      <c r="A310" s="84" t="s">
        <v>318</v>
      </c>
      <c r="B310" s="84" t="s">
        <v>3061</v>
      </c>
      <c r="C310" s="84">
        <v>5150</v>
      </c>
      <c r="D310" s="84">
        <v>5110</v>
      </c>
      <c r="E310" s="84">
        <v>6500</v>
      </c>
      <c r="F310" s="84">
        <v>880</v>
      </c>
      <c r="G310" s="96">
        <v>3080</v>
      </c>
    </row>
    <row r="311" spans="1:7" s="73" customFormat="1" ht="14.25" customHeight="1">
      <c r="A311" s="84" t="s">
        <v>318</v>
      </c>
      <c r="B311" s="84" t="s">
        <v>3062</v>
      </c>
      <c r="C311" s="84">
        <v>4750</v>
      </c>
      <c r="D311" s="84">
        <v>4710</v>
      </c>
      <c r="E311" s="84">
        <v>5510</v>
      </c>
      <c r="F311" s="84">
        <v>880</v>
      </c>
      <c r="G311" s="96">
        <v>2840</v>
      </c>
    </row>
    <row r="312" spans="1:7" s="73" customFormat="1" ht="14.25" customHeight="1">
      <c r="A312" s="84" t="s">
        <v>318</v>
      </c>
      <c r="B312" s="84" t="s">
        <v>3063</v>
      </c>
      <c r="C312" s="84">
        <v>4690</v>
      </c>
      <c r="D312" s="84">
        <v>4640</v>
      </c>
      <c r="E312" s="84">
        <v>5420</v>
      </c>
      <c r="F312" s="84">
        <v>800</v>
      </c>
      <c r="G312" s="96">
        <v>2800</v>
      </c>
    </row>
    <row r="313" spans="1:7" s="73" customFormat="1" ht="14.25" customHeight="1">
      <c r="A313" s="84" t="s">
        <v>318</v>
      </c>
      <c r="B313" s="84" t="s">
        <v>3064</v>
      </c>
      <c r="C313" s="84">
        <v>4810</v>
      </c>
      <c r="D313" s="84">
        <v>4760</v>
      </c>
      <c r="E313" s="84">
        <v>5550</v>
      </c>
      <c r="F313" s="84">
        <v>920</v>
      </c>
      <c r="G313" s="96">
        <v>2870</v>
      </c>
    </row>
    <row r="314" spans="1:7" s="73" customFormat="1" ht="14.25" customHeight="1">
      <c r="A314" s="84" t="s">
        <v>318</v>
      </c>
      <c r="B314" s="84" t="s">
        <v>3065</v>
      </c>
      <c r="C314" s="84"/>
      <c r="D314" s="84"/>
      <c r="E314" s="84"/>
      <c r="F314" s="84">
        <v>1020</v>
      </c>
      <c r="G314" s="96"/>
    </row>
    <row r="315" spans="1:7" s="73" customFormat="1" ht="14.25" customHeight="1">
      <c r="A315" s="84" t="s">
        <v>318</v>
      </c>
      <c r="B315" s="84" t="s">
        <v>3066</v>
      </c>
      <c r="C315" s="84"/>
      <c r="D315" s="84"/>
      <c r="E315" s="84"/>
      <c r="F315" s="84">
        <v>1050</v>
      </c>
      <c r="G315" s="96"/>
    </row>
    <row r="316" spans="1:7" s="73" customFormat="1" ht="14.25" customHeight="1">
      <c r="A316" s="84" t="s">
        <v>318</v>
      </c>
      <c r="B316" s="84" t="s">
        <v>3067</v>
      </c>
      <c r="C316" s="84"/>
      <c r="D316" s="84"/>
      <c r="E316" s="84"/>
      <c r="F316" s="84">
        <v>900</v>
      </c>
      <c r="G316" s="96"/>
    </row>
    <row r="317" spans="1:7" s="73" customFormat="1" ht="14.25" customHeight="1">
      <c r="A317" s="84" t="s">
        <v>318</v>
      </c>
      <c r="B317" s="84" t="s">
        <v>3068</v>
      </c>
      <c r="C317" s="84"/>
      <c r="D317" s="84"/>
      <c r="E317" s="84"/>
      <c r="F317" s="84">
        <v>920</v>
      </c>
      <c r="G317" s="96"/>
    </row>
    <row r="318" spans="1:7" s="73" customFormat="1" ht="14.25" customHeight="1">
      <c r="A318" s="84" t="s">
        <v>318</v>
      </c>
      <c r="B318" s="84" t="s">
        <v>3069</v>
      </c>
      <c r="C318" s="84"/>
      <c r="D318" s="84"/>
      <c r="E318" s="84"/>
      <c r="F318" s="84">
        <v>1080</v>
      </c>
      <c r="G318" s="96"/>
    </row>
    <row r="319" spans="1:7" s="73" customFormat="1" ht="14.25" customHeight="1">
      <c r="A319" s="84" t="s">
        <v>318</v>
      </c>
      <c r="B319" s="84" t="s">
        <v>3070</v>
      </c>
      <c r="C319" s="84"/>
      <c r="D319" s="84"/>
      <c r="E319" s="84"/>
      <c r="F319" s="84">
        <v>1020</v>
      </c>
      <c r="G319" s="96"/>
    </row>
    <row r="320" spans="1:7" s="73" customFormat="1" ht="14.25" customHeight="1">
      <c r="A320" s="84" t="s">
        <v>318</v>
      </c>
      <c r="B320" s="84" t="s">
        <v>3071</v>
      </c>
      <c r="C320" s="84"/>
      <c r="D320" s="84"/>
      <c r="E320" s="84"/>
      <c r="F320" s="84">
        <v>1050</v>
      </c>
      <c r="G320" s="96"/>
    </row>
    <row r="321" spans="1:7" s="73" customFormat="1" ht="14.25" customHeight="1">
      <c r="A321" s="84" t="s">
        <v>318</v>
      </c>
      <c r="B321" s="84" t="s">
        <v>3072</v>
      </c>
      <c r="C321" s="84"/>
      <c r="D321" s="84"/>
      <c r="E321" s="84"/>
      <c r="F321" s="84">
        <v>960</v>
      </c>
      <c r="G321" s="96"/>
    </row>
    <row r="322" spans="1:7" s="73" customFormat="1" ht="14.25" customHeight="1">
      <c r="A322" s="84" t="s">
        <v>318</v>
      </c>
      <c r="B322" s="84" t="s">
        <v>3073</v>
      </c>
      <c r="C322" s="84"/>
      <c r="D322" s="84"/>
      <c r="E322" s="84"/>
      <c r="F322" s="84">
        <v>960</v>
      </c>
      <c r="G322" s="96"/>
    </row>
    <row r="323" spans="1:7" s="73" customFormat="1" ht="14.25" customHeight="1">
      <c r="A323" s="84" t="s">
        <v>318</v>
      </c>
      <c r="B323" s="84" t="s">
        <v>3074</v>
      </c>
      <c r="C323" s="84"/>
      <c r="D323" s="84"/>
      <c r="E323" s="84"/>
      <c r="F323" s="84">
        <v>880</v>
      </c>
      <c r="G323" s="96"/>
    </row>
    <row r="324" spans="1:7" s="73" customFormat="1" ht="14.25" customHeight="1">
      <c r="A324" s="84" t="s">
        <v>318</v>
      </c>
      <c r="B324" s="84" t="s">
        <v>3075</v>
      </c>
      <c r="C324" s="84"/>
      <c r="D324" s="84"/>
      <c r="E324" s="84"/>
      <c r="F324" s="84">
        <v>930</v>
      </c>
      <c r="G324" s="96"/>
    </row>
    <row r="325" spans="1:7" s="73" customFormat="1" ht="14.25" customHeight="1">
      <c r="A325" s="84" t="s">
        <v>318</v>
      </c>
      <c r="B325" s="85" t="s">
        <v>3076</v>
      </c>
      <c r="C325" s="84"/>
      <c r="D325" s="84"/>
      <c r="E325" s="84"/>
      <c r="F325" s="84">
        <v>900</v>
      </c>
      <c r="G325" s="96"/>
    </row>
    <row r="326" spans="1:7" s="73" customFormat="1" ht="14.25" customHeight="1">
      <c r="A326" s="97" t="s">
        <v>318</v>
      </c>
      <c r="B326" s="90" t="s">
        <v>3077</v>
      </c>
      <c r="C326" s="90"/>
      <c r="D326" s="90"/>
      <c r="E326" s="90"/>
      <c r="F326" s="90">
        <v>790</v>
      </c>
      <c r="G326" s="98"/>
    </row>
    <row r="327" spans="1:7" s="73" customFormat="1" ht="14.25" customHeight="1">
      <c r="A327" s="88" t="s">
        <v>324</v>
      </c>
      <c r="B327" s="80" t="s">
        <v>3078</v>
      </c>
      <c r="C327" s="84">
        <v>3750</v>
      </c>
      <c r="D327" s="84">
        <v>3710</v>
      </c>
      <c r="E327" s="84">
        <v>4080</v>
      </c>
      <c r="F327" s="84">
        <v>860</v>
      </c>
      <c r="G327" s="84">
        <v>2210</v>
      </c>
    </row>
    <row r="328" spans="1:7" s="73" customFormat="1" ht="14.25" customHeight="1">
      <c r="A328" s="84" t="s">
        <v>324</v>
      </c>
      <c r="B328" s="84" t="s">
        <v>3079</v>
      </c>
      <c r="C328" s="84">
        <v>3330</v>
      </c>
      <c r="D328" s="84">
        <v>3290</v>
      </c>
      <c r="E328" s="84">
        <v>3610</v>
      </c>
      <c r="F328" s="84">
        <v>850</v>
      </c>
      <c r="G328" s="84">
        <v>1960</v>
      </c>
    </row>
    <row r="329" spans="1:7" s="73" customFormat="1" ht="14.25" customHeight="1">
      <c r="A329" s="84" t="s">
        <v>324</v>
      </c>
      <c r="B329" s="84" t="s">
        <v>3080</v>
      </c>
      <c r="C329" s="84">
        <v>2730</v>
      </c>
      <c r="D329" s="84">
        <v>2690</v>
      </c>
      <c r="E329" s="84">
        <v>3100</v>
      </c>
      <c r="F329" s="84">
        <v>660</v>
      </c>
      <c r="G329" s="84">
        <v>1610</v>
      </c>
    </row>
    <row r="330" spans="1:7" s="73" customFormat="1" ht="14.25" customHeight="1">
      <c r="A330" s="84" t="s">
        <v>324</v>
      </c>
      <c r="B330" s="84" t="s">
        <v>3081</v>
      </c>
      <c r="C330" s="84">
        <v>3270</v>
      </c>
      <c r="D330" s="84">
        <v>3240</v>
      </c>
      <c r="E330" s="84">
        <v>3560</v>
      </c>
      <c r="F330" s="84">
        <v>680</v>
      </c>
      <c r="G330" s="84">
        <v>1940</v>
      </c>
    </row>
    <row r="331" spans="1:7" s="73" customFormat="1" ht="14.25" customHeight="1">
      <c r="A331" s="84" t="s">
        <v>324</v>
      </c>
      <c r="B331" s="84" t="s">
        <v>3082</v>
      </c>
      <c r="C331" s="84">
        <v>3770</v>
      </c>
      <c r="D331" s="84">
        <v>3740</v>
      </c>
      <c r="E331" s="84">
        <v>4110</v>
      </c>
      <c r="F331" s="84">
        <v>730</v>
      </c>
      <c r="G331" s="84">
        <v>2230</v>
      </c>
    </row>
    <row r="332" spans="1:7" s="73" customFormat="1" ht="14.25" customHeight="1">
      <c r="A332" s="84" t="s">
        <v>324</v>
      </c>
      <c r="B332" s="84" t="s">
        <v>3083</v>
      </c>
      <c r="C332" s="84">
        <v>3520</v>
      </c>
      <c r="D332" s="84">
        <v>3480</v>
      </c>
      <c r="E332" s="84">
        <v>3830</v>
      </c>
      <c r="F332" s="84">
        <v>720</v>
      </c>
      <c r="G332" s="84">
        <v>2090</v>
      </c>
    </row>
    <row r="333" spans="1:7" s="73" customFormat="1" ht="14.25" customHeight="1">
      <c r="A333" s="84" t="s">
        <v>324</v>
      </c>
      <c r="B333" s="84" t="s">
        <v>3084</v>
      </c>
      <c r="C333" s="84">
        <v>3840</v>
      </c>
      <c r="D333" s="84">
        <v>3800</v>
      </c>
      <c r="E333" s="84">
        <v>4200</v>
      </c>
      <c r="F333" s="84">
        <v>760</v>
      </c>
      <c r="G333" s="84">
        <v>2270</v>
      </c>
    </row>
    <row r="334" spans="1:7" s="73" customFormat="1" ht="14.25" customHeight="1">
      <c r="A334" s="84" t="s">
        <v>324</v>
      </c>
      <c r="B334" s="84" t="s">
        <v>3085</v>
      </c>
      <c r="C334" s="84">
        <v>3960</v>
      </c>
      <c r="D334" s="84">
        <v>3910</v>
      </c>
      <c r="E334" s="84">
        <v>4340</v>
      </c>
      <c r="F334" s="84">
        <v>780</v>
      </c>
      <c r="G334" s="84">
        <v>2340</v>
      </c>
    </row>
    <row r="335" spans="1:7" s="73" customFormat="1" ht="14.25" customHeight="1">
      <c r="A335" s="84" t="s">
        <v>324</v>
      </c>
      <c r="B335" s="84" t="s">
        <v>3086</v>
      </c>
      <c r="C335" s="84">
        <v>3710</v>
      </c>
      <c r="D335" s="84">
        <v>3670</v>
      </c>
      <c r="E335" s="84">
        <v>4030</v>
      </c>
      <c r="F335" s="84">
        <v>750</v>
      </c>
      <c r="G335" s="84">
        <v>2200</v>
      </c>
    </row>
    <row r="336" spans="1:7" s="73" customFormat="1" ht="14.25" customHeight="1">
      <c r="A336" s="84" t="s">
        <v>324</v>
      </c>
      <c r="B336" s="84" t="s">
        <v>3087</v>
      </c>
      <c r="C336" s="84">
        <v>3570</v>
      </c>
      <c r="D336" s="84">
        <v>3530</v>
      </c>
      <c r="E336" s="84">
        <v>3880</v>
      </c>
      <c r="F336" s="84">
        <v>770</v>
      </c>
      <c r="G336" s="84">
        <v>2110</v>
      </c>
    </row>
    <row r="337" spans="1:10" s="73" customFormat="1" ht="14.25" customHeight="1">
      <c r="A337" s="84" t="s">
        <v>324</v>
      </c>
      <c r="B337" s="84" t="s">
        <v>3088</v>
      </c>
      <c r="C337" s="84">
        <v>3780</v>
      </c>
      <c r="D337" s="84">
        <v>3750</v>
      </c>
      <c r="E337" s="84">
        <v>4130</v>
      </c>
      <c r="F337" s="84">
        <v>750</v>
      </c>
      <c r="G337" s="84">
        <v>2240</v>
      </c>
    </row>
    <row r="338" spans="1:10" s="73" customFormat="1" ht="14.25" customHeight="1">
      <c r="A338" s="84" t="s">
        <v>324</v>
      </c>
      <c r="B338" s="84" t="s">
        <v>3089</v>
      </c>
      <c r="C338" s="84">
        <v>3600</v>
      </c>
      <c r="D338" s="84">
        <v>3570</v>
      </c>
      <c r="E338" s="84">
        <v>3920</v>
      </c>
      <c r="F338" s="84">
        <v>790</v>
      </c>
      <c r="G338" s="84">
        <v>2140</v>
      </c>
    </row>
    <row r="339" spans="1:10" s="73" customFormat="1" ht="14.25" customHeight="1">
      <c r="A339" s="84" t="s">
        <v>324</v>
      </c>
      <c r="B339" s="84" t="s">
        <v>3090</v>
      </c>
      <c r="C339" s="84">
        <v>3540</v>
      </c>
      <c r="D339" s="84">
        <v>3500</v>
      </c>
      <c r="E339" s="84">
        <v>3850</v>
      </c>
      <c r="F339" s="84">
        <v>780</v>
      </c>
      <c r="G339" s="84">
        <v>2100</v>
      </c>
    </row>
    <row r="340" spans="1:10" s="73" customFormat="1" ht="14.25" customHeight="1">
      <c r="A340" s="84" t="s">
        <v>324</v>
      </c>
      <c r="B340" s="84" t="s">
        <v>3091</v>
      </c>
      <c r="C340" s="84">
        <v>3850</v>
      </c>
      <c r="D340" s="84">
        <v>3810</v>
      </c>
      <c r="E340" s="84">
        <v>4210</v>
      </c>
      <c r="F340" s="84">
        <v>750</v>
      </c>
      <c r="G340" s="84">
        <v>2280</v>
      </c>
    </row>
    <row r="341" spans="1:10" s="73" customFormat="1" ht="14.25" customHeight="1">
      <c r="A341" s="84" t="s">
        <v>324</v>
      </c>
      <c r="B341" s="84" t="s">
        <v>3092</v>
      </c>
      <c r="C341" s="84">
        <v>3780</v>
      </c>
      <c r="D341" s="84">
        <v>3750</v>
      </c>
      <c r="E341" s="84">
        <v>4140</v>
      </c>
      <c r="F341" s="84">
        <v>720</v>
      </c>
      <c r="G341" s="84">
        <v>2240</v>
      </c>
    </row>
    <row r="342" spans="1:10" s="73" customFormat="1" ht="14.25" customHeight="1">
      <c r="A342" s="84" t="s">
        <v>324</v>
      </c>
      <c r="B342" s="84" t="s">
        <v>3093</v>
      </c>
      <c r="C342" s="84">
        <v>3670</v>
      </c>
      <c r="D342" s="84">
        <v>3620</v>
      </c>
      <c r="E342" s="84">
        <v>3990</v>
      </c>
      <c r="F342" s="84">
        <v>760</v>
      </c>
      <c r="G342" s="84">
        <v>2170</v>
      </c>
    </row>
    <row r="343" spans="1:10" s="73" customFormat="1" ht="14.25" customHeight="1">
      <c r="A343" s="84" t="s">
        <v>324</v>
      </c>
      <c r="B343" s="84" t="s">
        <v>3094</v>
      </c>
      <c r="C343" s="84">
        <v>3760</v>
      </c>
      <c r="D343" s="84">
        <v>3720</v>
      </c>
      <c r="E343" s="84">
        <v>4090</v>
      </c>
      <c r="F343" s="84">
        <v>780</v>
      </c>
      <c r="G343" s="84">
        <v>2220</v>
      </c>
    </row>
    <row r="344" spans="1:10" s="73" customFormat="1" ht="14.25" customHeight="1">
      <c r="A344" s="84" t="s">
        <v>324</v>
      </c>
      <c r="B344" s="84" t="s">
        <v>3095</v>
      </c>
      <c r="C344" s="84">
        <v>3680</v>
      </c>
      <c r="D344" s="84">
        <v>3640</v>
      </c>
      <c r="E344" s="84">
        <v>4010</v>
      </c>
      <c r="F344" s="84">
        <v>750</v>
      </c>
      <c r="G344" s="84">
        <v>2180</v>
      </c>
    </row>
    <row r="345" spans="1:10">
      <c r="A345" s="84" t="s">
        <v>324</v>
      </c>
      <c r="B345" s="84" t="s">
        <v>3096</v>
      </c>
      <c r="C345" s="84">
        <v>3190</v>
      </c>
      <c r="D345" s="84">
        <v>3140</v>
      </c>
      <c r="E345" s="84">
        <v>3450</v>
      </c>
      <c r="F345" s="84">
        <v>720</v>
      </c>
      <c r="G345" s="84">
        <v>1880</v>
      </c>
      <c r="J345" s="73"/>
    </row>
    <row r="346" spans="1:10">
      <c r="A346" s="84" t="s">
        <v>324</v>
      </c>
      <c r="B346" s="84" t="s">
        <v>3097</v>
      </c>
      <c r="C346" s="84">
        <v>3630</v>
      </c>
      <c r="D346" s="84">
        <v>3590</v>
      </c>
      <c r="E346" s="84">
        <v>3940</v>
      </c>
      <c r="F346" s="84">
        <v>730</v>
      </c>
      <c r="G346" s="84">
        <v>2150</v>
      </c>
      <c r="J346" s="73"/>
    </row>
    <row r="347" spans="1:10">
      <c r="A347" s="84" t="s">
        <v>324</v>
      </c>
      <c r="B347" s="84" t="s">
        <v>3098</v>
      </c>
      <c r="C347" s="84">
        <v>3860</v>
      </c>
      <c r="D347" s="84">
        <v>3820</v>
      </c>
      <c r="E347" s="84">
        <v>4220</v>
      </c>
      <c r="F347" s="84">
        <v>750</v>
      </c>
      <c r="G347" s="84">
        <v>2280</v>
      </c>
      <c r="J347" s="73"/>
    </row>
    <row r="348" spans="1:10">
      <c r="A348" s="84" t="s">
        <v>324</v>
      </c>
      <c r="B348" s="84" t="s">
        <v>3099</v>
      </c>
      <c r="C348" s="84">
        <v>4000</v>
      </c>
      <c r="D348" s="84">
        <v>3950</v>
      </c>
      <c r="E348" s="84">
        <v>4430</v>
      </c>
      <c r="F348" s="84">
        <v>760</v>
      </c>
      <c r="G348" s="84">
        <v>2360</v>
      </c>
      <c r="J348" s="73"/>
    </row>
    <row r="349" spans="1:10">
      <c r="A349" s="84" t="s">
        <v>324</v>
      </c>
      <c r="B349" s="84" t="s">
        <v>3100</v>
      </c>
      <c r="C349" s="84">
        <v>3820</v>
      </c>
      <c r="D349" s="84">
        <v>3780</v>
      </c>
      <c r="E349" s="84">
        <v>4170</v>
      </c>
      <c r="F349" s="84">
        <v>710</v>
      </c>
      <c r="G349" s="84">
        <v>2260</v>
      </c>
      <c r="J349" s="73"/>
    </row>
    <row r="350" spans="1:10">
      <c r="A350" s="84" t="s">
        <v>324</v>
      </c>
      <c r="B350" s="84" t="s">
        <v>3101</v>
      </c>
      <c r="C350" s="84">
        <v>3760</v>
      </c>
      <c r="D350" s="84">
        <v>3730</v>
      </c>
      <c r="E350" s="84">
        <v>4100</v>
      </c>
      <c r="F350" s="84">
        <v>800</v>
      </c>
      <c r="G350" s="84">
        <v>2230</v>
      </c>
      <c r="J350" s="73"/>
    </row>
    <row r="351" spans="1:10">
      <c r="A351" s="84" t="s">
        <v>324</v>
      </c>
      <c r="B351" s="84" t="s">
        <v>3102</v>
      </c>
      <c r="C351" s="84">
        <v>3610</v>
      </c>
      <c r="D351" s="84">
        <v>3580</v>
      </c>
      <c r="E351" s="84">
        <v>3930</v>
      </c>
      <c r="F351" s="84">
        <v>700</v>
      </c>
      <c r="G351" s="84">
        <v>2140</v>
      </c>
      <c r="J351" s="73"/>
    </row>
    <row r="352" spans="1:10">
      <c r="A352" s="84" t="s">
        <v>324</v>
      </c>
      <c r="B352" s="84" t="s">
        <v>3103</v>
      </c>
      <c r="C352" s="84">
        <v>3670</v>
      </c>
      <c r="D352" s="84">
        <v>3630</v>
      </c>
      <c r="E352" s="84">
        <v>4000</v>
      </c>
      <c r="F352" s="84">
        <v>750</v>
      </c>
      <c r="G352" s="84">
        <v>2180</v>
      </c>
    </row>
    <row r="353" spans="1:7" s="74" customFormat="1">
      <c r="A353" s="84" t="s">
        <v>324</v>
      </c>
      <c r="B353" s="84" t="s">
        <v>3104</v>
      </c>
      <c r="C353" s="84">
        <v>3190</v>
      </c>
      <c r="D353" s="84">
        <v>3150</v>
      </c>
      <c r="E353" s="84">
        <v>3640</v>
      </c>
      <c r="F353" s="84">
        <v>630</v>
      </c>
      <c r="G353" s="84">
        <v>1890</v>
      </c>
    </row>
    <row r="354" spans="1:7" s="74" customFormat="1">
      <c r="A354" s="84" t="s">
        <v>324</v>
      </c>
      <c r="B354" s="84" t="s">
        <v>3105</v>
      </c>
      <c r="C354" s="84">
        <v>3450</v>
      </c>
      <c r="D354" s="84">
        <v>3420</v>
      </c>
      <c r="E354" s="84">
        <v>3960</v>
      </c>
      <c r="F354" s="84">
        <v>660</v>
      </c>
      <c r="G354" s="84">
        <v>2050</v>
      </c>
    </row>
    <row r="355" spans="1:7" s="74" customFormat="1">
      <c r="A355" s="84" t="s">
        <v>324</v>
      </c>
      <c r="B355" s="84" t="s">
        <v>3106</v>
      </c>
      <c r="C355" s="84">
        <v>3650</v>
      </c>
      <c r="D355" s="84">
        <v>3610</v>
      </c>
      <c r="E355" s="84">
        <v>4200</v>
      </c>
      <c r="F355" s="84">
        <v>640</v>
      </c>
      <c r="G355" s="84">
        <v>2160</v>
      </c>
    </row>
    <row r="356" spans="1:7" s="74" customFormat="1">
      <c r="A356" s="84" t="s">
        <v>324</v>
      </c>
      <c r="B356" s="84" t="s">
        <v>3107</v>
      </c>
      <c r="C356" s="84">
        <v>3260</v>
      </c>
      <c r="D356" s="84">
        <v>3230</v>
      </c>
      <c r="E356" s="84">
        <v>3740</v>
      </c>
      <c r="F356" s="84">
        <v>600</v>
      </c>
      <c r="G356" s="84">
        <v>1930</v>
      </c>
    </row>
    <row r="357" spans="1:7" s="74" customFormat="1">
      <c r="A357" s="91" t="s">
        <v>324</v>
      </c>
      <c r="B357" s="94" t="s">
        <v>3108</v>
      </c>
      <c r="C357" s="94">
        <v>3690</v>
      </c>
      <c r="D357" s="94">
        <v>3650</v>
      </c>
      <c r="E357" s="94">
        <v>4020</v>
      </c>
      <c r="F357" s="94">
        <v>700</v>
      </c>
      <c r="G357" s="94">
        <v>2190</v>
      </c>
    </row>
    <row r="358" spans="1:7" s="74" customFormat="1">
      <c r="A358" s="88" t="s">
        <v>330</v>
      </c>
      <c r="B358" s="80" t="s">
        <v>3109</v>
      </c>
      <c r="C358" s="80">
        <v>2080</v>
      </c>
      <c r="D358" s="80">
        <v>2040</v>
      </c>
      <c r="E358" s="80">
        <v>2010</v>
      </c>
      <c r="F358" s="80">
        <v>530</v>
      </c>
      <c r="G358" s="95">
        <v>1230</v>
      </c>
    </row>
    <row r="359" spans="1:7" s="74" customFormat="1">
      <c r="A359" s="84" t="s">
        <v>330</v>
      </c>
      <c r="B359" s="84" t="s">
        <v>3110</v>
      </c>
      <c r="C359" s="84">
        <v>1850</v>
      </c>
      <c r="D359" s="84">
        <v>1820</v>
      </c>
      <c r="E359" s="84">
        <v>1780</v>
      </c>
      <c r="F359" s="84">
        <v>520</v>
      </c>
      <c r="G359" s="96">
        <v>1100</v>
      </c>
    </row>
    <row r="360" spans="1:7" s="74" customFormat="1">
      <c r="A360" s="84" t="s">
        <v>330</v>
      </c>
      <c r="B360" s="84" t="s">
        <v>3111</v>
      </c>
      <c r="C360" s="84">
        <v>2020</v>
      </c>
      <c r="D360" s="84">
        <v>1990</v>
      </c>
      <c r="E360" s="84">
        <v>1950</v>
      </c>
      <c r="F360" s="84">
        <v>500</v>
      </c>
      <c r="G360" s="96">
        <v>1200</v>
      </c>
    </row>
    <row r="361" spans="1:7" s="74" customFormat="1">
      <c r="A361" s="84" t="s">
        <v>330</v>
      </c>
      <c r="B361" s="84" t="s">
        <v>3112</v>
      </c>
      <c r="C361" s="84">
        <v>2260</v>
      </c>
      <c r="D361" s="84">
        <v>2220</v>
      </c>
      <c r="E361" s="84">
        <v>2180</v>
      </c>
      <c r="F361" s="84">
        <v>580</v>
      </c>
      <c r="G361" s="96">
        <v>1340</v>
      </c>
    </row>
    <row r="362" spans="1:7" s="74" customFormat="1">
      <c r="A362" s="84" t="s">
        <v>330</v>
      </c>
      <c r="B362" s="84" t="s">
        <v>3113</v>
      </c>
      <c r="C362" s="84">
        <v>2650</v>
      </c>
      <c r="D362" s="84">
        <v>2610</v>
      </c>
      <c r="E362" s="84">
        <v>2570</v>
      </c>
      <c r="F362" s="84">
        <v>630</v>
      </c>
      <c r="G362" s="96">
        <v>1570</v>
      </c>
    </row>
    <row r="363" spans="1:7" s="74" customFormat="1">
      <c r="A363" s="84" t="s">
        <v>330</v>
      </c>
      <c r="B363" s="84" t="s">
        <v>3114</v>
      </c>
      <c r="C363" s="84">
        <v>2390</v>
      </c>
      <c r="D363" s="84">
        <v>2360</v>
      </c>
      <c r="E363" s="84">
        <v>2320</v>
      </c>
      <c r="F363" s="84">
        <v>600</v>
      </c>
      <c r="G363" s="96">
        <v>1420</v>
      </c>
    </row>
    <row r="364" spans="1:7" s="74" customFormat="1">
      <c r="A364" s="84" t="s">
        <v>330</v>
      </c>
      <c r="B364" s="84" t="s">
        <v>3115</v>
      </c>
      <c r="C364" s="84">
        <v>2050</v>
      </c>
      <c r="D364" s="84">
        <v>2030</v>
      </c>
      <c r="E364" s="84">
        <v>1990</v>
      </c>
      <c r="F364" s="84">
        <v>550</v>
      </c>
      <c r="G364" s="96">
        <v>1220</v>
      </c>
    </row>
    <row r="365" spans="1:7" s="74" customFormat="1">
      <c r="A365" s="84" t="s">
        <v>330</v>
      </c>
      <c r="B365" s="84" t="s">
        <v>3116</v>
      </c>
      <c r="C365" s="84">
        <v>2140</v>
      </c>
      <c r="D365" s="84">
        <v>2100</v>
      </c>
      <c r="E365" s="84">
        <v>2060</v>
      </c>
      <c r="F365" s="84">
        <v>540</v>
      </c>
      <c r="G365" s="96">
        <v>1270</v>
      </c>
    </row>
    <row r="366" spans="1:7" s="74" customFormat="1">
      <c r="A366" s="84" t="s">
        <v>330</v>
      </c>
      <c r="B366" s="84" t="s">
        <v>3117</v>
      </c>
      <c r="C366" s="84">
        <v>2410</v>
      </c>
      <c r="D366" s="84">
        <v>2370</v>
      </c>
      <c r="E366" s="84">
        <v>2330</v>
      </c>
      <c r="F366" s="84">
        <v>570</v>
      </c>
      <c r="G366" s="96">
        <v>1440</v>
      </c>
    </row>
    <row r="367" spans="1:7" s="74" customFormat="1">
      <c r="A367" s="84" t="s">
        <v>330</v>
      </c>
      <c r="B367" s="84" t="s">
        <v>3118</v>
      </c>
      <c r="C367" s="84">
        <v>2300</v>
      </c>
      <c r="D367" s="84">
        <v>2260</v>
      </c>
      <c r="E367" s="84">
        <v>2220</v>
      </c>
      <c r="F367" s="84">
        <v>560</v>
      </c>
      <c r="G367" s="96">
        <v>1370</v>
      </c>
    </row>
    <row r="368" spans="1:7" s="74" customFormat="1">
      <c r="A368" s="84" t="s">
        <v>330</v>
      </c>
      <c r="B368" s="84" t="s">
        <v>3119</v>
      </c>
      <c r="C368" s="84">
        <v>2430</v>
      </c>
      <c r="D368" s="84">
        <v>2390</v>
      </c>
      <c r="E368" s="84">
        <v>2350</v>
      </c>
      <c r="F368" s="84">
        <v>570</v>
      </c>
      <c r="G368" s="96">
        <v>1450</v>
      </c>
    </row>
    <row r="369" spans="1:7" s="74" customFormat="1">
      <c r="A369" s="84" t="s">
        <v>330</v>
      </c>
      <c r="B369" s="84" t="s">
        <v>3120</v>
      </c>
      <c r="C369" s="84">
        <v>2320</v>
      </c>
      <c r="D369" s="84">
        <v>2290</v>
      </c>
      <c r="E369" s="84">
        <v>2250</v>
      </c>
      <c r="F369" s="84">
        <v>550</v>
      </c>
      <c r="G369" s="96">
        <v>1380</v>
      </c>
    </row>
    <row r="370" spans="1:7" s="74" customFormat="1">
      <c r="A370" s="84" t="s">
        <v>330</v>
      </c>
      <c r="B370" s="84" t="s">
        <v>3121</v>
      </c>
      <c r="C370" s="84">
        <v>2190</v>
      </c>
      <c r="D370" s="84">
        <v>2170</v>
      </c>
      <c r="E370" s="84">
        <v>2130</v>
      </c>
      <c r="F370" s="84">
        <v>530</v>
      </c>
      <c r="G370" s="96">
        <v>1310</v>
      </c>
    </row>
    <row r="371" spans="1:7" s="74" customFormat="1">
      <c r="A371" s="84" t="s">
        <v>330</v>
      </c>
      <c r="B371" s="84" t="s">
        <v>3122</v>
      </c>
      <c r="C371" s="84">
        <v>2460</v>
      </c>
      <c r="D371" s="84">
        <v>2420</v>
      </c>
      <c r="E371" s="84">
        <v>2370</v>
      </c>
      <c r="F371" s="84">
        <v>560</v>
      </c>
      <c r="G371" s="96">
        <v>1470</v>
      </c>
    </row>
    <row r="372" spans="1:7" s="74" customFormat="1">
      <c r="A372" s="84" t="s">
        <v>330</v>
      </c>
      <c r="B372" s="84" t="s">
        <v>3123</v>
      </c>
      <c r="C372" s="84">
        <v>2250</v>
      </c>
      <c r="D372" s="84">
        <v>2210</v>
      </c>
      <c r="E372" s="84">
        <v>2180</v>
      </c>
      <c r="F372" s="84">
        <v>550</v>
      </c>
      <c r="G372" s="96">
        <v>1340</v>
      </c>
    </row>
    <row r="373" spans="1:7" s="74" customFormat="1">
      <c r="A373" s="84" t="s">
        <v>330</v>
      </c>
      <c r="B373" s="84" t="s">
        <v>3124</v>
      </c>
      <c r="C373" s="84">
        <v>2210</v>
      </c>
      <c r="D373" s="84">
        <v>2190</v>
      </c>
      <c r="E373" s="84">
        <v>2150</v>
      </c>
      <c r="F373" s="84">
        <v>530</v>
      </c>
      <c r="G373" s="96">
        <v>1320</v>
      </c>
    </row>
    <row r="374" spans="1:7" s="74" customFormat="1">
      <c r="A374" s="84" t="s">
        <v>330</v>
      </c>
      <c r="B374" s="84" t="s">
        <v>3125</v>
      </c>
      <c r="C374" s="84">
        <v>2320</v>
      </c>
      <c r="D374" s="84">
        <v>2280</v>
      </c>
      <c r="E374" s="84">
        <v>2230</v>
      </c>
      <c r="F374" s="84">
        <v>580</v>
      </c>
      <c r="G374" s="96">
        <v>1380</v>
      </c>
    </row>
    <row r="375" spans="1:7" s="74" customFormat="1">
      <c r="A375" s="84" t="s">
        <v>330</v>
      </c>
      <c r="B375" s="84" t="s">
        <v>3126</v>
      </c>
      <c r="C375" s="84">
        <v>2090</v>
      </c>
      <c r="D375" s="84">
        <v>2050</v>
      </c>
      <c r="E375" s="84">
        <v>2020</v>
      </c>
      <c r="F375" s="84">
        <v>520</v>
      </c>
      <c r="G375" s="96">
        <v>1240</v>
      </c>
    </row>
    <row r="376" spans="1:7" s="74" customFormat="1">
      <c r="A376" s="84" t="s">
        <v>330</v>
      </c>
      <c r="B376" s="84" t="s">
        <v>3127</v>
      </c>
      <c r="C376" s="84">
        <v>2010</v>
      </c>
      <c r="D376" s="84">
        <v>1980</v>
      </c>
      <c r="E376" s="84">
        <v>1940</v>
      </c>
      <c r="F376" s="84">
        <v>540</v>
      </c>
      <c r="G376" s="96">
        <v>1190</v>
      </c>
    </row>
    <row r="377" spans="1:7" s="74" customFormat="1">
      <c r="A377" s="91" t="s">
        <v>330</v>
      </c>
      <c r="B377" s="94" t="s">
        <v>3128</v>
      </c>
      <c r="C377" s="94">
        <v>1930</v>
      </c>
      <c r="D377" s="94">
        <v>1890</v>
      </c>
      <c r="E377" s="94">
        <v>1860</v>
      </c>
      <c r="F377" s="94">
        <v>530</v>
      </c>
      <c r="G377" s="99">
        <v>1150</v>
      </c>
    </row>
    <row r="378" spans="1:7" s="74" customFormat="1">
      <c r="A378" s="100" t="s">
        <v>336</v>
      </c>
      <c r="B378" s="80" t="s">
        <v>3129</v>
      </c>
      <c r="C378" s="80">
        <v>1520</v>
      </c>
      <c r="D378" s="80">
        <v>1490</v>
      </c>
      <c r="E378" s="80">
        <v>1460</v>
      </c>
      <c r="F378" s="80">
        <v>460</v>
      </c>
      <c r="G378" s="95">
        <v>940</v>
      </c>
    </row>
    <row r="379" spans="1:7" s="74" customFormat="1">
      <c r="A379" s="101" t="s">
        <v>336</v>
      </c>
      <c r="B379" s="84" t="s">
        <v>3130</v>
      </c>
      <c r="C379" s="84">
        <v>1500</v>
      </c>
      <c r="D379" s="84">
        <v>1470</v>
      </c>
      <c r="E379" s="84">
        <v>1430</v>
      </c>
      <c r="F379" s="84">
        <v>460</v>
      </c>
      <c r="G379" s="96">
        <v>920</v>
      </c>
    </row>
    <row r="380" spans="1:7" s="74" customFormat="1">
      <c r="A380" s="101" t="s">
        <v>336</v>
      </c>
      <c r="B380" s="84" t="s">
        <v>3131</v>
      </c>
      <c r="C380" s="84">
        <v>1620</v>
      </c>
      <c r="D380" s="84">
        <v>1590</v>
      </c>
      <c r="E380" s="84">
        <v>1560</v>
      </c>
      <c r="F380" s="84">
        <v>480</v>
      </c>
      <c r="G380" s="96">
        <v>1000</v>
      </c>
    </row>
    <row r="381" spans="1:7" s="74" customFormat="1">
      <c r="A381" s="101" t="s">
        <v>336</v>
      </c>
      <c r="B381" s="84" t="s">
        <v>3132</v>
      </c>
      <c r="C381" s="84">
        <v>1460</v>
      </c>
      <c r="D381" s="84">
        <v>1430</v>
      </c>
      <c r="E381" s="84">
        <v>1390</v>
      </c>
      <c r="F381" s="84">
        <v>450</v>
      </c>
      <c r="G381" s="96">
        <v>900</v>
      </c>
    </row>
    <row r="382" spans="1:7" s="74" customFormat="1">
      <c r="A382" s="101" t="s">
        <v>336</v>
      </c>
      <c r="B382" s="84" t="s">
        <v>3133</v>
      </c>
      <c r="C382" s="84">
        <v>1310</v>
      </c>
      <c r="D382" s="84">
        <v>1280</v>
      </c>
      <c r="E382" s="84">
        <v>1250</v>
      </c>
      <c r="F382" s="84">
        <v>440</v>
      </c>
      <c r="G382" s="96">
        <v>800</v>
      </c>
    </row>
    <row r="383" spans="1:7" s="74" customFormat="1">
      <c r="A383" s="101" t="s">
        <v>336</v>
      </c>
      <c r="B383" s="84" t="s">
        <v>3134</v>
      </c>
      <c r="C383" s="84">
        <v>1260</v>
      </c>
      <c r="D383" s="84">
        <v>1230</v>
      </c>
      <c r="E383" s="84">
        <v>1200</v>
      </c>
      <c r="F383" s="84">
        <v>420</v>
      </c>
      <c r="G383" s="96">
        <v>770</v>
      </c>
    </row>
    <row r="384" spans="1:7" s="74" customFormat="1">
      <c r="A384" s="102" t="s">
        <v>336</v>
      </c>
      <c r="B384" s="90" t="s">
        <v>3135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46026</v>
      </c>
      <c r="D1" s="7" t="s">
        <v>3269</v>
      </c>
      <c r="E1" s="9">
        <f>'数据-取费表'!B22</f>
        <v>3</v>
      </c>
      <c r="F1" s="7" t="s">
        <v>3270</v>
      </c>
      <c r="G1" s="10">
        <f ca="1">IF(OR(C1&lt;C27,E1&lt;=1),INDIRECT("d"&amp;$K$1)/100,ROUND((D5+(E1-C5)*(D7-D5)/(C7-C5))/100,4))</f>
        <v>3.2500000000000001E-2</v>
      </c>
      <c r="H1" s="7" t="s">
        <v>3271</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3296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3297</v>
      </c>
      <c r="Y42" s="62" t="s">
        <v>3297</v>
      </c>
      <c r="Z42" s="62" t="s">
        <v>3297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3297</v>
      </c>
      <c r="Y43" s="62" t="s">
        <v>3297</v>
      </c>
      <c r="Z43" s="62" t="s">
        <v>3297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3297</v>
      </c>
      <c r="Y44" s="62" t="s">
        <v>3297</v>
      </c>
      <c r="Z44" s="62" t="s">
        <v>3297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3297</v>
      </c>
      <c r="Y45" s="62" t="s">
        <v>3297</v>
      </c>
      <c r="Z45" s="62" t="s">
        <v>3297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3297</v>
      </c>
      <c r="Y46" s="62" t="s">
        <v>3297</v>
      </c>
      <c r="Z46" s="62" t="s">
        <v>3297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3297</v>
      </c>
      <c r="Y47" s="62" t="s">
        <v>3297</v>
      </c>
      <c r="Z47" s="62" t="s">
        <v>3297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3297</v>
      </c>
      <c r="Y48" s="62" t="s">
        <v>3297</v>
      </c>
      <c r="Z48" s="62" t="s">
        <v>3297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3297</v>
      </c>
      <c r="Y49" s="62" t="s">
        <v>3297</v>
      </c>
      <c r="Z49" s="62" t="s">
        <v>3297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3297</v>
      </c>
      <c r="Y50" s="62" t="s">
        <v>3297</v>
      </c>
      <c r="Z50" s="62" t="s">
        <v>3297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3297</v>
      </c>
      <c r="V51" s="62" t="s">
        <v>3297</v>
      </c>
      <c r="W51" s="62" t="s">
        <v>3297</v>
      </c>
      <c r="X51" s="62" t="s">
        <v>3297</v>
      </c>
      <c r="Y51" s="62" t="s">
        <v>3297</v>
      </c>
      <c r="Z51" s="62" t="s">
        <v>3297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3297</v>
      </c>
      <c r="J70" s="62" t="s">
        <v>3297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50"/>
      <c r="B3" s="3250"/>
      <c r="C3" s="3250"/>
      <c r="D3" s="3185" t="s">
        <v>110</v>
      </c>
      <c r="E3" s="3185" t="s">
        <v>111</v>
      </c>
      <c r="F3" s="3185" t="s">
        <v>110</v>
      </c>
      <c r="G3" s="3185" t="s">
        <v>111</v>
      </c>
      <c r="H3" s="3185" t="s">
        <v>110</v>
      </c>
      <c r="I3" s="3185" t="s">
        <v>111</v>
      </c>
    </row>
    <row r="4" spans="1:9" ht="45">
      <c r="A4" s="3186" t="str">
        <f>项目基本情况!S2</f>
        <v>北京市北京经济技术开发区兴海路1号院1号楼-3至6层商业、地下车库用房房地产</v>
      </c>
      <c r="B4" s="3185">
        <f>项目基本情况!C17</f>
        <v>154306.03</v>
      </c>
      <c r="C4" s="3185">
        <f>项目基本情况!C18</f>
        <v>42276.47</v>
      </c>
      <c r="D4" s="3185">
        <f ca="1">结果表!D118</f>
        <v>182397</v>
      </c>
      <c r="E4" s="3185">
        <f ca="1">结果表!E118</f>
        <v>11821</v>
      </c>
      <c r="F4" s="3185">
        <f ca="1">结果表!F118</f>
        <v>159171</v>
      </c>
      <c r="G4" s="3185">
        <f ca="1">结果表!G118</f>
        <v>10315</v>
      </c>
      <c r="H4" s="3185">
        <f ca="1">结果表!H118</f>
        <v>341568</v>
      </c>
      <c r="I4" s="3185">
        <f ca="1">结果表!I118</f>
        <v>22136</v>
      </c>
    </row>
    <row r="5" spans="1:9" ht="30" customHeight="1">
      <c r="A5" s="3250" t="s">
        <v>112</v>
      </c>
      <c r="B5" s="3250"/>
      <c r="C5" s="3250"/>
      <c r="D5" s="3250" t="str">
        <f ca="1">结果表!D119</f>
        <v>壹拾捌亿贰仟叁佰玖拾柒万元整</v>
      </c>
      <c r="E5" s="3250"/>
      <c r="F5" s="3250" t="str">
        <f ca="1">结果表!F119</f>
        <v>壹拾伍亿玖仟壹佰柒拾壹万元整</v>
      </c>
      <c r="G5" s="3250"/>
      <c r="H5" s="3250" t="str">
        <f ca="1">结果表!H119</f>
        <v>叁拾肆亿壹仟伍佰陆拾捌万元整</v>
      </c>
      <c r="I5" s="3250"/>
    </row>
    <row r="6" spans="1:9" ht="15.6">
      <c r="A6" s="3251" t="str">
        <f>结果表!A120</f>
        <v>估价师知悉的法定优先受偿款</v>
      </c>
      <c r="B6" s="3251"/>
      <c r="C6" s="3251"/>
      <c r="D6" s="3251">
        <f>结果表!D120</f>
        <v>0</v>
      </c>
      <c r="E6" s="3251"/>
      <c r="F6" s="3251"/>
      <c r="G6" s="3251"/>
      <c r="H6" s="3251"/>
      <c r="I6" s="3251"/>
    </row>
    <row r="7" spans="1:9" ht="15">
      <c r="A7" s="3250" t="s">
        <v>112</v>
      </c>
      <c r="B7" s="3250"/>
      <c r="C7" s="3250"/>
      <c r="D7" s="3252" t="str">
        <f>结果表!D121</f>
        <v>零元整</v>
      </c>
      <c r="E7" s="3253"/>
      <c r="F7" s="3253"/>
      <c r="G7" s="3253"/>
      <c r="H7" s="3253"/>
      <c r="I7" s="3254"/>
    </row>
    <row r="8" spans="1:9" ht="15.6">
      <c r="A8" s="3251" t="str">
        <f>结果表!A122</f>
        <v>房地产抵押价值</v>
      </c>
      <c r="B8" s="3251"/>
      <c r="C8" s="3251"/>
      <c r="D8" s="3251">
        <f ca="1">结果表!D122</f>
        <v>341568</v>
      </c>
      <c r="E8" s="3251"/>
      <c r="F8" s="3251"/>
      <c r="G8" s="3251"/>
      <c r="H8" s="3251"/>
      <c r="I8" s="3251"/>
    </row>
    <row r="9" spans="1:9" ht="15">
      <c r="A9" s="3250" t="s">
        <v>112</v>
      </c>
      <c r="B9" s="3250"/>
      <c r="C9" s="3250"/>
      <c r="D9" s="3250" t="str">
        <f ca="1">结果表!D123</f>
        <v>叁拾肆亿壹仟伍佰陆拾捌万元整</v>
      </c>
      <c r="E9" s="3250"/>
      <c r="F9" s="3250"/>
      <c r="G9" s="3250"/>
      <c r="H9" s="3250"/>
      <c r="I9" s="3250"/>
    </row>
    <row r="10" spans="1:9" ht="15.6">
      <c r="A10" s="3251" t="str">
        <f>结果表!A124</f>
        <v/>
      </c>
      <c r="B10" s="3251"/>
      <c r="C10" s="3251"/>
      <c r="D10" s="3251" t="str">
        <f>结果表!D124</f>
        <v>——</v>
      </c>
      <c r="E10" s="3251"/>
      <c r="F10" s="3251"/>
      <c r="G10" s="3251"/>
      <c r="H10" s="3251"/>
      <c r="I10" s="3251"/>
    </row>
    <row r="11" spans="1:9" ht="15">
      <c r="A11" s="3250" t="s">
        <v>112</v>
      </c>
      <c r="B11" s="3250"/>
      <c r="C11" s="3250"/>
      <c r="D11" s="3250" t="e">
        <f>结果表!D125</f>
        <v>#VALUE!</v>
      </c>
      <c r="E11" s="3250"/>
      <c r="F11" s="3250"/>
      <c r="G11" s="3250"/>
      <c r="H11" s="3250"/>
      <c r="I11" s="3250"/>
    </row>
    <row r="12" spans="1:9" ht="15.6">
      <c r="A12" s="3251" t="str">
        <f>结果表!A126</f>
        <v/>
      </c>
      <c r="B12" s="3251"/>
      <c r="C12" s="3251"/>
      <c r="D12" s="3251" t="str">
        <f>结果表!D126</f>
        <v>——</v>
      </c>
      <c r="E12" s="3251"/>
      <c r="F12" s="3251"/>
      <c r="G12" s="3251"/>
      <c r="H12" s="3251"/>
      <c r="I12" s="3251"/>
    </row>
    <row r="13" spans="1:9" ht="15">
      <c r="A13" s="3255" t="s">
        <v>112</v>
      </c>
      <c r="B13" s="3255"/>
      <c r="C13" s="3255"/>
      <c r="D13" s="3255" t="e">
        <f>结果表!D127</f>
        <v>#VALUE!</v>
      </c>
      <c r="E13" s="3255"/>
      <c r="F13" s="3255"/>
      <c r="G13" s="3255"/>
      <c r="H13" s="3255"/>
      <c r="I13" s="3255"/>
    </row>
    <row r="14" spans="1:9">
      <c r="A14" s="3256" t="s">
        <v>113</v>
      </c>
      <c r="B14" s="3256"/>
      <c r="C14" s="3256"/>
      <c r="D14" s="3256"/>
      <c r="E14" s="3256"/>
      <c r="F14" s="3256"/>
      <c r="G14" s="3256"/>
      <c r="H14" s="3256"/>
      <c r="I14" s="3256"/>
    </row>
    <row r="16" spans="1:9" ht="17.399999999999999">
      <c r="A16" s="318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57" t="s">
        <v>114</v>
      </c>
      <c r="B1" s="3257"/>
      <c r="C1" s="3257"/>
      <c r="D1" s="3257"/>
    </row>
    <row r="2" spans="1:4" ht="17.399999999999999">
      <c r="A2" s="3258" t="s">
        <v>115</v>
      </c>
      <c r="B2" s="3258"/>
      <c r="C2" s="3258"/>
      <c r="D2" s="3258"/>
    </row>
    <row r="3" spans="1:4" ht="17.399999999999999">
      <c r="A3" s="3175" t="s">
        <v>116</v>
      </c>
      <c r="B3" s="3175" t="s">
        <v>117</v>
      </c>
      <c r="C3" s="3175" t="s">
        <v>118</v>
      </c>
      <c r="D3" s="3175" t="s">
        <v>119</v>
      </c>
    </row>
    <row r="4" spans="1:4" ht="56.25" customHeight="1">
      <c r="A4" s="3176" t="str">
        <f>项目基本情况!B4</f>
        <v>郑燚</v>
      </c>
      <c r="B4" s="3177">
        <f ca="1">项目基本情况!C4</f>
        <v>0</v>
      </c>
      <c r="C4" s="3178"/>
      <c r="D4" s="3179" t="s">
        <v>120</v>
      </c>
    </row>
    <row r="5" spans="1:4" ht="56.25" customHeight="1">
      <c r="A5" s="3176" t="str">
        <f>项目基本情况!D4</f>
        <v>吴薇</v>
      </c>
      <c r="B5" s="3177">
        <f ca="1">项目基本情况!E4</f>
        <v>0</v>
      </c>
      <c r="C5" s="3180"/>
      <c r="D5" s="3179" t="s">
        <v>120</v>
      </c>
    </row>
    <row r="6" spans="1:4" ht="17.399999999999999">
      <c r="A6" s="3258" t="s">
        <v>121</v>
      </c>
      <c r="B6" s="3258"/>
      <c r="C6" s="3258"/>
      <c r="D6" s="3258"/>
    </row>
    <row r="7" spans="1:4" ht="17.399999999999999">
      <c r="A7" s="3175" t="s">
        <v>116</v>
      </c>
      <c r="B7" s="3177" t="s">
        <v>122</v>
      </c>
      <c r="C7" s="3175" t="s">
        <v>118</v>
      </c>
      <c r="D7" s="3175" t="s">
        <v>119</v>
      </c>
    </row>
    <row r="8" spans="1:4" ht="56.25" customHeight="1">
      <c r="A8" s="3181" t="s">
        <v>123</v>
      </c>
      <c r="B8" s="3181" t="s">
        <v>124</v>
      </c>
      <c r="C8" s="3178"/>
      <c r="D8" s="3179" t="s">
        <v>120</v>
      </c>
    </row>
    <row r="10" spans="1:4" ht="17.399999999999999">
      <c r="A10" s="3174" t="s">
        <v>125</v>
      </c>
    </row>
    <row r="11" spans="1:4" ht="30" customHeight="1">
      <c r="A11" s="3259" t="s">
        <v>126</v>
      </c>
      <c r="B11" s="3260"/>
      <c r="C11" s="3260"/>
      <c r="D11" s="3260"/>
    </row>
    <row r="12" spans="1:4" ht="15.6">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2" t="s">
        <v>127</v>
      </c>
      <c r="B16" s="3262"/>
      <c r="C16" s="3262"/>
      <c r="D16" s="3262"/>
    </row>
    <row r="17" spans="1:4" ht="144" customHeight="1">
      <c r="A17" s="3262" t="s">
        <v>128</v>
      </c>
      <c r="B17" s="3262"/>
      <c r="C17" s="3262"/>
      <c r="D17" s="3262"/>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3"/>
      <c r="C21" s="3263"/>
      <c r="D21" s="3263"/>
    </row>
    <row r="22" spans="1:4" ht="18.75" customHeight="1">
      <c r="A22" s="3264" t="s">
        <v>129</v>
      </c>
      <c r="B22" s="3264"/>
      <c r="C22" s="3264"/>
      <c r="D22" s="3264"/>
    </row>
    <row r="23" spans="1:4">
      <c r="A23" s="3182"/>
      <c r="B23" s="1493"/>
      <c r="C23" s="1493"/>
      <c r="D23" s="1493"/>
    </row>
    <row r="24" spans="1:4">
      <c r="A24" s="3182"/>
      <c r="B24" s="1493"/>
      <c r="C24" s="1493"/>
      <c r="D24" s="1493"/>
    </row>
    <row r="25" spans="1:4" ht="17.399999999999999">
      <c r="A25" s="3183" t="s">
        <v>130</v>
      </c>
    </row>
    <row r="26" spans="1:4" ht="17.399999999999999">
      <c r="A26" s="3184"/>
    </row>
    <row r="27" spans="1:4" ht="17.399999999999999">
      <c r="A27" s="3184" t="s">
        <v>131</v>
      </c>
    </row>
    <row r="30" spans="1:4" ht="17.399999999999999">
      <c r="D30" s="3183" t="s">
        <v>132</v>
      </c>
    </row>
    <row r="31" spans="1:4" ht="13.5" customHeight="1">
      <c r="C31" s="3265">
        <v>42551</v>
      </c>
      <c r="D31" s="32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1" customWidth="1"/>
    <col min="3" max="10" width="12.44140625" style="3171" customWidth="1"/>
    <col min="11" max="16384" width="9" style="3171"/>
  </cols>
  <sheetData>
    <row r="1" spans="1:1" ht="17.399999999999999">
      <c r="A1" s="3172" t="s">
        <v>133</v>
      </c>
    </row>
    <row r="2" spans="1:1" ht="17.399999999999999">
      <c r="A2" s="3173"/>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4" customWidth="1"/>
    <col min="2" max="16384" width="14.44140625" style="280"/>
  </cols>
  <sheetData>
    <row r="1" spans="1:7" s="3153" customFormat="1" ht="17.399999999999999">
      <c r="A1" s="3155" t="s">
        <v>134</v>
      </c>
    </row>
    <row r="3" spans="1:7">
      <c r="A3" s="3156" t="s">
        <v>135</v>
      </c>
      <c r="B3" s="280" t="s">
        <v>136</v>
      </c>
      <c r="G3" s="3157"/>
    </row>
    <row r="4" spans="1:7">
      <c r="G4" s="3157"/>
    </row>
    <row r="5" spans="1:7">
      <c r="A5" s="3158" t="s">
        <v>137</v>
      </c>
      <c r="B5" s="280" t="s">
        <v>138</v>
      </c>
      <c r="G5" s="3157"/>
    </row>
    <row r="6" spans="1:7">
      <c r="G6" s="3157"/>
    </row>
    <row r="7" spans="1:7">
      <c r="A7" s="3159" t="s">
        <v>139</v>
      </c>
      <c r="B7" s="280" t="s">
        <v>140</v>
      </c>
      <c r="G7" s="3157"/>
    </row>
    <row r="8" spans="1:7">
      <c r="G8" s="3157"/>
    </row>
    <row r="9" spans="1:7">
      <c r="A9" s="3160" t="s">
        <v>141</v>
      </c>
      <c r="B9" s="280" t="s">
        <v>142</v>
      </c>
    </row>
    <row r="11" spans="1:7">
      <c r="A11" s="3161" t="s">
        <v>143</v>
      </c>
      <c r="B11" s="3162" t="s">
        <v>144</v>
      </c>
    </row>
    <row r="13" spans="1:7">
      <c r="A13" s="3163" t="s">
        <v>145</v>
      </c>
    </row>
    <row r="15" spans="1:7" ht="14.4">
      <c r="A15" s="3269" t="s">
        <v>146</v>
      </c>
      <c r="B15" s="3266" t="s">
        <v>147</v>
      </c>
      <c r="C15" s="3267"/>
    </row>
    <row r="16" spans="1:7" ht="14.4">
      <c r="A16" s="3270"/>
      <c r="B16" s="3266" t="s">
        <v>148</v>
      </c>
      <c r="C16" s="3267"/>
    </row>
    <row r="17" spans="1:3" ht="14.4">
      <c r="A17" s="3270"/>
      <c r="B17" s="3273" t="s">
        <v>149</v>
      </c>
      <c r="C17" s="3164" t="s">
        <v>146</v>
      </c>
    </row>
    <row r="18" spans="1:3" ht="14.4">
      <c r="A18" s="3270"/>
      <c r="B18" s="3273"/>
      <c r="C18" s="3164" t="s">
        <v>150</v>
      </c>
    </row>
    <row r="19" spans="1:3" ht="14.4">
      <c r="A19" s="3270"/>
      <c r="B19" s="3273"/>
      <c r="C19" s="3164" t="s">
        <v>151</v>
      </c>
    </row>
    <row r="20" spans="1:3" ht="14.4">
      <c r="A20" s="3271"/>
      <c r="B20" s="3268" t="s">
        <v>152</v>
      </c>
      <c r="C20" s="3267"/>
    </row>
    <row r="21" spans="1:3" ht="14.4">
      <c r="A21" s="3165" t="s">
        <v>153</v>
      </c>
      <c r="B21" s="3166"/>
      <c r="C21" s="3167"/>
    </row>
    <row r="22" spans="1:3" ht="14.4">
      <c r="A22" s="3272" t="s">
        <v>154</v>
      </c>
      <c r="B22" s="3268" t="s">
        <v>155</v>
      </c>
      <c r="C22" s="3267"/>
    </row>
    <row r="23" spans="1:3" ht="14.4">
      <c r="A23" s="3272"/>
      <c r="B23" s="3268" t="s">
        <v>156</v>
      </c>
      <c r="C23" s="3267"/>
    </row>
    <row r="24" spans="1:3" ht="14.4">
      <c r="A24" s="3272"/>
      <c r="B24" s="3268" t="s">
        <v>157</v>
      </c>
      <c r="C24" s="3267"/>
    </row>
    <row r="25" spans="1:3" ht="14.4">
      <c r="A25" s="3272"/>
      <c r="B25" s="3273" t="s">
        <v>158</v>
      </c>
      <c r="C25" s="3164" t="s">
        <v>159</v>
      </c>
    </row>
    <row r="26" spans="1:3" ht="14.4">
      <c r="A26" s="3272"/>
      <c r="B26" s="3273"/>
      <c r="C26" s="3164" t="s">
        <v>160</v>
      </c>
    </row>
    <row r="27" spans="1:3" ht="14.4">
      <c r="A27" s="3272"/>
      <c r="B27" s="3273"/>
      <c r="C27" s="3164" t="s">
        <v>161</v>
      </c>
    </row>
    <row r="28" spans="1:3" ht="14.4">
      <c r="A28" s="3272"/>
      <c r="B28" s="3273"/>
      <c r="C28" s="3164" t="s">
        <v>162</v>
      </c>
    </row>
    <row r="29" spans="1:3" ht="14.4">
      <c r="A29" s="3272"/>
      <c r="B29" s="3273"/>
      <c r="C29" s="3164" t="s">
        <v>163</v>
      </c>
    </row>
    <row r="30" spans="1:3" ht="14.4">
      <c r="A30" s="3272"/>
      <c r="B30" s="3273"/>
      <c r="C30" s="3164" t="s">
        <v>164</v>
      </c>
    </row>
    <row r="31" spans="1:3" ht="14.4">
      <c r="A31" s="3272"/>
      <c r="B31" s="3273"/>
      <c r="C31" s="3164" t="s">
        <v>165</v>
      </c>
    </row>
    <row r="32" spans="1:3" ht="14.4">
      <c r="A32" s="3272"/>
      <c r="B32" s="3273"/>
      <c r="C32" s="3164" t="s">
        <v>166</v>
      </c>
    </row>
    <row r="33" spans="1:3" ht="14.4">
      <c r="A33" s="3272"/>
      <c r="B33" s="3273"/>
      <c r="C33" s="3164" t="s">
        <v>167</v>
      </c>
    </row>
    <row r="34" spans="1:3">
      <c r="A34" s="3168" t="s">
        <v>168</v>
      </c>
    </row>
    <row r="37" spans="1:3">
      <c r="A37" s="3168" t="s">
        <v>169</v>
      </c>
    </row>
    <row r="38" spans="1:3" ht="14.4">
      <c r="A38" s="3169" t="s">
        <v>170</v>
      </c>
    </row>
    <row r="39" spans="1:3" ht="14.4">
      <c r="A39" s="3169" t="s">
        <v>171</v>
      </c>
    </row>
    <row r="40" spans="1:3" ht="14.4">
      <c r="A40" s="3169" t="s">
        <v>172</v>
      </c>
    </row>
    <row r="41" spans="1:3" ht="14.4">
      <c r="A41" s="3170" t="s">
        <v>173</v>
      </c>
    </row>
    <row r="42" spans="1:3" ht="14.4">
      <c r="A42" s="31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6" customWidth="1"/>
    <col min="2" max="2" width="38.6640625" style="3126" customWidth="1"/>
    <col min="3" max="3" width="26" style="3126" customWidth="1"/>
    <col min="4" max="4" width="35" style="3126" hidden="1" customWidth="1"/>
    <col min="5" max="5" width="30.109375" style="3126" customWidth="1"/>
    <col min="6" max="6" width="35.44140625" style="3126" customWidth="1"/>
    <col min="7" max="7" width="31" style="3126" customWidth="1"/>
    <col min="8" max="8" width="37.44140625" style="3126" hidden="1" customWidth="1"/>
    <col min="9" max="16384" width="22.6640625" style="3126"/>
  </cols>
  <sheetData>
    <row r="1" spans="1:8" ht="24" customHeight="1">
      <c r="A1" s="3127"/>
      <c r="B1" s="3127"/>
      <c r="C1" s="3127"/>
      <c r="D1" s="3127"/>
      <c r="E1" s="3127"/>
      <c r="F1" s="3127"/>
      <c r="G1" s="3127"/>
      <c r="H1" s="3127"/>
    </row>
    <row r="2" spans="1:8" ht="24" customHeight="1">
      <c r="A2" s="3128" t="s">
        <v>175</v>
      </c>
      <c r="B2" s="3129">
        <f ca="1">TODAY()</f>
        <v>46026</v>
      </c>
      <c r="C2" s="3130" t="s">
        <v>176</v>
      </c>
      <c r="D2" s="3130"/>
      <c r="E2" s="3130"/>
      <c r="F2" s="3127"/>
      <c r="G2" s="3127"/>
      <c r="H2" s="3127"/>
    </row>
    <row r="3" spans="1:8" ht="24" customHeight="1">
      <c r="A3" s="3131" t="s">
        <v>177</v>
      </c>
      <c r="B3" s="3132" t="s">
        <v>178</v>
      </c>
      <c r="C3" s="3132" t="s">
        <v>179</v>
      </c>
      <c r="D3" s="3133" t="s">
        <v>180</v>
      </c>
      <c r="E3" s="3134" t="s">
        <v>181</v>
      </c>
      <c r="F3" s="3132" t="s">
        <v>182</v>
      </c>
      <c r="G3" s="3132" t="s">
        <v>179</v>
      </c>
      <c r="H3" s="3133" t="s">
        <v>183</v>
      </c>
    </row>
    <row r="4" spans="1:8" ht="24" customHeight="1">
      <c r="A4" s="3132" t="s">
        <v>184</v>
      </c>
      <c r="B4" s="3132" t="str">
        <f ca="1">IF(C4&lt;B2,"已过期",1119970066)</f>
        <v>已过期</v>
      </c>
      <c r="C4" s="3135">
        <v>45937</v>
      </c>
      <c r="D4" s="3136" t="str">
        <f ca="1">A4&amp;"（注册号："&amp;B4&amp;"）"</f>
        <v>梁津（注册号：已过期）</v>
      </c>
      <c r="E4" s="3137" t="s">
        <v>184</v>
      </c>
      <c r="F4" s="3132">
        <f ca="1">IF(G4&lt;B2,"已过期",96010014)</f>
        <v>96010014</v>
      </c>
      <c r="G4" s="3138">
        <v>47118</v>
      </c>
      <c r="H4" s="3139" t="str">
        <f ca="1">E4&amp;"（注册号："&amp;F4&amp;"）"</f>
        <v>梁津（注册号：96010014）</v>
      </c>
    </row>
    <row r="5" spans="1:8" ht="24" customHeight="1">
      <c r="A5" s="3132" t="s">
        <v>185</v>
      </c>
      <c r="B5" s="3132" t="str">
        <f ca="1">IF(C5&lt;B2,"已过期",1119970111)</f>
        <v>已过期</v>
      </c>
      <c r="C5" s="3135">
        <v>45937</v>
      </c>
      <c r="D5" s="3136" t="str">
        <f t="shared" ref="D5:D16" ca="1" si="0">A5&amp;"（注册号："&amp;B5&amp;"）"</f>
        <v>叶凌（注册号：已过期）</v>
      </c>
      <c r="E5" s="3137" t="s">
        <v>185</v>
      </c>
      <c r="F5" s="3132">
        <f ca="1">IF(G5&lt;B2,"已过期",94010078)</f>
        <v>94010078</v>
      </c>
      <c r="G5" s="3138">
        <v>46387</v>
      </c>
      <c r="H5" s="3139" t="str">
        <f t="shared" ref="H5:H16" ca="1" si="1">E5&amp;"（注册号："&amp;F5&amp;"）"</f>
        <v>叶凌（注册号：94010078）</v>
      </c>
    </row>
    <row r="6" spans="1:8" ht="24" customHeight="1">
      <c r="A6" s="3132" t="s">
        <v>186</v>
      </c>
      <c r="B6" s="3132" t="str">
        <f ca="1">IF(C6&lt;B2,"已过期",1120050019)</f>
        <v>已过期</v>
      </c>
      <c r="C6" s="3135">
        <v>45410</v>
      </c>
      <c r="D6" s="3136" t="str">
        <f t="shared" ca="1" si="0"/>
        <v>王鹏（注册号：已过期）</v>
      </c>
      <c r="E6" s="3137" t="s">
        <v>186</v>
      </c>
      <c r="F6" s="3132">
        <f ca="1">IF(G6&lt;B2,"已过期",2002110030)</f>
        <v>2002110030</v>
      </c>
      <c r="G6" s="3138">
        <v>46387</v>
      </c>
      <c r="H6" s="3139" t="str">
        <f t="shared" ca="1" si="1"/>
        <v>王鹏（注册号：2002110030）</v>
      </c>
    </row>
    <row r="7" spans="1:8" ht="24" customHeight="1">
      <c r="A7" s="3132" t="s">
        <v>187</v>
      </c>
      <c r="B7" s="3132" t="str">
        <f ca="1">IF(C7&lt;B2,"已过期",1120000080)</f>
        <v>已过期</v>
      </c>
      <c r="C7" s="3135">
        <v>45937</v>
      </c>
      <c r="D7" s="3136" t="str">
        <f t="shared" ca="1" si="0"/>
        <v>欧红伟（注册号：已过期）</v>
      </c>
      <c r="E7" s="3137" t="s">
        <v>187</v>
      </c>
      <c r="F7" s="3132">
        <f ca="1">IF(G7&lt;B2,"已过期",2000110082)</f>
        <v>2000110082</v>
      </c>
      <c r="G7" s="3138">
        <v>46387</v>
      </c>
      <c r="H7" s="3139" t="str">
        <f t="shared" ca="1" si="1"/>
        <v>欧红伟（注册号：2000110082）</v>
      </c>
    </row>
    <row r="8" spans="1:8" ht="24" customHeight="1">
      <c r="A8" s="3132" t="s">
        <v>188</v>
      </c>
      <c r="B8" s="3132" t="str">
        <f ca="1">IF(C8&lt;B2,"已过期",1419970001)</f>
        <v>已过期</v>
      </c>
      <c r="C8" s="3135">
        <v>45937</v>
      </c>
      <c r="D8" s="3136" t="str">
        <f t="shared" ca="1" si="0"/>
        <v>吴薇（注册号：已过期）</v>
      </c>
      <c r="E8" s="3137" t="s">
        <v>188</v>
      </c>
      <c r="F8" s="3132">
        <f ca="1">IF(G8&lt;B2,"已过期",2002110125)</f>
        <v>2002110125</v>
      </c>
      <c r="G8" s="3138">
        <v>47118</v>
      </c>
      <c r="H8" s="3139" t="str">
        <f t="shared" ca="1" si="1"/>
        <v>吴薇（注册号：2002110125）</v>
      </c>
    </row>
    <row r="9" spans="1:8" ht="24" customHeight="1">
      <c r="A9" s="3132" t="s">
        <v>189</v>
      </c>
      <c r="B9" s="3132" t="str">
        <f ca="1">IF(C9&lt;B2,"已过期",1120060040)</f>
        <v>已过期</v>
      </c>
      <c r="C9" s="3140">
        <v>45592</v>
      </c>
      <c r="D9" s="3136" t="str">
        <f t="shared" ca="1" si="0"/>
        <v>陈颖（注册号：已过期）</v>
      </c>
      <c r="E9" s="3137" t="s">
        <v>189</v>
      </c>
      <c r="F9" s="3132">
        <f ca="1">IF(G9&lt;B2,"已过期",2004110096)</f>
        <v>2004110096</v>
      </c>
      <c r="G9" s="3138">
        <v>47118</v>
      </c>
      <c r="H9" s="3139" t="str">
        <f t="shared" ca="1" si="1"/>
        <v>陈颖（注册号：2004110096）</v>
      </c>
    </row>
    <row r="10" spans="1:8" ht="24" customHeight="1">
      <c r="A10" s="3132" t="s">
        <v>190</v>
      </c>
      <c r="B10" s="3132" t="str">
        <f ca="1">IF(C10&lt;B2,"已过期",1120100036)</f>
        <v>已过期</v>
      </c>
      <c r="C10" s="3140">
        <v>45752</v>
      </c>
      <c r="D10" s="3136" t="str">
        <f t="shared" ca="1" si="0"/>
        <v>崔锴（注册号：已过期）</v>
      </c>
      <c r="E10" s="3137" t="s">
        <v>190</v>
      </c>
      <c r="F10" s="3132">
        <f ca="1">IF(G10&lt;B2,"已过期",2010110070)</f>
        <v>2010110070</v>
      </c>
      <c r="G10" s="3138">
        <v>47907</v>
      </c>
      <c r="H10" s="3139" t="str">
        <f t="shared" ca="1" si="1"/>
        <v>崔锴（注册号：2010110070）</v>
      </c>
    </row>
    <row r="11" spans="1:8" ht="24" customHeight="1">
      <c r="A11" s="3132" t="s">
        <v>191</v>
      </c>
      <c r="B11" s="3132" t="str">
        <f ca="1">IF(C11&lt;B2,"已过期",1120070131)</f>
        <v>已过期</v>
      </c>
      <c r="C11" s="3135">
        <v>45937</v>
      </c>
      <c r="D11" s="3136" t="str">
        <f t="shared" ca="1" si="0"/>
        <v>郑燚（注册号：已过期）</v>
      </c>
      <c r="E11" s="3137" t="s">
        <v>191</v>
      </c>
      <c r="F11" s="3132">
        <f ca="1">IF(G11&lt;B2,"已过期",2014110011)</f>
        <v>2014110011</v>
      </c>
      <c r="G11" s="3138">
        <v>49302</v>
      </c>
      <c r="H11" s="3139" t="str">
        <f t="shared" ca="1" si="1"/>
        <v>郑燚（注册号：2014110011）</v>
      </c>
    </row>
    <row r="12" spans="1:8" ht="24" customHeight="1">
      <c r="A12" s="3132" t="s">
        <v>192</v>
      </c>
      <c r="B12" s="3132" t="str">
        <f ca="1">IF(C12&lt;B2,"已过期",1120040230)</f>
        <v>已过期</v>
      </c>
      <c r="C12" s="3140">
        <v>45937</v>
      </c>
      <c r="D12" s="3136" t="str">
        <f t="shared" ca="1" si="0"/>
        <v>苏海（注册号：已过期）</v>
      </c>
      <c r="E12" s="3137" t="s">
        <v>192</v>
      </c>
      <c r="F12" s="3132">
        <f ca="1">IF(G12&lt;B2,"已过期",98030020)</f>
        <v>98030020</v>
      </c>
      <c r="G12" s="3138">
        <v>47118</v>
      </c>
      <c r="H12" s="3139" t="str">
        <f t="shared" ca="1" si="1"/>
        <v>苏海（注册号：98030020）</v>
      </c>
    </row>
    <row r="13" spans="1:8" ht="24" customHeight="1">
      <c r="A13" s="3132" t="s">
        <v>193</v>
      </c>
      <c r="B13" s="3132" t="str">
        <f ca="1">IF(C13&lt;B2,"已过期",1120020033)</f>
        <v>已过期</v>
      </c>
      <c r="C13" s="3135">
        <v>45375</v>
      </c>
      <c r="D13" s="3136" t="str">
        <f t="shared" ca="1" si="0"/>
        <v>刘敬东（注册号：已过期）</v>
      </c>
      <c r="E13" s="3137" t="s">
        <v>193</v>
      </c>
      <c r="F13" s="3132">
        <f ca="1">IF(G13&lt;B2,"已过期",2000110137)</f>
        <v>2000110137</v>
      </c>
      <c r="G13" s="3138">
        <v>46387</v>
      </c>
      <c r="H13" s="3139" t="str">
        <f t="shared" ca="1" si="1"/>
        <v>刘敬东（注册号：2000110137）</v>
      </c>
    </row>
    <row r="14" spans="1:8" ht="24" customHeight="1">
      <c r="A14" s="3132" t="s">
        <v>194</v>
      </c>
      <c r="B14" s="3132" t="str">
        <f ca="1">IF(C14&lt;B2,"已过期",1119980106)</f>
        <v>已过期</v>
      </c>
      <c r="C14" s="3140">
        <v>44969</v>
      </c>
      <c r="D14" s="3136" t="str">
        <f t="shared" ca="1" si="0"/>
        <v>刘俊财（注册号：已过期）</v>
      </c>
      <c r="E14" s="3137" t="s">
        <v>194</v>
      </c>
      <c r="F14" s="3132">
        <f ca="1">IF(G14&lt;B2,"已过期",96010063)</f>
        <v>96010063</v>
      </c>
      <c r="G14" s="3138">
        <v>47483</v>
      </c>
      <c r="H14" s="3139" t="str">
        <f t="shared" ca="1" si="1"/>
        <v>刘俊财（注册号：96010063）</v>
      </c>
    </row>
    <row r="15" spans="1:8" ht="24" customHeight="1">
      <c r="A15" s="3132" t="s">
        <v>195</v>
      </c>
      <c r="B15" s="3132">
        <v>1120210056</v>
      </c>
      <c r="C15" s="3140">
        <v>45410</v>
      </c>
      <c r="D15" s="3136" t="str">
        <f t="shared" si="0"/>
        <v>宁小鳗（注册号：1120210056）</v>
      </c>
      <c r="E15" s="3137" t="s">
        <v>196</v>
      </c>
      <c r="F15" s="3132">
        <f ca="1">IF(G15&lt;B2,"已过期",2011110090)</f>
        <v>2011110090</v>
      </c>
      <c r="G15" s="3138">
        <v>48302</v>
      </c>
      <c r="H15" s="3139" t="str">
        <f t="shared" ca="1" si="1"/>
        <v>赵雯（注册号：2011110090）</v>
      </c>
    </row>
    <row r="16" spans="1:8" ht="24" customHeight="1">
      <c r="A16" s="3132"/>
      <c r="B16" s="3132"/>
      <c r="C16" s="3132"/>
      <c r="D16" s="3136" t="str">
        <f t="shared" si="0"/>
        <v>（注册号：）</v>
      </c>
      <c r="E16" s="3137"/>
      <c r="F16" s="3132"/>
      <c r="G16" s="3132"/>
      <c r="H16" s="3141" t="str">
        <f t="shared" si="1"/>
        <v>（注册号：）</v>
      </c>
    </row>
    <row r="17" spans="1:8" ht="24" customHeight="1">
      <c r="A17" s="3274" t="s">
        <v>197</v>
      </c>
      <c r="B17" s="3274"/>
      <c r="C17" s="3274"/>
      <c r="D17" s="3274"/>
      <c r="E17" s="3274"/>
      <c r="F17" s="3274"/>
      <c r="G17" s="3274"/>
      <c r="H17" s="3274"/>
    </row>
    <row r="18" spans="1:8" ht="24" customHeight="1">
      <c r="A18" s="3275" t="s">
        <v>198</v>
      </c>
      <c r="B18" s="3275"/>
      <c r="C18" s="3275"/>
      <c r="D18" s="3133"/>
      <c r="E18" s="3276" t="s">
        <v>199</v>
      </c>
      <c r="F18" s="3275"/>
      <c r="G18" s="3275"/>
    </row>
    <row r="19" spans="1:8" s="3125" customFormat="1" ht="24" customHeight="1">
      <c r="A19" s="3142" t="s">
        <v>200</v>
      </c>
      <c r="B19" s="3132" t="s">
        <v>201</v>
      </c>
      <c r="C19" s="3132" t="s">
        <v>179</v>
      </c>
      <c r="D19" s="3133"/>
      <c r="E19" s="3137" t="s">
        <v>200</v>
      </c>
      <c r="F19" s="3132" t="s">
        <v>201</v>
      </c>
      <c r="G19" s="3132" t="s">
        <v>179</v>
      </c>
    </row>
    <row r="20" spans="1:8" s="3125" customFormat="1" ht="24" customHeight="1">
      <c r="A20" s="3143" t="s">
        <v>202</v>
      </c>
      <c r="B20" s="3143" t="s">
        <v>203</v>
      </c>
      <c r="C20" s="3138">
        <v>45898</v>
      </c>
      <c r="D20" s="3144"/>
      <c r="E20" s="3145" t="s">
        <v>204</v>
      </c>
      <c r="F20" s="3146" t="s">
        <v>205</v>
      </c>
      <c r="G20" s="3147">
        <v>44926</v>
      </c>
    </row>
    <row r="21" spans="1:8" s="3125" customFormat="1" ht="24" customHeight="1">
      <c r="A21" s="3143"/>
      <c r="B21" s="3143"/>
      <c r="C21" s="3148"/>
      <c r="D21" s="3149"/>
      <c r="E21" s="3145"/>
      <c r="F21" s="3146"/>
      <c r="G21" s="3147"/>
    </row>
    <row r="22" spans="1:8" ht="24" customHeight="1">
      <c r="C22" s="3150"/>
      <c r="D22" s="3150"/>
      <c r="E22" s="3151"/>
      <c r="G22" s="3152"/>
    </row>
  </sheetData>
  <sheetProtection password="CEE9" sheet="1" objects="1" scenarios="1"/>
  <mergeCells count="3">
    <mergeCell ref="A17:H17"/>
    <mergeCell ref="A18:C18"/>
    <mergeCell ref="E18:G18"/>
  </mergeCells>
  <phoneticPr fontId="23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2026-01-04T07:36:34Z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