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D10" i="68"/>
  <c r="C10" i="68"/>
  <c r="H9" i="68"/>
  <c r="B29" i="1"/>
  <c r="E48" i="34"/>
  <c r="F10" i="34"/>
  <c r="AA10" i="34"/>
  <c r="R48" i="34"/>
  <c r="D90" i="34"/>
  <c r="E90" i="34"/>
  <c r="F27" i="34"/>
  <c r="AA27" i="34"/>
  <c r="D112" i="34"/>
  <c r="E112" i="34"/>
  <c r="F37" i="34"/>
  <c r="AA37" i="34"/>
  <c r="R49" i="34"/>
  <c r="H10" i="34"/>
  <c r="AB10" i="34"/>
  <c r="G48" i="34"/>
  <c r="T48" i="34"/>
  <c r="H27" i="34"/>
  <c r="AB27" i="34"/>
  <c r="H37" i="34"/>
  <c r="AB37" i="34"/>
  <c r="T49" i="34"/>
  <c r="J10" i="34"/>
  <c r="AC10" i="34"/>
  <c r="I48" i="34"/>
  <c r="V48" i="34"/>
  <c r="J27" i="34"/>
  <c r="AC27" i="34"/>
  <c r="F112" i="34"/>
  <c r="J37" i="34"/>
  <c r="AC37" i="34"/>
  <c r="V49" i="34"/>
  <c r="R50" i="34"/>
  <c r="C50" i="34"/>
  <c r="B3" i="34"/>
  <c r="U6" i="1"/>
  <c r="M18" i="1"/>
  <c r="E105" i="34"/>
  <c r="F105" i="34"/>
  <c r="G105" i="34"/>
  <c r="H105" i="34"/>
  <c r="D105" i="34"/>
  <c r="F67" i="34"/>
  <c r="D118" i="34"/>
  <c r="F40" i="34"/>
  <c r="AA40" i="34"/>
  <c r="F34" i="34"/>
  <c r="AA34" i="34"/>
  <c r="F36" i="34"/>
  <c r="AA36" i="34"/>
  <c r="F15" i="34"/>
  <c r="AA15" i="34"/>
  <c r="F17" i="34"/>
  <c r="AA17" i="34"/>
  <c r="H40" i="34"/>
  <c r="AB40" i="34"/>
  <c r="H34" i="34"/>
  <c r="AB34" i="34"/>
  <c r="H36" i="34"/>
  <c r="AB36" i="34"/>
  <c r="H15" i="34"/>
  <c r="AB15" i="34"/>
  <c r="H17" i="34"/>
  <c r="AB17" i="34"/>
  <c r="E118" i="34"/>
  <c r="J40" i="34"/>
  <c r="AC40" i="34"/>
  <c r="J34" i="34"/>
  <c r="AC34" i="34"/>
  <c r="J36" i="34"/>
  <c r="AC36" i="34"/>
  <c r="J25" i="34"/>
  <c r="AC25" i="34"/>
  <c r="J15" i="34"/>
  <c r="AC15" i="34"/>
  <c r="J17" i="34"/>
  <c r="AC17" i="34"/>
  <c r="I37" i="34"/>
  <c r="F60" i="34"/>
  <c r="G60" i="34"/>
  <c r="H60" i="34"/>
  <c r="I60" i="34"/>
  <c r="J60" i="34"/>
  <c r="K60" i="34"/>
  <c r="L60" i="34"/>
  <c r="M60" i="34"/>
  <c r="E60" i="34"/>
  <c r="C34" i="34"/>
  <c r="D4" i="73"/>
  <c r="E20" i="43"/>
  <c r="N17" i="43"/>
  <c r="G20" i="43"/>
  <c r="F15" i="4"/>
  <c r="F6" i="1"/>
  <c r="I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C5" i="43"/>
  <c r="C29" i="43"/>
  <c r="E29" i="43"/>
  <c r="C33" i="43"/>
  <c r="E33" i="43"/>
  <c r="C34" i="43"/>
  <c r="E34" i="43"/>
  <c r="C35" i="43"/>
  <c r="E35" i="43"/>
  <c r="C36" i="43"/>
  <c r="E36" i="43"/>
  <c r="C37" i="43"/>
  <c r="E37" i="43"/>
  <c r="C38" i="43"/>
  <c r="E38" i="43"/>
  <c r="C39" i="43"/>
  <c r="E39" i="43"/>
  <c r="C26" i="43"/>
  <c r="B2" i="43"/>
  <c r="C6" i="68"/>
  <c r="D29" i="43"/>
  <c r="AH6" i="1"/>
  <c r="Y6"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2" i="43"/>
  <c r="C6" i="43"/>
  <c r="G17" i="43"/>
  <c r="H17" i="43"/>
  <c r="I17" i="43"/>
  <c r="J17" i="43"/>
  <c r="C17" i="43"/>
  <c r="C16" i="43"/>
  <c r="F39" i="43"/>
  <c r="G39" i="43"/>
  <c r="F38" i="43"/>
  <c r="G38" i="43"/>
  <c r="F37" i="43"/>
  <c r="G37" i="43"/>
  <c r="D5"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B47" i="34"/>
  <c r="U25" i="34"/>
  <c r="W33" i="34"/>
  <c r="AC14" i="34"/>
  <c r="AC32" i="34"/>
  <c r="AC29" i="34"/>
  <c r="W29" i="34"/>
  <c r="W46" i="34"/>
  <c r="AC46" i="34"/>
  <c r="S32" i="34"/>
  <c r="AA32" i="34"/>
  <c r="U30" i="34"/>
  <c r="AB30" i="34"/>
  <c r="S37" i="34"/>
  <c r="U38" i="34"/>
  <c r="W40" i="34"/>
  <c r="AA19" i="34"/>
  <c r="S19"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<sst xmlns="http://schemas.openxmlformats.org/spreadsheetml/2006/main" count="7420" uniqueCount="3146">
  <si>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</si>
  <si>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</si>
  <si>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</si>
  <si>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</si>
  <si>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</si>
  <si>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</si>
  <si>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</si>
  <si>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</si>
  <si>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</si>
  <si>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</si>
  <si>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</si>
  <si>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</si>
  <si>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</si>
  <si>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</si>
  <si>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</si>
  <si>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</si>
  <si>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</si>
  <si>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</si>
  <si>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</si>
  <si>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</si>
  <si>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</si>
  <si>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</si>
  <si>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</si>
  <si>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</si>
  <si>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</si>
  <si>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</si>
  <si>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</si>
  <si>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</si>
  <si>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</si>
  <si>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</si>
  <si>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</si>
  <si>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</si>
  <si>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</si>
  <si>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</si>
  <si>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</si>
  <si>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</si>
  <si>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</si>
  <si>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</si>
  <si>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</si>
  <si>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</si>
  <si>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</si>
  <si>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</si>
  <si>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</si>
  <si>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</si>
  <si>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</si>
  <si>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</si>
  <si>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</si>
  <si>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</si>
  <si>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</si>
  <si>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</si>
  <si>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</si>
  <si>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</si>
  <si>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</si>
  <si>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</si>
  <si>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</si>
  <si>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</si>
  <si>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</si>
  <si>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</si>
  <si>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</si>
  <si>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</si>
  <si>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</si>
  <si>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</si>
  <si>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</si>
  <si>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</si>
  <si>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</si>
  <si>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</si>
  <si>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</si>
  <si>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</si>
  <si>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</si>
  <si>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</si>
  <si>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</si>
  <si>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</si>
  <si>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</si>
  <si>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</si>
  <si>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</si>
  <si>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</si>
  <si>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</si>
  <si>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</si>
  <si>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</si>
  <si>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</si>
  <si>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</si>
  <si>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</si>
  <si>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</si>
  <si>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</si>
  <si>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</si>
  <si>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</si>
  <si>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</si>
  <si>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</si>
  <si>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</si>
  <si>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</si>
  <si>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</si>
  <si>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</si>
  <si>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</si>
  <si>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</si>
  <si>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</si>
  <si>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</si>
  <si>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</si>
  <si>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</si>
  <si>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</si>
  <si>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</si>
  <si>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</si>
  <si>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</si>
  <si>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</si>
  <si>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</si>
  <si>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</si>
  <si>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</si>
  <si>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</si>
  <si>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</si>
  <si>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</si>
  <si>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</si>
  <si>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</si>
  <si>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</si>
  <si>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</si>
  <si>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</si>
  <si>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</si>
  <si>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</si>
  <si>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</si>
  <si>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</si>
  <si>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</si>
  <si>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</si>
  <si>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</si>
  <si>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</si>
  <si>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</si>
  <si>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</si>
  <si>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</si>
  <si>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</si>
  <si>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</si>
  <si>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</si>
  <si>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</si>
  <si>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</si>
  <si>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</si>
  <si>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</si>
  <si>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</si>
  <si>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</si>
  <si>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</si>
  <si>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</si>
  <si>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</si>
  <si>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</si>
  <si>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</si>
  <si>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</si>
  <si>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</si>
  <si>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</si>
  <si>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</si>
  <si>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</si>
  <si>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</si>
  <si>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</si>
  <si>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</si>
  <si>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</si>
  <si>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</si>
  <si>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</si>
  <si>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</si>
  <si>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</si>
  <si>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</si>
  <si>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</si>
  <si>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</si>
  <si>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</si>
  <si>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</si>
  <si>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</si>
  <si>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</si>
  <si>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</si>
  <si>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</si>
  <si>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</si>
  <si>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</si>
  <si>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</si>
  <si>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</si>
  <si>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</si>
  <si>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</si>
  <si>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</si>
  <si>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</si>
  <si>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</si>
  <si>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</si>
  <si>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</si>
  <si>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</si>
  <si>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</si>
  <si>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</si>
  <si>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</si>
  <si>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</si>
  <si>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</si>
  <si>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</si>
  <si>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</si>
  <si>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</si>
  <si>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</si>
  <si>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</si>
  <si>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</si>
  <si>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</si>
  <si>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</si>
  <si>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</si>
  <si>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</si>
  <si>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</si>
  <si>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</si>
  <si>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</si>
  <si>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</si>
  <si>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</si>
  <si>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</si>
  <si>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</si>
  <si>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</si>
  <si>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</si>
  <si>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</si>
  <si>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</si>
  <si>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</si>
  <si>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</si>
  <si>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</si>
  <si>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</si>
  <si>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</si>
  <si>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</si>
  <si>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</si>
  <si>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</si>
  <si>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</si>
  <si>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</si>
  <si>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</si>
  <si>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</si>
  <si>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</si>
  <si>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</si>
  <si>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</si>
  <si>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</si>
  <si>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</si>
  <si>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</si>
  <si>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</si>
  <si>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</si>
  <si>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</si>
  <si>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</si>
  <si>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</si>
  <si>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</si>
  <si>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</si>
  <si>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</si>
  <si>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</si>
  <si>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</si>
  <si>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</si>
  <si>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</si>
  <si>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</si>
  <si>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</si>
  <si>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</si>
  <si>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</si>
  <si>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</si>
  <si>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</si>
  <si>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</si>
  <si>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</si>
  <si>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</si>
  <si>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</si>
  <si>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</si>
  <si>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</si>
  <si>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</si>
  <si>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</si>
  <si>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</si>
  <si>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</si>
  <si>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</si>
  <si>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</si>
  <si>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</si>
  <si>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</si>
  <si>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</si>
  <si>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</si>
  <si>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</si>
  <si>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</si>
  <si>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</si>
  <si>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</si>
  <si>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</si>
  <si>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</si>
  <si>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</si>
  <si>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</si>
  <si>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</si>
  <si>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</si>
  <si>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</si>
  <si>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</si>
  <si>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</si>
  <si>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</si>
  <si>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</si>
  <si>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</si>
  <si>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</si>
  <si>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</si>
  <si>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</si>
  <si>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</si>
  <si>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</si>
  <si>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</si>
  <si>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</si>
  <si>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</si>
  <si>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</si>
  <si>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</si>
  <si>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</si>
  <si>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</si>
  <si>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</si>
  <si>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</si>
  <si>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</si>
  <si>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</si>
  <si>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</si>
  <si>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</si>
  <si>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</si>
  <si>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</si>
  <si>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</si>
  <si>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</si>
  <si>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</si>
  <si>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</si>
  <si>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</si>
  <si>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</si>
  <si>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</si>
  <si>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</si>
  <si>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</si>
  <si>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</si>
  <si>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</si>
  <si>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</si>
  <si>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</si>
  <si>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</si>
  <si>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</si>
  <si>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</si>
  <si>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</si>
  <si>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</si>
  <si>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</si>
  <si>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</si>
  <si>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</si>
  <si>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</si>
  <si>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</si>
  <si>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</si>
  <si>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</si>
  <si>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</si>
  <si>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</si>
  <si>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</si>
  <si>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</si>
  <si>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</si>
  <si>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</si>
  <si>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</si>
  <si>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</si>
  <si>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</si>
  <si>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</si>
  <si>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</si>
  <si>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</si>
  <si>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</si>
  <si>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</si>
  <si>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</si>
  <si>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</si>
  <si>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</si>
  <si>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</si>
  <si>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</si>
  <si>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</si>
  <si>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</si>
  <si>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</si>
  <si>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</si>
  <si>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</si>
  <si>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</si>
  <si>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</si>
  <si>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</si>
  <si>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</si>
  <si>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</si>
  <si>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</si>
  <si>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</si>
  <si>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</si>
  <si>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</si>
  <si>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</si>
  <si>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</si>
  <si>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</si>
  <si>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</si>
  <si>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</si>
  <si>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</si>
  <si>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</si>
  <si>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</si>
  <si>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</si>
  <si>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</si>
  <si>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</si>
  <si>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</si>
  <si>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</si>
  <si>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</si>
  <si>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</si>
  <si>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</si>
  <si>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</si>
  <si>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</si>
  <si>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</si>
  <si>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</si>
  <si>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</si>
  <si>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</si>
  <si>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</si>
  <si>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</si>
  <si>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</si>
  <si>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</si>
  <si>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</si>
  <si>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</si>
  <si>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</si>
  <si>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</si>
  <si>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</si>
  <si>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</si>
  <si>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</si>
  <si>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</si>
  <si>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</si>
  <si>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</si>
  <si>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</si>
  <si>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</si>
  <si>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</si>
  <si>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</si>
  <si>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</si>
  <si>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</si>
  <si>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</si>
  <si>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</si>
  <si>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</si>
  <si>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</si>
  <si>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</si>
  <si>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</si>
  <si>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</si>
  <si>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</si>
  <si>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</si>
  <si>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</si>
  <si>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</si>
  <si>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</si>
  <si>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</si>
  <si>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</si>
  <si>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</si>
  <si>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</si>
  <si>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</si>
  <si>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</si>
  <si>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</si>
  <si>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</si>
  <si>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</si>
  <si>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</si>
  <si>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</si>
  <si>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</si>
  <si>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</si>
  <si>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</si>
  <si>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</si>
  <si>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</si>
  <si>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</si>
  <si>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</si>
  <si>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</si>
  <si>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</si>
  <si>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</si>
  <si>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</si>
  <si>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</si>
  <si>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</si>
  <si>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</si>
  <si>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</si>
  <si>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</si>
  <si>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</si>
  <si>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</si>
  <si>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</si>
  <si>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</si>
  <si>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</si>
  <si>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</si>
  <si>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</si>
  <si>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</si>
  <si>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</si>
  <si>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</si>
  <si>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</si>
  <si>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</si>
  <si>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</si>
  <si>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</si>
  <si>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</si>
  <si>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</si>
  <si>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</si>
  <si>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</si>
  <si>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</si>
  <si>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</si>
  <si>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</si>
  <si>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</si>
  <si>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</si>
  <si>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</si>
  <si>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</si>
  <si>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</si>
  <si>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</si>
  <si>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</si>
  <si>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</si>
  <si>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</si>
  <si>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</si>
  <si>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</si>
  <si>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</si>
  <si>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</si>
  <si>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</si>
  <si>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</si>
  <si>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</si>
  <si>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</si>
  <si>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</si>
  <si>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</si>
  <si>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</si>
  <si>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</si>
  <si>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</si>
  <si>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</si>
  <si>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</si>
  <si>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</si>
  <si>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</si>
  <si>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</si>
  <si>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</si>
  <si>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</si>
  <si>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</si>
  <si>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</si>
  <si>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</si>
  <si>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</si>
  <si>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</si>
  <si>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</si>
  <si>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</si>
  <si>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</si>
  <si>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</si>
  <si>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</si>
  <si>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</si>
  <si>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</si>
  <si>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</si>
  <si>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</si>
  <si>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</si>
  <si>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</si>
  <si>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</si>
  <si>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</si>
  <si>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</si>
  <si>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</si>
  <si>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</si>
  <si>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</si>
  <si>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</si>
  <si>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</si>
  <si>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</si>
  <si>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</si>
  <si>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</si>
  <si>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</si>
  <si>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</si>
  <si>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</si>
  <si>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</si>
  <si>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</si>
  <si>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</si>
  <si>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</si>
  <si>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</si>
  <si>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</si>
  <si>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</si>
  <si>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</si>
  <si>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</si>
  <si>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</si>
  <si>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</si>
  <si>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</si>
  <si>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</si>
  <si>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</si>
  <si>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</si>
  <si>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</si>
  <si>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</si>
  <si>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</si>
  <si>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</si>
  <si>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</si>
  <si>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</si>
  <si>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</si>
  <si>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</si>
  <si>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</si>
  <si>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</si>
  <si>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</si>
  <si>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</si>
  <si>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</si>
  <si>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</si>
  <si>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</si>
  <si>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</si>
  <si>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</si>
  <si>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</si>
  <si>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</si>
  <si>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</si>
  <si>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</si>
  <si>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</si>
  <si>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</si>
  <si>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</si>
  <si>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</si>
  <si>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</si>
  <si>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</si>
  <si>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</si>
  <si>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</si>
  <si>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</si>
  <si>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</si>
  <si>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</si>
  <si>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</si>
  <si>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</si>
  <si>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</si>
  <si>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</si>
  <si>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</si>
  <si>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</si>
  <si>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</si>
  <si>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</si>
  <si>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</si>
  <si>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</si>
  <si>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</si>
  <si>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</si>
  <si>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</si>
  <si>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</si>
  <si>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</si>
  <si>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</si>
  <si>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</si>
  <si>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</si>
  <si>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</si>
  <si>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</si>
  <si>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</si>
  <si>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</si>
  <si>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</si>
  <si>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</si>
  <si>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</si>
  <si>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</si>
  <si>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</si>
  <si>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</si>
  <si>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</si>
  <si>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</si>
  <si>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</si>
  <si>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</si>
  <si>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</si>
  <si>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</si>
  <si>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</si>
  <si>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</si>
  <si>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</si>
  <si>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</si>
  <si>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</si>
  <si>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</si>
  <si>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</si>
  <si>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</si>
  <si>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</si>
  <si>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</si>
  <si>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</si>
  <si>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</si>
  <si>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</si>
  <si>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</si>
  <si>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</si>
  <si>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</si>
  <si>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</si>
  <si>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</si>
  <si>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</si>
  <si>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</si>
  <si>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</si>
  <si>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</si>
  <si>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</si>
  <si>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</si>
  <si>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</si>
  <si>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</si>
  <si>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</si>
  <si>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</si>
  <si>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</si>
  <si>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</si>
  <si>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</si>
  <si>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</si>
  <si>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</si>
  <si>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</si>
  <si>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</si>
  <si>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</si>
  <si>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</si>
  <si>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</si>
  <si>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</si>
  <si>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</si>
  <si>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</si>
  <si>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</si>
  <si>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</si>
  <si>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</si>
  <si>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</si>
  <si>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</si>
  <si>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</si>
  <si>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</si>
  <si>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</si>
  <si>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</si>
  <si>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</si>
  <si>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</si>
  <si>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</si>
  <si>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</si>
  <si>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</si>
  <si>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</si>
  <si>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</si>
  <si>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</si>
  <si>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</si>
  <si>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</si>
  <si>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</si>
  <si>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</si>
  <si>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</si>
  <si>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</si>
  <si>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</si>
  <si>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</si>
  <si>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</si>
  <si>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</si>
  <si>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</si>
  <si>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</si>
  <si>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</si>
  <si>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</si>
  <si>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</si>
  <si>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</si>
  <si>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</si>
  <si>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</si>
  <si>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</si>
  <si>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</si>
  <si>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</si>
  <si>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</si>
  <si>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</si>
  <si>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</si>
  <si>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</si>
  <si>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</si>
  <si>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</si>
  <si>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</si>
  <si>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</si>
  <si>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</si>
  <si>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</si>
  <si>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</si>
  <si>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</si>
  <si>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</si>
  <si>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</si>
  <si>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</si>
  <si>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</si>
  <si>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</si>
  <si>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</si>
  <si>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</si>
  <si>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</si>
  <si>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</si>
  <si>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</si>
  <si>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</si>
  <si>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</si>
  <si>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</si>
  <si>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</si>
  <si>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</si>
  <si>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</si>
  <si>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</si>
  <si>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</si>
  <si>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</si>
  <si>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</si>
  <si>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</si>
  <si>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</si>
  <si>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</si>
  <si>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</si>
  <si>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</si>
  <si>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</si>
  <si>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</si>
  <si>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</si>
  <si>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</si>
  <si>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</si>
  <si>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</si>
  <si>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</si>
  <si>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</si>
  <si>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</si>
  <si>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</si>
  <si>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</si>
  <si>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</si>
  <si>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</si>
  <si>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</si>
  <si>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</si>
  <si>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</si>
  <si>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</si>
  <si>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</si>
  <si>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</si>
  <si>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</si>
  <si>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</si>
  <si>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</si>
  <si>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</si>
  <si>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</si>
  <si>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</si>
  <si>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</si>
  <si>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</si>
  <si>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</si>
  <si>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</si>
  <si>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</si>
  <si>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</si>
  <si>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</si>
  <si>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</si>
  <si>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</si>
  <si>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</si>
  <si>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</si>
  <si>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</si>
  <si>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</si>
  <si>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</si>
  <si>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</si>
  <si>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</si>
  <si>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</si>
  <si>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</si>
  <si>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</si>
  <si>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</si>
  <si>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</si>
  <si>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</si>
  <si>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</si>
  <si>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</si>
  <si>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</si>
  <si>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</si>
  <si>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</si>
  <si>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</si>
  <si>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</si>
  <si>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</si>
  <si>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</si>
  <si>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</si>
  <si>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</si>
  <si>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</si>
  <si>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</si>
  <si>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</si>
  <si>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</si>
  <si>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</si>
  <si>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</si>
  <si>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</si>
  <si>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</si>
  <si>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</si>
  <si>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</si>
  <si>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</si>
  <si>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</si>
  <si>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</si>
  <si>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</si>
  <si>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</si>
  <si>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</si>
  <si>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</si>
  <si>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</si>
  <si>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</si>
  <si>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</si>
  <si>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</si>
  <si>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</si>
  <si>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</si>
  <si>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</si>
  <si>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</si>
  <si>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</si>
  <si>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</si>
  <si>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</si>
  <si>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</si>
  <si>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</si>
  <si>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</si>
  <si>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</si>
  <si>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</si>
  <si>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</si>
  <si>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</si>
  <si>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</si>
  <si>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</si>
  <si>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</si>
  <si>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</si>
  <si>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</si>
  <si>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</si>
  <si>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</si>
  <si>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</si>
  <si>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</si>
  <si>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</si>
  <si>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</si>
  <si>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</si>
  <si>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</si>
  <si>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</si>
  <si>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</si>
  <si>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</si>
  <si>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</si>
  <si>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</si>
  <si>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</si>
  <si>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</si>
  <si>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</si>
  <si>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</si>
  <si>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</si>
  <si>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</si>
  <si>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</si>
  <si>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</si>
  <si>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</si>
  <si>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</si>
  <si>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</si>
  <si>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</si>
  <si>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</si>
  <si>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</si>
  <si>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</si>
  <si>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</si>
  <si>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</si>
  <si>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</si>
  <si>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</si>
  <si>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</si>
  <si>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</si>
  <si>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</si>
  <si>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</si>
  <si>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</si>
  <si>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</si>
  <si>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</si>
  <si>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</si>
  <si>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</si>
  <si>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</si>
  <si>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</si>
  <si>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</si>
  <si>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</si>
  <si>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</si>
  <si>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</si>
  <si>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</si>
  <si>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</si>
  <si>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</si>
  <si>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</si>
  <si>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</si>
  <si>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</si>
  <si>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</si>
  <si>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</si>
  <si>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</si>
  <si>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</si>
  <si>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</si>
  <si>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</si>
  <si>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</si>
  <si>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</si>
  <si>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</si>
  <si>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</si>
  <si>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</si>
  <si>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</si>
  <si>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</si>
  <si>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</si>
  <si>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</si>
  <si>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</si>
  <si>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</si>
  <si>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</si>
  <si>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</si>
  <si>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</si>
  <si>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</si>
  <si>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</si>
  <si>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</si>
  <si>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</si>
  <si>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</si>
  <si>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</si>
  <si>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</si>
  <si>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</si>
  <si>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</si>
  <si>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</si>
  <si>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</si>
  <si>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</si>
  <si>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</si>
  <si>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</si>
  <si>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</si>
  <si>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</si>
  <si>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</si>
  <si>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</si>
  <si>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</si>
  <si>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</si>
  <si>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</si>
  <si>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</si>
  <si>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</si>
  <si>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</si>
  <si>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</si>
  <si>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</si>
  <si>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</si>
  <si>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</si>
  <si>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</si>
  <si>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</si>
  <si>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</si>
  <si>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</si>
  <si>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</si>
  <si>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</si>
  <si>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</si>
  <si>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</si>
  <si>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</si>
  <si>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</si>
  <si>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</si>
  <si>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</si>
  <si>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</si>
  <si>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</si>
  <si>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</si>
  <si>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</si>
  <si>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</si>
  <si>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</si>
  <si>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</si>
  <si>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</si>
  <si>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</si>
  <si>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</si>
  <si>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</si>
  <si>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</si>
  <si>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</si>
  <si>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</si>
  <si>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</si>
  <si>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</si>
  <si>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</si>
  <si>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</si>
  <si>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</si>
  <si>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</si>
  <si>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</si>
  <si>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</si>
  <si>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</si>
  <si>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</si>
  <si>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</si>
  <si>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</si>
  <si>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</si>
  <si>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</si>
  <si>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</si>
  <si>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</si>
  <si>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</si>
  <si>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</si>
  <si>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</si>
  <si>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</si>
  <si>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</si>
  <si>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</si>
  <si>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</si>
  <si>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</si>
  <si>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</si>
  <si>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</si>
  <si>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</si>
  <si>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</si>
  <si>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</si>
  <si>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</si>
  <si>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</si>
  <si>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</si>
  <si>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</si>
  <si>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</si>
  <si>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</si>
  <si>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</si>
  <si>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</si>
  <si>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</si>
  <si>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</si>
  <si>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</si>
  <si>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</si>
  <si>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</si>
  <si>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</si>
  <si>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</si>
  <si>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</si>
  <si>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</si>
  <si>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</si>
  <si>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</si>
  <si>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</si>
  <si>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</si>
  <si>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</si>
  <si>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</si>
  <si>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</si>
  <si>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</si>
  <si>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</si>
  <si>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</si>
  <si>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</si>
  <si>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</si>
  <si>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</si>
  <si>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</si>
  <si>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</si>
  <si>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</si>
  <si>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</si>
  <si>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</si>
  <si>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</si>
  <si>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</si>
  <si>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</si>
  <si>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</si>
  <si>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</si>
  <si>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</si>
  <si>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</si>
  <si>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</si>
  <si>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</si>
  <si>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</si>
  <si>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</si>
  <si>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</si>
  <si>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</si>
  <si>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</si>
  <si>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</si>
  <si>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</si>
  <si>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</si>
  <si>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</si>
  <si>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</si>
  <si>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</si>
  <si>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</si>
  <si>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</si>
  <si>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</si>
  <si>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</si>
  <si>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</si>
  <si>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</si>
  <si>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</si>
  <si>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</si>
  <si>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</si>
  <si>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</si>
  <si>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</si>
  <si>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</si>
  <si>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</si>
  <si>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</si>
  <si>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</si>
  <si>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</si>
  <si>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</si>
  <si>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</si>
  <si>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</si>
  <si>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</si>
  <si>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</si>
  <si>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</si>
  <si>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</si>
  <si>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</si>
  <si>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</si>
  <si>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</si>
  <si>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</si>
  <si>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</si>
  <si>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</si>
  <si>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</si>
  <si>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</si>
  <si>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</si>
  <si>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</si>
  <si>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</si>
  <si>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</si>
  <si>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</si>
  <si>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</si>
  <si>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</si>
  <si>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</si>
  <si>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</si>
  <si>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</si>
  <si>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</si>
  <si>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</si>
  <si>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</si>
  <si>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</si>
  <si>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</si>
  <si>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</si>
  <si>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</si>
  <si>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</si>
  <si>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</si>
  <si>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</si>
  <si>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</si>
  <si>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</si>
  <si>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</si>
  <si>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</si>
  <si>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</si>
  <si>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</si>
  <si>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</si>
  <si>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</si>
  <si>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</si>
  <si>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</si>
  <si>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</si>
  <si>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</si>
  <si>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</si>
  <si>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</si>
  <si>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</si>
  <si>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</si>
  <si>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</si>
  <si>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</si>
  <si>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</si>
  <si>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</si>
  <si>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</si>
  <si>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</si>
  <si>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</si>
  <si>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</si>
  <si>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</si>
  <si>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</si>
  <si>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</si>
  <si>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</si>
  <si>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</si>
  <si>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</si>
  <si>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</si>
  <si>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</si>
  <si>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</si>
  <si>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</si>
  <si>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</si>
  <si>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</si>
  <si>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</si>
  <si>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</si>
  <si>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</si>
  <si>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</si>
  <si>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</si>
  <si>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</si>
  <si>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</si>
  <si>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</si>
  <si>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</si>
  <si>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</si>
  <si>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</si>
  <si>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</si>
  <si>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</si>
  <si>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</si>
  <si>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</si>
  <si>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</si>
  <si>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</si>
  <si>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</si>
  <si>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</si>
  <si>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</si>
  <si>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</si>
  <si>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</si>
  <si>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</si>
  <si>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</si>
  <si>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</si>
  <si>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</si>
  <si>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</si>
  <si>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</si>
  <si>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</si>
  <si>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</si>
  <si>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</si>
  <si>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</si>
  <si>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</si>
  <si>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</si>
  <si>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</si>
  <si>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</si>
  <si>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</si>
  <si>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</si>
  <si>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</si>
  <si>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</si>
  <si>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</si>
  <si>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</si>
  <si>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</si>
  <si>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</si>
  <si>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</si>
  <si>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</si>
  <si>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</si>
  <si>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</si>
  <si>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</si>
  <si>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</si>
  <si>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</si>
  <si>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</si>
  <si>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</si>
  <si>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</si>
  <si>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</si>
  <si>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</si>
  <si>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</si>
  <si>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</si>
  <si>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</si>
  <si>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</si>
  <si>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</si>
  <si>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</si>
  <si>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</si>
  <si>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</si>
  <si>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</si>
  <si>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</si>
  <si>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</si>
  <si>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</si>
  <si>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</si>
  <si>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</si>
  <si>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</si>
  <si>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</si>
  <si>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</si>
  <si>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</si>
  <si>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</si>
  <si>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</si>
  <si>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</si>
  <si>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</si>
  <si>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</si>
  <si>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</si>
  <si>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</si>
  <si>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</si>
  <si>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</si>
  <si>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</si>
  <si>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</si>
  <si>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</si>
  <si>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</si>
  <si>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</si>
  <si>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</si>
  <si>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</si>
  <si>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</si>
  <si>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</si>
  <si>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</si>
  <si>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</si>
  <si>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</si>
  <si>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</si>
  <si>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</si>
  <si>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</si>
  <si>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</si>
  <si>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</si>
  <si>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</si>
  <si>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</si>
  <si>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</si>
  <si>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</si>
  <si>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</si>
  <si>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</si>
  <si>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</si>
  <si>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</si>
  <si>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</si>
  <si>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</si>
  <si>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</si>
  <si>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</si>
  <si>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</si>
  <si>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</si>
  <si>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</si>
  <si>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</si>
  <si>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</si>
  <si>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</si>
  <si>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</si>
  <si>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</si>
  <si>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</si>
  <si>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</si>
  <si>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</si>
  <si>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</si>
  <si>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</si>
  <si>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</si>
  <si>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</si>
  <si>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</si>
  <si>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</si>
  <si>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</si>
  <si>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</si>
  <si>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</si>
  <si>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</si>
  <si>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</si>
  <si>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</si>
  <si>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</si>
  <si>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</si>
  <si>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</si>
  <si>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</si>
  <si>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</si>
  <si>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</si>
  <si>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</si>
  <si>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</si>
  <si>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</si>
  <si>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</si>
  <si>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</si>
  <si>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</si>
  <si>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</si>
  <si>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</si>
  <si>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</si>
  <si>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</si>
  <si>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</si>
  <si>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</si>
  <si>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</si>
  <si>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</si>
  <si>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</si>
  <si>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</si>
  <si>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</si>
  <si>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</si>
  <si>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</si>
  <si>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</si>
  <si>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</si>
  <si>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</si>
  <si>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</si>
  <si>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</si>
  <si>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</si>
  <si>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</si>
  <si>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</si>
  <si>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</si>
  <si>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</si>
  <si>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</si>
  <si>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</si>
  <si>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</si>
  <si>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</si>
  <si>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</si>
  <si>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</si>
  <si>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</si>
  <si>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</si>
  <si>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</si>
  <si>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</si>
  <si>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</si>
  <si>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</si>
  <si>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</si>
  <si>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</si>
  <si>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</si>
  <si>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</si>
  <si>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</si>
  <si>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</si>
  <si>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</si>
  <si>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</si>
  <si>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</si>
  <si>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</si>
  <si>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</si>
  <si>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</si>
  <si>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</si>
  <si>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</si>
  <si>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</si>
  <si>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</si>
  <si>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</si>
  <si>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</si>
  <si>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</si>
  <si>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</si>
  <si>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</si>
  <si>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</si>
  <si>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</si>
  <si>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</si>
  <si>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</si>
  <si>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</si>
  <si>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</si>
  <si>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</si>
  <si>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</si>
  <si>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</si>
  <si>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</si>
  <si>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</si>
  <si>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</si>
  <si>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</si>
  <si>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</si>
  <si>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</si>
  <si>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</si>
  <si>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</si>
  <si>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</si>
  <si>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</si>
  <si>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</si>
  <si>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</si>
  <si>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</si>
  <si>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</si>
  <si>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</si>
  <si>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</si>
  <si>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</si>
  <si>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</si>
  <si>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</si>
  <si>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</si>
  <si>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</si>
  <si>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</si>
  <si>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</si>
  <si>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</si>
  <si>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</si>
  <si>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</si>
  <si>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</si>
  <si>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</si>
  <si>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</si>
  <si>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</si>
  <si>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</si>
  <si>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</si>
  <si>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</si>
  <si>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</si>
  <si>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</si>
  <si>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</si>
  <si>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</si>
  <si>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</si>
  <si>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</si>
  <si>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</si>
  <si>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</si>
  <si>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</si>
  <si>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</si>
  <si>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</si>
  <si>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</si>
  <si>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</si>
  <si>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</si>
  <si>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</si>
  <si>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</si>
  <si>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</si>
  <si>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</si>
  <si>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</si>
  <si>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</si>
  <si>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</si>
  <si>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</si>
  <si>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</si>
  <si>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</si>
  <si>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</si>
  <si>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</si>
  <si>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</si>
  <si>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</si>
  <si>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</si>
  <si>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</si>
  <si>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</si>
  <si>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</si>
  <si>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</si>
  <si>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</si>
  <si>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</si>
  <si>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</si>
  <si>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</si>
  <si>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</si>
  <si>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</si>
  <si>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</si>
  <si>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</si>
  <si>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</si>
  <si>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</si>
  <si>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</si>
  <si>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</si>
  <si>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</si>
  <si>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</si>
  <si>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</si>
  <si>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</si>
  <si>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</si>
  <si>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</si>
  <si>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</si>
  <si>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</si>
  <si>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</si>
  <si>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</si>
  <si>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</si>
  <si>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</si>
  <si>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</si>
  <si>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</si>
  <si>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</si>
  <si>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</si>
  <si>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</si>
  <si>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</si>
  <si>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</si>
  <si>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</si>
  <si>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</si>
  <si>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</si>
  <si>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</si>
  <si>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</si>
  <si>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</si>
  <si>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</si>
  <si>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</si>
  <si>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</si>
  <si>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</si>
  <si>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</si>
  <si>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</si>
  <si>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</si>
  <si>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</si>
  <si>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</si>
  <si>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</si>
  <si>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</si>
  <si>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</si>
  <si>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</si>
  <si>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</si>
  <si>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</si>
  <si>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</si>
  <si>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</si>
  <si>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</si>
  <si>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</si>
  <si>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</si>
  <si>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</si>
  <si>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</si>
  <si>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</si>
  <si>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</si>
  <si>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</si>
  <si>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</si>
  <si>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</si>
  <si>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</si>
  <si>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</si>
  <si>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</si>
  <si>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</si>
  <si>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</si>
  <si>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</si>
  <si>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</si>
  <si>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</si>
  <si>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</si>
  <si>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</si>
  <si>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</si>
  <si>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</si>
  <si>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</si>
  <si>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</si>
  <si>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</si>
  <si>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</si>
  <si>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</si>
  <si>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</si>
  <si>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</si>
  <si>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</si>
  <si>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</si>
  <si>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</si>
  <si>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</si>
  <si>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</si>
  <si>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</si>
  <si>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</si>
  <si>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</si>
  <si>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</si>
  <si>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</si>
  <si>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</si>
  <si>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</si>
  <si>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</si>
  <si>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</si>
  <si>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</si>
  <si>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</si>
  <si>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</si>
  <si>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</si>
  <si>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</si>
  <si>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</si>
  <si>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</si>
  <si>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</si>
  <si>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</si>
  <si>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</si>
  <si>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</si>
  <si>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</si>
  <si>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</si>
  <si>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</si>
  <si>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</si>
  <si>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</si>
  <si>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</si>
  <si>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</si>
  <si>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</si>
  <si>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</si>
  <si>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</si>
  <si>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</si>
  <si>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</si>
  <si>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</si>
  <si>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</si>
  <si>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</si>
  <si>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</si>
  <si>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</si>
  <si>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</si>
  <si>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</si>
  <si>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</si>
  <si>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</si>
  <si>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</si>
  <si>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</si>
  <si>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</si>
  <si>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</si>
  <si>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</si>
  <si>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</si>
  <si>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</si>
  <si>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</si>
  <si>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</si>
  <si>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</si>
  <si>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</si>
  <si>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</si>
  <si>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</si>
  <si>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</si>
  <si>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</si>
  <si>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</si>
  <si>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</si>
  <si>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</si>
  <si>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</si>
  <si>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</si>
  <si>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</si>
  <si>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</si>
  <si>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</si>
  <si>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</si>
  <si>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</si>
  <si>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</si>
  <si>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</si>
  <si>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</si>
  <si>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</si>
  <si>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</si>
  <si>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</si>
  <si>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</si>
  <si>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</si>
  <si>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</si>
  <si>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</si>
  <si>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</si>
  <si>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</si>
  <si>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</si>
  <si>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</si>
  <si>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</si>
  <si>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</si>
  <si>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</si>
  <si>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</si>
  <si>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</si>
  <si>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</si>
  <si>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</si>
  <si>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</si>
  <si>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</si>
  <si>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</si>
  <si>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</si>
  <si>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</si>
  <si>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</si>
  <si>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</si>
  <si>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</si>
  <si>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</si>
  <si>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</si>
  <si>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</si>
  <si>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</si>
  <si>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</si>
  <si>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</si>
  <si>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</si>
  <si>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</si>
  <si>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</si>
  <si>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</si>
  <si>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</si>
  <si>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</si>
  <si>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</si>
  <si>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</si>
  <si>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</si>
  <si>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</si>
  <si>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</si>
  <si>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</si>
  <si>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</si>
  <si>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</si>
  <si>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</si>
  <si>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</si>
  <si>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</si>
  <si>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</si>
  <si>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</si>
  <si>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</si>
  <si>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</si>
  <si>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</si>
  <si>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</si>
  <si>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</si>
  <si>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</si>
  <si>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</si>
  <si>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</si>
  <si>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</si>
  <si>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</si>
  <si>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</si>
  <si>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</si>
  <si>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</si>
  <si>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</si>
  <si>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</si>
  <si>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</si>
  <si>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</si>
  <si>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</si>
  <si>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</si>
  <si>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</si>
  <si>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</si>
  <si>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</si>
  <si>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</si>
  <si>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</si>
  <si>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</si>
  <si>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</si>
  <si>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</si>
  <si>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</si>
  <si>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</si>
  <si>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</si>
  <si>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</si>
  <si>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</si>
  <si>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</si>
  <si>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</si>
  <si>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</si>
  <si>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</si>
  <si>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</si>
  <si>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</si>
  <si>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</si>
  <si>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</si>
  <si>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</si>
  <si>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</si>
  <si>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</si>
  <si>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</si>
  <si>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</si>
  <si>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</si>
  <si>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</si>
  <si>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</si>
  <si>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</si>
  <si>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</si>
  <si>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</si>
  <si>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</si>
  <si>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</si>
  <si>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</si>
  <si>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</si>
  <si>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</si>
  <si>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</si>
  <si>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</si>
  <si>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</si>
  <si>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</si>
  <si>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</si>
  <si>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</si>
  <si>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</si>
  <si>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</si>
  <si>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</si>
  <si>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</si>
  <si>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</si>
  <si>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</si>
  <si>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</si>
  <si>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</si>
  <si>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</si>
  <si>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</si>
  <si>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</si>
  <si>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</si>
  <si>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</si>
  <si>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</si>
  <si>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</si>
  <si>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</si>
  <si>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</si>
  <si>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</si>
  <si>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</si>
  <si>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</si>
  <si>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</si>
  <si>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</si>
  <si>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</si>
  <si>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</si>
  <si>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</si>
  <si>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</si>
  <si>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</si>
  <si>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</si>
  <si>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</si>
  <si>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</si>
  <si>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</si>
  <si>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</si>
  <si>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</si>
  <si>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</si>
  <si>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</si>
  <si>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</si>
  <si>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</si>
  <si>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</si>
  <si>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</si>
  <si>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</si>
  <si>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</si>
  <si>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</si>
  <si>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</si>
  <si>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</si>
  <si>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</si>
  <si>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</si>
  <si>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</si>
  <si>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</si>
  <si>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</si>
  <si>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</si>
  <si>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</si>
  <si>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</si>
  <si>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</si>
  <si>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</si>
  <si>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</si>
  <si>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</si>
  <si>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</si>
  <si>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</si>
  <si>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</si>
  <si>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</si>
  <si>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</si>
  <si>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</si>
  <si>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</si>
  <si>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</si>
  <si>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</si>
  <si>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</si>
  <si>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</si>
  <si>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</si>
  <si>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</si>
  <si>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</si>
  <si>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</si>
  <si>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</si>
  <si>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</si>
  <si>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</si>
  <si>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</si>
  <si>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</si>
  <si>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</si>
  <si>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</si>
  <si>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</si>
  <si>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</si>
  <si>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</si>
  <si>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</si>
  <si>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</si>
  <si>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</si>
  <si>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</si>
  <si>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</si>
  <si>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</si>
  <si>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</si>
  <si>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</si>
  <si>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</si>
  <si>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</si>
  <si>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</si>
  <si>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</si>
  <si>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</si>
  <si>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</si>
  <si>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</si>
  <si>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</si>
  <si>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</si>
  <si>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</si>
  <si>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</si>
  <si>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</si>
  <si>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</si>
  <si>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</si>
  <si>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</si>
  <si>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</si>
  <si>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</si>
  <si>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</si>
  <si>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</si>
  <si>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</si>
  <si>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</si>
  <si>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</si>
  <si>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</si>
  <si>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</si>
  <si>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</si>
  <si>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</si>
  <si>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</si>
  <si>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</si>
  <si>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</si>
  <si>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</si>
  <si>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</si>
  <si>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</si>
  <si>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</si>
  <si>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</si>
  <si>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</si>
  <si>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</si>
  <si>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</si>
  <si>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</si>
  <si>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</si>
  <si>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</si>
  <si>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</si>
  <si>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</si>
  <si>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</si>
  <si>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</si>
  <si>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</si>
  <si>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</si>
  <si>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</si>
  <si>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</si>
  <si>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</si>
  <si>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</si>
  <si>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</si>
  <si>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</si>
  <si>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</si>
  <si>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</si>
  <si>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</si>
  <si>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</si>
  <si>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</si>
  <si>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</si>
  <si>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</si>
  <si>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</si>
  <si>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</si>
  <si>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</si>
  <si>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</si>
  <si>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</si>
  <si>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</si>
  <si>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</si>
  <si>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</si>
  <si>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</si>
  <si>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</si>
  <si>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</si>
  <si>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</si>
  <si>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</si>
  <si>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</si>
  <si>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</si>
  <si>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</si>
  <si>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</si>
  <si>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</si>
  <si>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</si>
  <si>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</si>
  <si>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</si>
  <si>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</si>
  <si>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</si>
  <si>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</si>
  <si>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</si>
  <si>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</si>
  <si>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</si>
  <si>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</si>
  <si>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</si>
  <si>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</si>
  <si>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</si>
  <si>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</si>
  <si>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</si>
  <si>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</si>
  <si>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</si>
  <si>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</si>
  <si>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</si>
  <si>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</si>
  <si>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</si>
  <si>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</si>
  <si>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</si>
  <si>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</si>
  <si>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</si>
  <si>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</si>
  <si>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</si>
  <si>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</si>
  <si>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</si>
  <si>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</si>
  <si>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</si>
  <si>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</si>
  <si>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</si>
  <si>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</si>
  <si>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</si>
  <si>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</si>
  <si>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</si>
  <si>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</si>
  <si>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</si>
  <si>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</si>
  <si>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</si>
  <si>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</si>
  <si>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</si>
  <si>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</si>
  <si>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</si>
  <si>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</si>
  <si>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</si>
  <si>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</si>
  <si>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</si>
  <si>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</si>
  <si>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</si>
  <si>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</si>
  <si>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</si>
  <si>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</si>
  <si>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</si>
  <si>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</si>
  <si>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</si>
  <si>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</si>
  <si>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</si>
  <si>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</si>
  <si>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</si>
  <si>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</si>
  <si>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</si>
  <si>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</si>
  <si>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</si>
  <si>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</si>
  <si>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</si>
  <si>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</si>
  <si>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</si>
  <si>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</si>
  <si>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</si>
  <si>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</si>
  <si>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</si>
  <si>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</si>
  <si>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</si>
  <si>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</si>
  <si>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</si>
  <si>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</si>
  <si>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</si>
  <si>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</si>
  <si>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</si>
  <si>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</si>
  <si>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</si>
  <si>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</si>
  <si>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</si>
  <si>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</si>
  <si>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</si>
  <si>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</si>
  <si>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</si>
  <si>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</si>
  <si>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</si>
  <si>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</si>
  <si>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</si>
  <si>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</si>
  <si>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</si>
  <si>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</si>
  <si>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</si>
  <si>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</si>
  <si>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</si>
  <si>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</si>
  <si>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</si>
  <si>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</si>
  <si>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</si>
  <si>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</si>
  <si>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</si>
  <si>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</si>
  <si>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</si>
  <si>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</si>
  <si>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</si>
  <si>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</si>
  <si>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</si>
  <si>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</si>
  <si>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</si>
  <si>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</si>
  <si>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</si>
  <si>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</si>
  <si>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</si>
  <si>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</si>
  <si>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</si>
  <si>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</si>
  <si>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</si>
  <si>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</si>
  <si>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</si>
  <si>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</si>
  <si>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</si>
  <si>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</si>
  <si>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</si>
  <si>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</si>
  <si>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</si>
  <si>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</si>
  <si>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</si>
  <si>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</si>
  <si>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</si>
  <si>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</si>
  <si>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</si>
  <si>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</si>
  <si>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</si>
  <si>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</si>
  <si>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</si>
  <si>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</si>
  <si>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</si>
  <si>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</si>
  <si>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</si>
  <si>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</si>
  <si>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</si>
  <si>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</si>
  <si>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</si>
  <si>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</si>
  <si>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</si>
  <si>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</si>
  <si>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</si>
  <si>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</si>
  <si>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</si>
  <si>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</si>
  <si>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</si>
  <si>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</si>
  <si>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</si>
  <si>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</si>
  <si>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</si>
  <si>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</si>
  <si>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</si>
  <si>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</si>
  <si>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</si>
  <si>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</si>
  <si>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</si>
  <si>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</si>
  <si>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</si>
  <si>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</si>
  <si>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</si>
  <si>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</si>
  <si>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</si>
  <si>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</si>
  <si>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</si>
  <si>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</si>
  <si>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</si>
  <si>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</si>
  <si>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</si>
  <si>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</si>
  <si>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</si>
  <si>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</si>
  <si>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</si>
  <si>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</si>
  <si>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</si>
  <si>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</si>
  <si>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</si>
  <si>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</si>
  <si>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</si>
  <si>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</si>
  <si>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</si>
  <si>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</si>
  <si>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</si>
  <si>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</si>
  <si>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</si>
  <si>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</si>
  <si>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</si>
  <si>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</si>
  <si>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</si>
  <si>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</si>
  <si>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</si>
  <si>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</si>
  <si>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</si>
  <si>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</si>
  <si>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</si>
  <si>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</si>
  <si>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</si>
  <si>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</si>
  <si>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</si>
  <si>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</si>
  <si>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</si>
  <si>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</si>
  <si>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</si>
  <si>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</si>
  <si>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</si>
  <si>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</si>
  <si>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</si>
  <si>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</si>
  <si>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</si>
  <si>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</si>
  <si>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</si>
  <si>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</si>
  <si>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</si>
  <si>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</si>
  <si>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</si>
  <si>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</si>
  <si>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</si>
  <si>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</si>
  <si>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</si>
  <si>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</si>
  <si>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</si>
  <si>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</si>
  <si>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</si>
  <si>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</si>
  <si>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</si>
  <si>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</si>
  <si>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</si>
  <si>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</si>
  <si>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</si>
  <si>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</si>
  <si>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</si>
  <si>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</si>
  <si>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</si>
  <si>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</si>
  <si>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</si>
  <si>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</si>
  <si>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</si>
  <si>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</si>
  <si>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</si>
  <si>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</si>
  <si>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</si>
  <si>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</si>
  <si>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</si>
  <si>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</si>
  <si>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</si>
  <si>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</si>
  <si>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</si>
  <si>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</si>
  <si>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</si>
  <si>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</si>
  <si>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</si>
  <si>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</si>
  <si>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</si>
  <si>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</si>
  <si>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</si>
  <si>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</si>
  <si>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</si>
  <si>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</si>
  <si>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</si>
  <si>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</si>
  <si>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</si>
  <si>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</si>
  <si>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</si>
  <si>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</si>
  <si>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</si>
  <si>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</si>
  <si>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</si>
  <si>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</si>
  <si>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</si>
  <si>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</si>
  <si>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</si>
  <si>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</si>
  <si>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</si>
  <si>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</si>
  <si>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</si>
  <si>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</si>
  <si>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</si>
  <si>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</si>
  <si>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</si>
  <si>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</si>
  <si>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</si>
  <si>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</si>
  <si>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</si>
  <si>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</si>
  <si>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</si>
  <si>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</si>
  <si>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</si>
  <si>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</si>
  <si>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</si>
  <si>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</si>
  <si>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</si>
  <si>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</si>
  <si>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</si>
  <si>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</si>
  <si>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</si>
  <si>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</si>
  <si>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</si>
  <si>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</si>
  <si>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</si>
  <si>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</si>
  <si>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</si>
  <si>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</si>
  <si>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</si>
  <si>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</si>
  <si>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</si>
  <si>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</si>
  <si>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</si>
  <si>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</si>
  <si>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</si>
  <si>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</si>
  <si>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</si>
  <si>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</si>
  <si>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</si>
  <si>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</si>
  <si>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</si>
  <si>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</si>
  <si>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</si>
  <si>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</si>
  <si>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</si>
  <si>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</si>
  <si>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</si>
  <si>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</si>
  <si>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</si>
  <si>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</si>
  <si>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</si>
  <si>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</si>
  <si>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</si>
  <si>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</si>
  <si>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</si>
  <si>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</si>
  <si>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</si>
  <si>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</si>
  <si>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</si>
  <si>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</si>
  <si>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</si>
  <si>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</si>
  <si>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</si>
  <si>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</si>
  <si>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</si>
  <si>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</si>
  <si>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</si>
  <si>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</si>
  <si>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</si>
  <si>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</si>
  <si>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</si>
  <si>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</si>
  <si>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</si>
  <si>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</si>
  <si>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</si>
  <si>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</si>
  <si>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</si>
  <si>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</si>
  <si>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</si>
  <si>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</si>
  <si>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</si>
  <si>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</si>
  <si>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</si>
  <si>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</si>
  <si>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</si>
  <si>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</si>
  <si>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</si>
  <si>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</si>
  <si>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</si>
  <si>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</si>
  <si>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</si>
  <si>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</si>
  <si>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</si>
  <si>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</si>
  <si>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</si>
  <si>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</si>
  <si>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</si>
  <si>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</si>
  <si>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</si>
  <si>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</si>
  <si>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</si>
  <si>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</si>
  <si>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</si>
  <si>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</si>
  <si>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</si>
  <si>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</si>
  <si>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</si>
  <si>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</si>
  <si>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</si>
  <si>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</si>
  <si>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</si>
  <si>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</si>
  <si>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</si>
  <si>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</si>
  <si>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</si>
  <si>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</si>
  <si>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</si>
  <si>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</si>
  <si>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</si>
  <si>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</si>
  <si>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</si>
  <si>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</si>
  <si>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</si>
  <si>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</si>
  <si>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</si>
  <si>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</si>
  <si>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</si>
  <si>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</si>
  <si>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</si>
  <si>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</si>
  <si>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</si>
  <si>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</si>
  <si>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</si>
  <si>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</si>
  <si>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</si>
  <si>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</si>
  <si>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</si>
  <si>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</si>
  <si>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</si>
  <si>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</si>
  <si>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</si>
  <si>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</si>
  <si>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</si>
  <si>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</si>
  <si>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</si>
  <si>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</si>
  <si>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</si>
  <si>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</si>
  <si>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</si>
  <si>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</si>
  <si>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</si>
  <si>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</si>
  <si>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</si>
  <si>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</si>
  <si>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</si>
  <si>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</si>
  <si>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</si>
  <si>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</si>
  <si>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</si>
  <si>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</si>
  <si>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</si>
  <si>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</si>
  <si>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</si>
  <si>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</si>
  <si>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</si>
  <si>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</si>
  <si>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</si>
  <si>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</si>
  <si>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</si>
  <si>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</si>
  <si>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</si>
  <si>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</si>
  <si>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</si>
  <si>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</si>
  <si>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</si>
  <si>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</si>
  <si>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</si>
  <si>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</si>
  <si>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</si>
  <si>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</si>
  <si>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</si>
  <si>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</si>
  <si>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</si>
  <si>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</si>
  <si>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</si>
  <si>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</si>
  <si>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</si>
  <si>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</si>
  <si>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</si>
  <si>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</si>
  <si>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</si>
  <si>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</si>
  <si>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</si>
  <si>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</si>
  <si>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</si>
  <si>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</si>
  <si>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</si>
  <si>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</si>
  <si>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</si>
  <si>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</si>
  <si>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</si>
  <si>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</si>
  <si>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</si>
  <si>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</si>
  <si>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</si>
  <si>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</si>
  <si>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</si>
  <si>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</si>
  <si>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</si>
  <si>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</si>
  <si>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</si>
  <si>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</si>
  <si>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</si>
  <si>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</si>
  <si>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</si>
  <si>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</si>
  <si>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</si>
  <si>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</si>
  <si>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</si>
  <si>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</si>
  <si>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</si>
  <si>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</si>
  <si>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</si>
  <si>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</si>
  <si>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</si>
  <si>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</si>
  <si>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</si>
  <si>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</si>
  <si>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</si>
  <si>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</si>
  <si>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</si>
  <si>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</si>
  <si>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</si>
  <si>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</si>
  <si>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</si>
  <si>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</si>
  <si>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</si>
  <si>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</si>
  <si>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</si>
  <si>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</si>
  <si>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</si>
  <si>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</si>
  <si>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</si>
  <si>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</si>
  <si>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</si>
  <si>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</si>
  <si>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</si>
  <si>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</si>
  <si>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</si>
  <si>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</si>
  <si>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</si>
  <si>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</si>
  <si>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</si>
  <si>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</si>
  <si>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</si>
  <si>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</si>
  <si>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</si>
  <si>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</si>
  <si>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</si>
  <si>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</si>
  <si>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</si>
  <si>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</si>
  <si>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</si>
  <si>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</si>
  <si>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</si>
  <si>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</si>
  <si>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</si>
  <si>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</si>
  <si>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</si>
  <si>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</si>
  <si>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</si>
  <si>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</si>
  <si>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</si>
  <si>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</si>
  <si>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</si>
  <si>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</si>
  <si>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</si>
  <si>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</si>
  <si>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</si>
  <si>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</si>
  <si>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</si>
  <si>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</si>
  <si>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</si>
  <si>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</si>
  <si>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</si>
  <si>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</si>
  <si>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</si>
  <si>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</si>
  <si>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</si>
  <si>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</si>
  <si>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</si>
  <si>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</si>
  <si>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</si>
  <si>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</si>
  <si>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</si>
  <si>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</si>
  <si>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</si>
  <si>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</si>
  <si>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</si>
  <si>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</si>
  <si>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</si>
  <si>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</si>
  <si>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</si>
  <si>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</si>
  <si>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</si>
  <si>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</si>
  <si>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</si>
  <si>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</si>
  <si>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</si>
  <si>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</si>
  <si>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</si>
  <si>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</si>
  <si>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</si>
  <si>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</si>
  <si>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</si>
  <si>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</si>
  <si>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</si>
  <si>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</si>
  <si>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</si>
  <si>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</si>
  <si>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</si>
  <si>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</si>
  <si>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</si>
  <si>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</si>
  <si>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</si>
  <si>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</si>
  <si>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</si>
  <si>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</si>
  <si>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</si>
  <si>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</si>
  <si>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</si>
  <si>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</si>
  <si>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</si>
  <si>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</si>
  <si>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</si>
  <si>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</si>
  <si>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</si>
  <si>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</si>
  <si>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</si>
  <si>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</si>
  <si>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</si>
  <si>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</si>
  <si>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</si>
  <si>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</si>
  <si>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</si>
  <si>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</si>
  <si>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</si>
  <si>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</si>
  <si>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</si>
  <si>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</si>
  <si>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</si>
  <si>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</si>
  <si>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</si>
  <si>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</si>
  <si>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</si>
  <si>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</si>
  <si>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</si>
  <si>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</si>
  <si>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</si>
  <si>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</si>
  <si>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</si>
  <si>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</si>
  <si>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</si>
  <si>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</si>
  <si>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</si>
  <si>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</si>
  <si>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</si>
  <si>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</si>
  <si>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</si>
  <si>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</si>
  <si>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</si>
  <si>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</si>
  <si>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</si>
  <si>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</si>
  <si>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</si>
  <si>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</si>
  <si>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</si>
  <si>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</si>
  <si>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</si>
  <si>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</si>
  <si>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</si>
  <si>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</si>
  <si>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</si>
  <si>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</si>
  <si>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</si>
  <si>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</si>
  <si>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</si>
  <si>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</si>
  <si>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</si>
  <si>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</si>
  <si>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</si>
  <si>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</si>
  <si>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</si>
  <si>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</si>
  <si>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</si>
  <si>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</si>
  <si>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</si>
  <si>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</si>
  <si>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</si>
  <si>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</si>
  <si>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</si>
  <si>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</si>
  <si>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</si>
  <si>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</si>
  <si>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</si>
  <si>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</si>
  <si>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</si>
  <si>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</si>
  <si>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</si>
  <si>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</si>
  <si>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</si>
  <si>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</si>
  <si>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</si>
  <si>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</si>
  <si>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</si>
  <si>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</si>
  <si>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</si>
  <si>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</si>
  <si>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</si>
  <si>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</si>
  <si>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</si>
  <si>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</si>
  <si>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</si>
  <si>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</si>
  <si>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</si>
  <si>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</si>
  <si>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</si>
  <si>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</si>
  <si>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</si>
  <si>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</si>
  <si>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</si>
  <si>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</si>
  <si>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</si>
  <si>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</si>
  <si>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</si>
  <si>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</si>
  <si>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</si>
  <si>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</si>
  <si>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</si>
  <si>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</si>
  <si>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</si>
  <si>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</si>
  <si>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</si>
  <si>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</si>
  <si>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</si>
  <si>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</si>
  <si>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</si>
  <si>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</si>
  <si>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</si>
  <si>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</si>
  <si>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</si>
  <si>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</si>
  <si>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</si>
  <si>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</si>
  <si>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</si>
  <si>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</si>
  <si>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</si>
  <si>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</si>
  <si>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</si>
  <si>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</si>
  <si>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</si>
  <si>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</si>
  <si>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</si>
  <si>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</si>
  <si>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</si>
  <si>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</si>
  <si>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</si>
  <si>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</si>
  <si>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</si>
  <si>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</si>
  <si>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</si>
  <si>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</si>
  <si>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</si>
  <si>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</si>
  <si>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</si>
  <si>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</si>
  <si>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</si>
  <si>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</si>
  <si>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</si>
  <si>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</si>
  <si>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</si>
  <si>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</si>
  <si>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</si>
  <si>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</si>
  <si>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</si>
  <si>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</si>
  <si>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</si>
  <si>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</si>
  <si>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</si>
  <si>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</si>
  <si>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</si>
  <si>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</si>
  <si>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</si>
  <si>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</si>
  <si>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</si>
  <si>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</si>
  <si>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</si>
  <si>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</si>
  <si>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</si>
  <si>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</si>
  <si>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</si>
  <si>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</si>
  <si>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</si>
  <si>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</si>
  <si>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</si>
  <si>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</si>
  <si>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</si>
  <si>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</si>
  <si>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</si>
  <si>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</si>
  <si>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</si>
  <si>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</si>
  <si>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</si>
  <si>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</si>
  <si>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</si>
  <si>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</si>
  <si>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</si>
  <si>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</si>
  <si>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</si>
  <si>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</si>
  <si>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</si>
  <si>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</si>
  <si>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</si>
  <si>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</si>
  <si>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</si>
  <si>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</si>
  <si>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</si>
  <si>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</si>
  <si>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</si>
  <si>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</si>
  <si>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</si>
  <si>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</si>
  <si>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</si>
  <si>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</si>
  <si>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</si>
  <si>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</si>
  <si>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</si>
  <si>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</si>
  <si>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</si>
  <si>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</si>
  <si>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</si>
  <si>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</si>
  <si>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</si>
  <si>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</si>
  <si>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</si>
  <si>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</si>
  <si>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</si>
  <si>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</si>
  <si>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</si>
  <si>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</si>
  <si>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</si>
  <si>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</si>
  <si>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</si>
  <si>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</si>
  <si>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</si>
  <si>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</si>
  <si>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</si>
  <si>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</si>
  <si>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</si>
  <si>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</si>
  <si>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</si>
  <si>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</si>
  <si>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</si>
  <si>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</si>
  <si>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</si>
  <si>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</si>
  <si>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</si>
  <si>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</si>
  <si>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</si>
  <si>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</si>
  <si>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</si>
  <si>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</si>
  <si>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</si>
  <si>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</si>
  <si>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</si>
  <si>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</si>
  <si>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</si>
  <si>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</si>
  <si>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</si>
  <si>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</si>
  <si>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</si>
  <si>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</si>
  <si>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</si>
  <si>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</si>
  <si>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</si>
  <si>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</si>
  <si>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</si>
  <si>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</si>
  <si>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</si>
  <si>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</si>
  <si>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</si>
  <si>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</si>
  <si>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</si>
  <si>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</si>
  <si>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</si>
  <si>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</si>
  <si>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</si>
  <si>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</si>
  <si>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</si>
  <si>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</si>
  <si>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</si>
  <si>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</si>
  <si>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</si>
  <si>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</si>
  <si>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</si>
  <si>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</si>
  <si>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</si>
  <si>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</si>
  <si>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</si>
  <si>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</si>
  <si>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</si>
  <si>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</si>
  <si>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</si>
  <si>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</si>
  <si>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</si>
  <si>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</si>
  <si>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</si>
  <si>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</si>
  <si>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</si>
  <si>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</si>
  <si>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</si>
  <si>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</si>
  <si>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</si>
  <si>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</si>
  <si>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</si>
  <si>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</si>
  <si>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</si>
  <si>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</si>
  <si>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</si>
  <si>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</si>
  <si>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</si>
  <si>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</si>
  <si>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</si>
  <si>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</si>
  <si>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</si>
  <si>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</si>
  <si>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</si>
  <si>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</si>
  <si>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</si>
  <si>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</si>
  <si>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</si>
  <si>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</si>
  <si>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</si>
  <si>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</si>
  <si>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</si>
  <si>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</si>
  <si>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</si>
  <si>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</si>
  <si>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</si>
  <si>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</si>
  <si>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</si>
  <si>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</si>
  <si>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</si>
  <si>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</si>
  <si>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</si>
  <si>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</si>
  <si>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</si>
  <si>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</si>
  <si>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</si>
  <si>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</si>
  <si>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</si>
  <si>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</si>
  <si>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</si>
  <si>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</si>
  <si>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</si>
  <si>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</si>
  <si>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</si>
  <si>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</si>
  <si>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</si>
  <si>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</si>
  <si>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</si>
  <si>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</si>
  <si>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</si>
  <si>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</si>
  <si>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</si>
  <si>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</si>
  <si>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</si>
  <si>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</si>
  <si>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</si>
  <si>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</si>
  <si>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</si>
  <si>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</si>
  <si>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</si>
  <si>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</si>
  <si>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</si>
  <si>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</si>
  <si>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</si>
  <si>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</si>
  <si>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</si>
  <si>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</si>
  <si>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</si>
  <si>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</si>
  <si>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</si>
  <si>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</si>
  <si>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</si>
  <si>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</si>
  <si>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</si>
  <si>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</si>
  <si>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</si>
  <si>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</si>
  <si>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</si>
  <si>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</si>
  <si>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</si>
  <si>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</si>
  <si>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</si>
  <si>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</si>
  <si>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</si>
  <si>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</si>
  <si>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</si>
  <si>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</si>
  <si>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</si>
  <si>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</si>
  <si>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</si>
  <si>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</si>
  <si>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</si>
  <si>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</si>
  <si>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</si>
  <si>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</si>
  <si>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</si>
  <si>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</si>
  <si>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</si>
  <si>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</si>
  <si>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</si>
  <si>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</si>
  <si>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</si>
  <si>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</si>
  <si>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</si>
  <si>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</si>
  <si>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</si>
  <si>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</si>
  <si>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</si>
  <si>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</si>
  <si>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</si>
  <si>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</si>
  <si>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</si>
  <si>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</si>
  <si>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</si>
  <si>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</si>
  <si>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</si>
  <si>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</si>
  <si>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</si>
  <si>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</si>
  <si>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</si>
  <si>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</si>
  <si>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</si>
  <si>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</si>
  <si>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</si>
  <si>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</si>
  <si>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</si>
  <si>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</si>
  <si>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</si>
  <si>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</si>
  <si>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</si>
  <si>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</si>
  <si>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</si>
  <si>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</si>
  <si>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</si>
  <si>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</si>
  <si>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</si>
  <si>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</si>
  <si>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</si>
  <si>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</si>
  <si>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</si>
  <si>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</si>
  <si>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</si>
  <si>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</si>
  <si>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</si>
  <si>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</si>
  <si>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</si>
  <si>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</si>
  <si>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</si>
  <si>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</si>
  <si>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</si>
  <si>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</si>
  <si>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</si>
  <si>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</si>
  <si>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</si>
  <si>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</si>
  <si>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</si>
  <si>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</si>
  <si>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</si>
  <si>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</si>
  <si>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</si>
  <si>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</si>
  <si>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</si>
  <si>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</si>
  <si>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</si>
  <si>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</si>
  <si>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</si>
  <si>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</si>
  <si>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</si>
  <si>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</si>
  <si>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</si>
  <si>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</si>
  <si>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</si>
  <si>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</si>
  <si>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</si>
  <si>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</si>
  <si>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</si>
  <si>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</si>
  <si>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</si>
  <si>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</si>
  <si>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</si>
  <si>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</si>
  <si>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</si>
  <si>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</si>
  <si>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</si>
  <si>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</si>
  <si>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</si>
  <si>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</si>
  <si>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</si>
  <si>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</si>
  <si>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</si>
  <si>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</si>
  <si>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</si>
  <si>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</si>
  <si>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</si>
  <si>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</si>
  <si>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</si>
  <si>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</si>
  <si>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</si>
  <si>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</si>
  <si>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</si>
  <si>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</si>
  <si>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</si>
  <si>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</si>
  <si>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</si>
  <si>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</si>
  <si>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</si>
  <si>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</si>
  <si>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</si>
  <si>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</si>
  <si>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</si>
  <si>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</si>
  <si>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</si>
  <si>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</si>
  <si>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</si>
  <si>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</si>
  <si>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</si>
  <si>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</si>
  <si>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</si>
  <si>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</si>
  <si>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</si>
  <si>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</si>
  <si>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</si>
  <si>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</si>
  <si>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</si>
  <si>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</si>
  <si>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</si>
  <si>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</si>
  <si>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</si>
  <si>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</si>
  <si>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</si>
  <si>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</si>
  <si>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</si>
  <si>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</si>
  <si>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</si>
  <si>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</si>
  <si>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</si>
  <si>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</si>
  <si>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</si>
  <si>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</si>
  <si>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</si>
  <si>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</si>
  <si>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</si>
  <si>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</si>
  <si>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</si>
  <si>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</si>
  <si>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</si>
  <si>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</si>
  <si>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</si>
  <si>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</si>
  <si>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</si>
  <si>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</si>
  <si>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</si>
  <si>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</si>
  <si>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</si>
  <si>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</si>
  <si>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</si>
  <si>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</si>
  <si>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</si>
  <si>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</si>
  <si>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</si>
  <si>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</si>
  <si>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</si>
  <si>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</si>
  <si>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</si>
  <si>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</si>
  <si>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</si>
  <si>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</si>
  <si>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</si>
  <si>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</si>
  <si>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</si>
  <si>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</si>
  <si>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</si>
  <si>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</si>
  <si>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</si>
  <si>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</si>
  <si>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</si>
  <si>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</si>
  <si>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</si>
  <si>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</si>
  <si>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</si>
  <si>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</si>
  <si>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</si>
  <si>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</si>
  <si>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</si>
  <si>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</si>
  <si>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</si>
  <si>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</si>
  <si>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</si>
  <si>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</si>
  <si>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</si>
  <si>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</si>
  <si>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</si>
  <si>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</si>
  <si>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</si>
  <si>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</si>
  <si>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</si>
  <si>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</si>
  <si>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</si>
  <si>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</si>
  <si>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</si>
  <si>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</si>
  <si>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</si>
  <si>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</si>
  <si>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</si>
  <si>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</si>
  <si>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</si>
  <si>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</si>
  <si>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</si>
  <si>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</si>
  <si>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</si>
  <si>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</si>
  <si>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</si>
  <si>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</si>
  <si>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</si>
  <si>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</si>
  <si>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</si>
  <si>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</si>
  <si>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</si>
  <si>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</si>
  <si>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</si>
  <si>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</si>
  <si>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</si>
  <si>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</si>
  <si>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</si>
  <si>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</si>
  <si>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</si>
  <si>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</si>
  <si>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</si>
  <si>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</si>
  <si>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</si>
  <si>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</si>
  <si>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</si>
  <si>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</si>
  <si>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</si>
  <si>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</si>
  <si>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</si>
  <si>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</si>
  <si>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</si>
  <si>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</si>
  <si>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</si>
  <si>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</si>
  <si>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</si>
  <si>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</si>
  <si>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</si>
  <si>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</si>
  <si>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</si>
  <si>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</si>
  <si>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</si>
  <si>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</si>
  <si>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</si>
  <si>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</si>
  <si>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</si>
  <si>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估价对象附近分布较多银行、医院、餐饮、购物中心等公共配套设施，程度较好</t>
  </si>
  <si>
    <t>七通一平</t>
  </si>
  <si>
    <t>区域自然环境：海淀公园、北京大学未名湖；人文环境：北京大学、北大附中、中关村中学、中国人民大学；综合评价环境状况较好</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</si>
  <si>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</si>
  <si>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</si>
  <si>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</si>
  <si>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</si>
  <si>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</si>
  <si>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</si>
  <si>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</si>
  <si>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</si>
  <si>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</si>
  <si>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</si>
  <si>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</si>
  <si>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</si>
  <si>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</si>
  <si>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</si>
  <si>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</si>
  <si>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</si>
  <si>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</si>
  <si>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</si>
  <si>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</si>
  <si>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</si>
  <si>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</si>
  <si>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</si>
  <si>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</si>
  <si>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</si>
  <si>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</si>
  <si>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</si>
  <si>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</si>
  <si>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</si>
  <si>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</si>
  <si>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</si>
  <si>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</si>
  <si>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</si>
  <si>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</si>
  <si>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</si>
  <si>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</si>
  <si>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</si>
  <si>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</si>
  <si>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</si>
  <si>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</si>
  <si>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</si>
  <si>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</si>
  <si>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</si>
  <si>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</si>
  <si>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</si>
  <si>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</si>
  <si>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</si>
  <si>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</si>
  <si>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</si>
  <si>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</si>
  <si>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</si>
  <si>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</si>
  <si>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</si>
  <si>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</si>
  <si>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</si>
  <si>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</si>
  <si>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</si>
  <si>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</si>
  <si>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</si>
  <si>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</si>
  <si>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</si>
  <si>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</si>
  <si>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</si>
  <si>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</si>
  <si>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</si>
  <si>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</si>
  <si>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估价对象位于中关村商圈，周边有鼎好电子大厦、海龙大厦写字楼等写字楼，办公项目较多，入驻率高，办公集聚程度好</t>
    <phoneticPr fontId="25" type="noConversion"/>
  </si>
  <si>
    <r>
      <rPr>
        <sz val="11"/>
        <color theme="9" tint="-0.249977111117893"/>
        <rFont val="宋体"/>
        <family val="3"/>
        <charset val="134"/>
      </rPr>
      <t>估价对象紧邻中关村大街，紧挨地铁</t>
    </r>
    <r>
      <rPr>
        <sz val="11"/>
        <color theme="9" tint="-0.249977111117893"/>
        <rFont val="Arial"/>
        <family val="2"/>
      </rPr>
      <t>4</t>
    </r>
    <r>
      <rPr>
        <sz val="11"/>
        <color theme="9" tint="-0.249977111117893"/>
        <rFont val="宋体"/>
        <family val="3"/>
        <charset val="134"/>
      </rPr>
      <t>号线中关村站，附近有</t>
    </r>
    <r>
      <rPr>
        <sz val="11"/>
        <color theme="9" tint="-0.249977111117893"/>
        <rFont val="Arial"/>
        <family val="2"/>
      </rPr>
      <t>302</t>
    </r>
    <r>
      <rPr>
        <sz val="11"/>
        <color theme="9" tint="-0.249977111117893"/>
        <rFont val="宋体"/>
        <family val="3"/>
        <charset val="134"/>
      </rPr>
      <t>、</t>
    </r>
    <r>
      <rPr>
        <sz val="11"/>
        <color theme="9" tint="-0.249977111117893"/>
        <rFont val="Arial"/>
        <family val="2"/>
      </rPr>
      <t>307</t>
    </r>
    <r>
      <rPr>
        <sz val="11"/>
        <color theme="9" tint="-0.249977111117893"/>
        <rFont val="宋体"/>
        <family val="3"/>
        <charset val="134"/>
      </rPr>
      <t>、</t>
    </r>
    <r>
      <rPr>
        <sz val="11"/>
        <color theme="9" tint="-0.249977111117893"/>
        <rFont val="Arial"/>
        <family val="2"/>
      </rPr>
      <t>320</t>
    </r>
    <r>
      <rPr>
        <sz val="11"/>
        <color theme="9" tint="-0.249977111117893"/>
        <rFont val="宋体"/>
        <family val="3"/>
        <charset val="134"/>
      </rPr>
      <t>、</t>
    </r>
    <r>
      <rPr>
        <sz val="11"/>
        <color theme="9" tint="-0.249977111117893"/>
        <rFont val="Arial"/>
        <family val="2"/>
      </rPr>
      <t>332</t>
    </r>
    <r>
      <rPr>
        <sz val="11"/>
        <color theme="9" tint="-0.249977111117893"/>
        <rFont val="宋体"/>
        <family val="3"/>
        <charset val="134"/>
      </rPr>
      <t>等多条公交线路，估价对象有地下停车场，路边停车位，停车较便捷，综合评价交通便捷度好</t>
    </r>
    <phoneticPr fontId="25" type="noConversion"/>
  </si>
  <si>
    <t>宗地容积率</t>
  </si>
  <si>
    <t>不临58条商业街</t>
  </si>
  <si>
    <t>部分缴纳</t>
  </si>
  <si>
    <t>建筑面积</t>
  </si>
  <si>
    <t>分摊土地面积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</si>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</sst>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184" fontId="186" fillId="5" borderId="1" xfId="0" applyNumberFormat="1" applyFont="1" applyFill="1" applyBorder="1" applyAlignment="1" applyProtection="1">
      <alignment horizontal="center" vertical="center" shrinkToFit="1"/>
      <protection locked="0"/>
    </xf>
    <xf numFmtId="181" fontId="106" fillId="5" borderId="1" xfId="0" applyNumberFormat="1" applyFont="1" applyFill="1" applyBorder="1" applyAlignment="1" applyProtection="1">
      <alignment vertical="center"/>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北京市北京市海淀区中关村大街18号房地产抵押价值预评估</v>
      </c>
    </row>
    <row r="3" spans="1:2" s="1591" customFormat="1">
      <c r="A3" s="1589" t="s">
        <v>1221</v>
      </c>
      <c r="B3" s="1590" t="str">
        <f>'预评函-封皮'!B40</f>
        <v>大连国美电器有限公司</v>
      </c>
    </row>
    <row r="4" spans="1:2" s="1591" customFormat="1">
      <c r="A4" s="1589" t="s">
        <v>1222</v>
      </c>
      <c r="B4" s="1590" t="str">
        <f ca="1">'预评函-封皮'!B46</f>
        <v>崔锴（注册号：1120100036)、吴薇（注册号：1419970001)</v>
      </c>
    </row>
    <row r="5" spans="1:2" s="1585" customFormat="1" ht="15" thickBot="1">
      <c r="A5" s="1592" t="s">
        <v>1223</v>
      </c>
      <c r="B5" s="1593" t="str">
        <f>'预评函-封皮'!B49</f>
        <v>康正预评字2018-1-0877-P01DYGJ1号</v>
      </c>
    </row>
    <row r="6" spans="1:2" s="1588" customFormat="1" ht="15" thickTop="1">
      <c r="A6" s="1586" t="s">
        <v>1224</v>
      </c>
      <c r="B6" s="1587" t="str">
        <f>'预评函-1'!A4</f>
        <v>受贵公司委托，我公司对北京市北京市海淀区中关村大街18号房地产抵押价值进行了预评估。</v>
      </c>
    </row>
    <row r="7" spans="1:2" s="1591" customFormat="1">
      <c r="A7" s="1589" t="s">
        <v>1264</v>
      </c>
      <c r="B7" s="1590"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为估价委托人在向民生银行大连支行办理贷款手续过程中，确定房地产抵押贷款额度提供参考依据而评估房地产抵押价值。</v>
      </c>
    </row>
    <row r="12" spans="1:2" s="1591" customFormat="1">
      <c r="A12" s="1589" t="s">
        <v>1226</v>
      </c>
      <c r="B12" s="1590" t="str">
        <f>'预评函-1'!A15</f>
        <v>2018年12月18日（评估专业人员实地查勘之日）</v>
      </c>
    </row>
    <row r="13" spans="1:2" s="1591" customFormat="1">
      <c r="A13" s="1589" t="s">
        <v>1227</v>
      </c>
      <c r="B13" s="1590"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1" customFormat="1">
      <c r="A14" s="1589" t="s">
        <v>1228</v>
      </c>
      <c r="B14" s="1590"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30194</v>
      </c>
    </row>
    <row r="21" spans="1:2" s="1591" customFormat="1">
      <c r="A21" s="1589" t="s">
        <v>1235</v>
      </c>
      <c r="B21" s="1590">
        <f ca="1">'预评函-2'!D7</f>
        <v>36481</v>
      </c>
    </row>
    <row r="22" spans="1:2" s="1591" customFormat="1">
      <c r="A22" s="1589" t="s">
        <v>1236</v>
      </c>
      <c r="B22" s="1590" t="str">
        <f ca="1">'预评函-2'!D6</f>
        <v>叁亿零壹佰玖拾肆万元整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30194</v>
      </c>
    </row>
    <row r="31" spans="1:2" s="1591" customFormat="1">
      <c r="A31" s="1589" t="s">
        <v>1274</v>
      </c>
      <c r="B31" s="1590">
        <f ca="1">'预评函-2'!D15</f>
        <v>36481</v>
      </c>
    </row>
    <row r="32" spans="1:2" s="1591" customFormat="1">
      <c r="A32" s="1589" t="s">
        <v>1241</v>
      </c>
      <c r="B32" s="1590" t="str">
        <f ca="1">'预评函-2'!D14</f>
        <v>叁亿零壹佰玖拾肆万元整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北京市北京市海淀区中关村大街18号房地产</v>
      </c>
    </row>
    <row r="42" spans="1:2" s="1591" customFormat="1">
      <c r="A42" s="1589" t="s">
        <v>1288</v>
      </c>
      <c r="B42" s="1590" t="str">
        <f>'预评函-3'!B2</f>
        <v>建筑面积</v>
      </c>
    </row>
    <row r="43" spans="1:2" s="1591" customFormat="1">
      <c r="A43" s="1589" t="s">
        <v>1289</v>
      </c>
      <c r="B43" s="1590">
        <f>'预评函-3'!B4</f>
        <v>8276.64</v>
      </c>
    </row>
    <row r="44" spans="1:2" s="1591" customFormat="1">
      <c r="A44" s="1589" t="s">
        <v>1273</v>
      </c>
      <c r="B44" s="1590" t="str">
        <f>'预评函-3'!C2</f>
        <v>(分摊)土地面积</v>
      </c>
    </row>
    <row r="45" spans="1:2" s="1591" customFormat="1">
      <c r="A45" s="1589" t="s">
        <v>1245</v>
      </c>
      <c r="B45" s="1590">
        <f>'预评函-3'!C4</f>
        <v>927.85</v>
      </c>
    </row>
    <row r="46" spans="1:2" s="1591" customFormat="1">
      <c r="A46" s="1589" t="s">
        <v>1271</v>
      </c>
      <c r="B46" s="1590" t="str">
        <f>'预评函-3'!D2</f>
        <v>出让国有建设用地使用权价值</v>
      </c>
    </row>
    <row r="47" spans="1:2" s="1591" customFormat="1">
      <c r="A47" s="1589" t="s">
        <v>1246</v>
      </c>
      <c r="B47" s="1590">
        <f ca="1">'预评函-3'!D4</f>
        <v>26782</v>
      </c>
    </row>
    <row r="48" spans="1:2" s="1591" customFormat="1">
      <c r="A48" s="1589" t="s">
        <v>1247</v>
      </c>
      <c r="B48" s="1590">
        <f ca="1">'预评函-3'!E4</f>
        <v>32359</v>
      </c>
    </row>
    <row r="49" spans="1:2" s="1591" customFormat="1">
      <c r="A49" s="1589" t="s">
        <v>1248</v>
      </c>
      <c r="B49" s="1590" t="str">
        <f ca="1">'预评函-3'!D5</f>
        <v>贰亿陆仟柒佰捌拾贰万元整</v>
      </c>
    </row>
    <row r="50" spans="1:2" s="1591" customFormat="1">
      <c r="A50" s="1589" t="s">
        <v>1272</v>
      </c>
      <c r="B50" s="1590" t="str">
        <f>'预评函-3'!F2</f>
        <v>建筑物价值</v>
      </c>
    </row>
    <row r="51" spans="1:2" s="1591" customFormat="1">
      <c r="A51" s="1589" t="s">
        <v>1249</v>
      </c>
      <c r="B51" s="1590">
        <f ca="1">'预评函-3'!F4</f>
        <v>3412</v>
      </c>
    </row>
    <row r="52" spans="1:2" s="1591" customFormat="1">
      <c r="A52" s="1589" t="s">
        <v>1250</v>
      </c>
      <c r="B52" s="1590">
        <f ca="1">'预评函-3'!G4</f>
        <v>4122</v>
      </c>
    </row>
    <row r="53" spans="1:2" s="1591" customFormat="1">
      <c r="A53" s="1589" t="s">
        <v>1278</v>
      </c>
      <c r="B53" s="1590" t="str">
        <f ca="1">'预评函-3'!F5</f>
        <v>叁仟肆佰壹拾贰万元整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08"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08"/>
      <c r="B54" s="2020" t="s">
        <v>864</v>
      </c>
      <c r="C54" s="2017" t="s">
        <v>1281</v>
      </c>
    </row>
    <row r="55" spans="1:4">
      <c r="A55" s="3008"/>
      <c r="B55" s="2020" t="s">
        <v>865</v>
      </c>
      <c r="C55" s="2017" t="s">
        <v>1282</v>
      </c>
    </row>
    <row r="56" spans="1:4">
      <c r="A56" s="3008"/>
      <c r="B56" s="2020" t="s">
        <v>866</v>
      </c>
      <c r="C56" s="2017" t="s">
        <v>1286</v>
      </c>
    </row>
    <row r="57" spans="1:4">
      <c r="A57" s="3008"/>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30" customWidth="1"/>
    <col min="2" max="2" width="12.2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09" t="str">
        <f>IF(B10="北京市","北京市",C10)&amp;F10&amp;IF(结果表!G1="在建","出让国有建设用地使用权及在建建筑物",IF(结果表!G1="土地","出让国有建设用地使用权",))&amp;B9&amp;"预评估"</f>
        <v>北京市北京市海淀区中关村大街18号房地产抵押价值预评估</v>
      </c>
      <c r="C1" s="3010"/>
      <c r="D1" s="3010"/>
      <c r="E1" s="3010"/>
      <c r="F1" s="3010"/>
      <c r="G1" s="3010"/>
      <c r="H1" s="3010"/>
      <c r="I1" s="3011"/>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4" t="s">
        <v>1777</v>
      </c>
      <c r="B2" s="2941" t="s">
        <v>3036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3" t="s">
        <v>1778</v>
      </c>
      <c r="B3" s="2034">
        <v>43452</v>
      </c>
      <c r="C3" s="2035" t="s">
        <v>1779</v>
      </c>
      <c r="D3" s="2034">
        <f>B3</f>
        <v>43452</v>
      </c>
      <c r="E3" s="2024"/>
      <c r="F3" s="2024"/>
      <c r="G3" s="2024"/>
      <c r="H3" s="2024"/>
      <c r="I3" s="2024"/>
      <c r="J3" s="2024"/>
      <c r="K3" s="2025"/>
      <c r="L3" s="2026"/>
      <c r="M3" s="2026"/>
      <c r="N3" s="2027"/>
      <c r="O3" s="2028"/>
      <c r="P3" s="2027"/>
      <c r="Q3" s="2027"/>
      <c r="R3" s="2027"/>
      <c r="S3" s="2029"/>
    </row>
    <row r="4" spans="1:19" ht="18" customHeight="1" thickBot="1">
      <c r="A4" s="2036" t="s">
        <v>1780</v>
      </c>
      <c r="B4" s="2037" t="s">
        <v>3037</v>
      </c>
      <c r="C4" s="1039">
        <f ca="1">SUMIF(注册房地产估价师,B4,估价师及机构信息!B3:B24)</f>
        <v>1120100036</v>
      </c>
      <c r="D4" s="2037" t="s">
        <v>3038</v>
      </c>
      <c r="E4" s="1040">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崔锴（注册号：1120100036)、吴薇（注册号：1419970001)</v>
      </c>
      <c r="L4" s="2026"/>
      <c r="M4" s="2026"/>
      <c r="N4" s="2027"/>
      <c r="O4" s="2028"/>
      <c r="P4" s="2027"/>
      <c r="Q4" s="2027"/>
      <c r="R4" s="2027"/>
      <c r="S4" s="2029"/>
    </row>
    <row r="5" spans="1:19" ht="18" customHeight="1" thickTop="1">
      <c r="A5" s="2042" t="s">
        <v>1781</v>
      </c>
      <c r="B5" s="2942" t="s">
        <v>3039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43" t="s">
        <v>3040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42" t="s">
        <v>3039</v>
      </c>
      <c r="C7" s="2046"/>
      <c r="D7" s="2047"/>
      <c r="E7" s="2032"/>
      <c r="F7" s="2040"/>
      <c r="G7" s="2040"/>
      <c r="H7" s="2040"/>
      <c r="I7" s="2040"/>
      <c r="J7" s="2040"/>
      <c r="K7" s="2049"/>
      <c r="L7" s="2026"/>
      <c r="M7" s="2026"/>
      <c r="N7" s="2027"/>
      <c r="O7" s="2028"/>
      <c r="P7" s="2027"/>
      <c r="Q7" s="2027"/>
      <c r="R7" s="2027"/>
    </row>
    <row r="8" spans="1:19" ht="18" customHeight="1">
      <c r="A8" s="2045" t="s">
        <v>1784</v>
      </c>
      <c r="B8" s="2050" t="s">
        <v>3041</v>
      </c>
      <c r="C8" s="2051"/>
      <c r="D8" s="3012" t="s">
        <v>1785</v>
      </c>
      <c r="E8" s="2052" t="s">
        <v>3042</v>
      </c>
      <c r="F8" s="2053"/>
      <c r="G8" s="2024"/>
      <c r="H8" s="2024"/>
      <c r="I8" s="2024"/>
      <c r="J8" s="2040"/>
      <c r="K8" s="2041"/>
      <c r="L8" s="2026"/>
      <c r="M8" s="2026"/>
      <c r="N8" s="2027"/>
      <c r="O8" s="2028"/>
      <c r="P8" s="2027"/>
      <c r="Q8" s="2027"/>
      <c r="R8" s="2027"/>
    </row>
    <row r="9" spans="1:19" ht="18" customHeight="1" thickBot="1">
      <c r="A9" s="2038" t="s">
        <v>1786</v>
      </c>
      <c r="B9" s="2054" t="s">
        <v>3042</v>
      </c>
      <c r="C9" s="2055"/>
      <c r="D9" s="3013"/>
      <c r="E9" s="2054"/>
      <c r="F9" s="2056"/>
      <c r="G9" s="2057"/>
      <c r="H9" s="2057"/>
      <c r="I9" s="2057"/>
      <c r="J9" s="2040"/>
      <c r="K9" s="2049"/>
      <c r="L9" s="2026"/>
      <c r="M9" s="2026"/>
      <c r="N9" s="2027"/>
      <c r="O9" s="2028"/>
      <c r="P9" s="2027"/>
      <c r="Q9" s="2027"/>
      <c r="R9" s="2027"/>
    </row>
    <row r="10" spans="1:19" ht="18" customHeight="1" thickTop="1">
      <c r="A10" s="2058" t="s">
        <v>1787</v>
      </c>
      <c r="B10" s="2059" t="s">
        <v>3043</v>
      </c>
      <c r="C10" s="2060"/>
      <c r="D10" s="2044"/>
      <c r="E10" s="2061" t="s">
        <v>1788</v>
      </c>
      <c r="F10" s="2062" t="s">
        <v>3045</v>
      </c>
      <c r="G10" s="2063"/>
      <c r="H10" s="2064"/>
      <c r="I10" s="2044"/>
      <c r="J10" s="2040"/>
      <c r="K10" s="2049"/>
      <c r="L10" s="2026"/>
      <c r="M10" s="2026"/>
      <c r="N10" s="2027"/>
      <c r="O10" s="2028"/>
      <c r="P10" s="2027"/>
      <c r="Q10" s="2027"/>
      <c r="R10" s="2027"/>
    </row>
    <row r="11" spans="1:19" ht="18" customHeight="1">
      <c r="A11" s="2065" t="s">
        <v>1789</v>
      </c>
      <c r="B11" s="2066" t="s">
        <v>3044</v>
      </c>
      <c r="C11" s="2067"/>
      <c r="D11" s="2068"/>
      <c r="E11" s="2040"/>
      <c r="F11" s="2040"/>
      <c r="G11" s="2040"/>
      <c r="H11" s="2040"/>
      <c r="I11" s="2040"/>
      <c r="J11" s="2040"/>
      <c r="K11" s="2049"/>
      <c r="L11" s="2026"/>
      <c r="M11" s="2026"/>
      <c r="N11" s="2027"/>
      <c r="O11" s="2028"/>
      <c r="P11" s="2027"/>
      <c r="Q11" s="2027"/>
      <c r="R11" s="2027"/>
    </row>
    <row r="12" spans="1:19" ht="18" customHeight="1">
      <c r="A12" s="2069" t="s">
        <v>1790</v>
      </c>
      <c r="B12" s="2066" t="s">
        <v>3046</v>
      </c>
      <c r="C12" s="2070" t="s">
        <v>1791</v>
      </c>
      <c r="D12" s="2071" t="s">
        <v>1792</v>
      </c>
      <c r="E12" s="2071" t="s">
        <v>1793</v>
      </c>
      <c r="F12" s="2071" t="s">
        <v>1794</v>
      </c>
      <c r="G12" s="2071" t="s">
        <v>1795</v>
      </c>
      <c r="H12" s="2071" t="s">
        <v>1796</v>
      </c>
      <c r="I12" s="2071" t="s">
        <v>1797</v>
      </c>
      <c r="J12" s="2040"/>
      <c r="K12" s="2049"/>
      <c r="L12" s="2026"/>
      <c r="M12" s="2026"/>
      <c r="N12" s="2027"/>
      <c r="O12" s="2028"/>
      <c r="P12" s="2027"/>
      <c r="Q12" s="2027"/>
      <c r="R12" s="2027"/>
    </row>
    <row r="13" spans="1:19" ht="18" customHeight="1">
      <c r="A13" s="2072"/>
      <c r="B13" s="2073"/>
      <c r="C13" s="2074" t="s">
        <v>1798</v>
      </c>
      <c r="D13" s="2075"/>
      <c r="E13" s="2075"/>
      <c r="F13" s="2962">
        <v>55330</v>
      </c>
      <c r="G13" s="2075"/>
      <c r="H13" s="2075"/>
      <c r="I13" s="1048"/>
      <c r="J13" s="2040"/>
      <c r="K13" s="2049"/>
      <c r="L13" s="2026"/>
      <c r="M13" s="2026"/>
      <c r="N13" s="2027"/>
      <c r="O13" s="2028"/>
      <c r="P13" s="2027"/>
      <c r="Q13" s="2027"/>
      <c r="R13" s="2027"/>
    </row>
    <row r="14" spans="1:19" ht="18" customHeight="1">
      <c r="A14" s="2072"/>
      <c r="B14" s="2073"/>
      <c r="C14" s="2074" t="s">
        <v>1799</v>
      </c>
      <c r="D14" s="1051"/>
      <c r="E14" s="1051"/>
      <c r="F14" s="1051">
        <v>50</v>
      </c>
      <c r="G14" s="1051"/>
      <c r="H14" s="1051"/>
      <c r="I14" s="1051"/>
      <c r="J14" s="2040"/>
      <c r="K14" s="2076"/>
      <c r="L14" s="2026"/>
      <c r="M14" s="2026"/>
      <c r="N14" s="2027"/>
      <c r="O14" s="2028"/>
      <c r="P14" s="2027"/>
      <c r="Q14" s="2027"/>
      <c r="R14" s="2027"/>
    </row>
    <row r="15" spans="1:19" ht="18" customHeight="1">
      <c r="A15" s="2058"/>
      <c r="B15" s="2077"/>
      <c r="C15" s="2074" t="s">
        <v>1800</v>
      </c>
      <c r="D15" s="1050" t="str">
        <f>IF(B12="出让",IF(D13="","",ROUNDDOWN(MIN((D13-$D$3)/365,D14),2)),D14)</f>
        <v/>
      </c>
      <c r="E15" s="1050" t="str">
        <f>IF(B12="出让",IF(E13="","",ROUNDDOWN(MIN((E13-$D$3)/365,E14),2)),E14)</f>
        <v/>
      </c>
      <c r="F15" s="1050">
        <f>IF(B12="出让",IF(F13="","",ROUNDDOWN(MIN((F13-$D$3)/365,F14),2)),F14)</f>
        <v>32.54</v>
      </c>
      <c r="G15" s="1050" t="str">
        <f>IF(B12="出让",IF(G13="","",ROUNDDOWN(MIN((G13-$D$3)/365,G14),2)),G14)</f>
        <v/>
      </c>
      <c r="H15" s="1050" t="str">
        <f>IF(B12="出让",IF(H13="","",ROUNDDOWN(MIN((H13-$D$3)/365,H14),2)),H14)</f>
        <v/>
      </c>
      <c r="I15" s="1050" t="str">
        <f>IF(B12="出让",IF(I13="","",ROUNDDOWN(MIN((I13-$D$3)/365,I14),2)),I14)</f>
        <v/>
      </c>
      <c r="J15" s="2040"/>
      <c r="K15" s="2078"/>
      <c r="L15" s="2079"/>
      <c r="M15" s="2079"/>
      <c r="N15" s="2080"/>
      <c r="O15" s="2079"/>
      <c r="P15" s="2080"/>
      <c r="Q15" s="2027"/>
      <c r="R15" s="2027"/>
    </row>
    <row r="16" spans="1:19" ht="30.75" customHeight="1">
      <c r="A16" s="2061" t="s">
        <v>1801</v>
      </c>
      <c r="B16" s="3019" t="s">
        <v>3047</v>
      </c>
      <c r="C16" s="3020"/>
      <c r="D16" s="3021"/>
      <c r="E16" s="2081" t="s">
        <v>1802</v>
      </c>
      <c r="F16" s="3022" t="s">
        <v>3048</v>
      </c>
      <c r="G16" s="3023"/>
      <c r="H16" s="3023"/>
      <c r="I16" s="3024"/>
      <c r="J16" s="2027"/>
      <c r="K16" s="2078"/>
      <c r="L16" s="2079"/>
      <c r="M16" s="2079"/>
      <c r="N16" s="2080"/>
      <c r="O16" s="2079"/>
      <c r="P16" s="2080"/>
      <c r="Q16" s="2027"/>
      <c r="R16" s="2027"/>
    </row>
    <row r="17" spans="1:22" ht="18" customHeight="1">
      <c r="A17" s="2082" t="s">
        <v>1803</v>
      </c>
      <c r="B17" s="2033" t="s">
        <v>1804</v>
      </c>
      <c r="C17" s="1055">
        <f>'数据-汇总表'!E3</f>
        <v>8276.64</v>
      </c>
      <c r="D17" s="2083" t="s">
        <v>1805</v>
      </c>
      <c r="E17" s="3025" t="s">
        <v>3049</v>
      </c>
      <c r="F17" s="3026"/>
      <c r="G17" s="3026"/>
      <c r="H17" s="3026"/>
      <c r="I17" s="3027"/>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927.85</v>
      </c>
      <c r="D18" s="2086" t="s">
        <v>1805</v>
      </c>
      <c r="E18" s="3028" t="s">
        <v>3050</v>
      </c>
      <c r="F18" s="3029"/>
      <c r="G18" s="3029"/>
      <c r="H18" s="3029"/>
      <c r="I18" s="3030"/>
      <c r="J18" s="2027"/>
      <c r="K18" s="2084"/>
      <c r="L18" s="2079"/>
      <c r="M18" s="2079"/>
      <c r="N18" s="2080"/>
      <c r="O18" s="2079"/>
      <c r="P18" s="2080"/>
      <c r="Q18" s="2027"/>
      <c r="R18" s="2027"/>
      <c r="S18" s="2027"/>
      <c r="T18" s="2027"/>
      <c r="U18" s="2027"/>
      <c r="V18" s="2027"/>
    </row>
    <row r="19" spans="1:22" ht="37.5" customHeight="1" thickTop="1" thickBot="1">
      <c r="A19" s="372" t="s">
        <v>1808</v>
      </c>
      <c r="B19" s="351" t="s">
        <v>1809</v>
      </c>
      <c r="C19" s="2087" t="s">
        <v>3051</v>
      </c>
      <c r="D19" s="2088" t="s">
        <v>1810</v>
      </c>
      <c r="E19" s="2089" t="s">
        <v>3052</v>
      </c>
      <c r="F19" s="2090" t="str">
        <f>IF(AND(C19="是",E19="否"),"是否提供他项权证或相关说明","")</f>
        <v>是否提供他项权证或相关说明</v>
      </c>
      <c r="G19" s="2091" t="s">
        <v>3052</v>
      </c>
      <c r="H19" s="2040"/>
      <c r="I19" s="2040"/>
      <c r="J19" s="2040"/>
      <c r="K19" s="2049"/>
      <c r="L19" s="2026"/>
      <c r="M19" s="2026"/>
      <c r="N19" s="2080"/>
      <c r="O19" s="2079"/>
      <c r="P19" s="2080"/>
      <c r="Q19" s="2027"/>
      <c r="R19" s="2027"/>
      <c r="S19" s="2027"/>
      <c r="T19" s="2027"/>
      <c r="U19" s="2027"/>
      <c r="V19" s="2027"/>
    </row>
    <row r="20" spans="1:22" ht="18" customHeight="1">
      <c r="A20" s="2092" t="s">
        <v>1811</v>
      </c>
      <c r="B20" s="3015" t="s">
        <v>1812</v>
      </c>
      <c r="C20" s="3016"/>
      <c r="D20" s="3017" t="s">
        <v>1813</v>
      </c>
      <c r="E20" s="3018"/>
      <c r="F20" s="2093" t="s">
        <v>1814</v>
      </c>
      <c r="G20" s="2040"/>
      <c r="H20" s="2040"/>
      <c r="I20" s="2040"/>
      <c r="J20" s="2040"/>
      <c r="K20" s="3014"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1816</v>
      </c>
      <c r="C21" s="2095" t="s">
        <v>3053</v>
      </c>
      <c r="D21" s="2096"/>
      <c r="E21" s="2097" t="s">
        <v>70</v>
      </c>
      <c r="F21" s="2098"/>
      <c r="G21" s="2040"/>
      <c r="H21" s="2040"/>
      <c r="I21" s="2040"/>
      <c r="J21" s="2040"/>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1817</v>
      </c>
      <c r="C22" s="2095" t="s">
        <v>1818</v>
      </c>
      <c r="D22" s="2024"/>
      <c r="E22" s="2024"/>
      <c r="F22" s="2100"/>
      <c r="G22" s="2040"/>
      <c r="H22" s="2040"/>
      <c r="I22" s="2040"/>
      <c r="J22" s="2040"/>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1819</v>
      </c>
      <c r="B23" s="182" t="s">
        <v>1820</v>
      </c>
      <c r="C23" s="2102"/>
      <c r="D23" s="2103" t="s">
        <v>1820</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1821</v>
      </c>
      <c r="C24" s="2107"/>
      <c r="D24" s="2101" t="s">
        <v>1821</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1822</v>
      </c>
      <c r="C25" s="2107"/>
      <c r="D25" s="2101" t="s">
        <v>1822</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1823</v>
      </c>
      <c r="C26" s="2111"/>
      <c r="D26" s="2112" t="s">
        <v>1824</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32" t="s">
        <v>1825</v>
      </c>
      <c r="B27" s="2058" t="s">
        <v>1826</v>
      </c>
      <c r="C27" s="2115" t="s">
        <v>3054</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32"/>
      <c r="B28" s="2033" t="s">
        <v>1827</v>
      </c>
      <c r="C28" s="2117" t="s">
        <v>3055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32"/>
      <c r="B29" s="2033" t="s">
        <v>1828</v>
      </c>
      <c r="C29" s="2120" t="s">
        <v>3052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33"/>
      <c r="B30" s="2033" t="s">
        <v>1829</v>
      </c>
      <c r="C30" s="3034"/>
      <c r="D30" s="3035"/>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36" t="s">
        <v>1830</v>
      </c>
      <c r="B31" s="2122" t="s">
        <v>3056</v>
      </c>
      <c r="C31" s="2123" t="str">
        <f>IF(B31="现房","成新及维护状况正常否",IF(B31="在建","工程状态是否正常",IF(B31="土地","是否闲置","-")))</f>
        <v>成新及维护状况正常否</v>
      </c>
      <c r="D31" s="2124"/>
      <c r="E31" s="2944" t="s">
        <v>3058</v>
      </c>
      <c r="F31" s="2040"/>
      <c r="G31" s="2040"/>
      <c r="H31" s="2040"/>
      <c r="I31" s="2040"/>
      <c r="J31" s="2040"/>
      <c r="K31" s="2048"/>
      <c r="L31" s="2026"/>
      <c r="M31" s="2026"/>
      <c r="N31" s="2027"/>
      <c r="O31" s="2028"/>
      <c r="P31" s="2027"/>
      <c r="Q31" s="2027"/>
      <c r="R31" s="2027"/>
      <c r="S31" s="2027"/>
      <c r="T31" s="2027"/>
      <c r="U31" s="2027"/>
      <c r="V31" s="2027"/>
    </row>
    <row r="32" spans="1:22" ht="18" customHeight="1">
      <c r="A32" s="3037"/>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37"/>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9" t="s">
        <v>3059</v>
      </c>
      <c r="C34" s="2129" t="s">
        <v>3060</v>
      </c>
      <c r="D34" s="2129" t="s">
        <v>3061</v>
      </c>
      <c r="E34" s="2129" t="s">
        <v>3062</v>
      </c>
      <c r="F34" s="2129" t="s">
        <v>3063</v>
      </c>
      <c r="G34" s="2129" t="s">
        <v>3064</v>
      </c>
      <c r="H34" s="2129" t="s">
        <v>70</v>
      </c>
      <c r="I34" s="2040"/>
      <c r="J34" s="2040"/>
      <c r="K34" s="1793">
        <f>COUNTIF(B34:H34,"——")</f>
        <v>1</v>
      </c>
      <c r="L34" s="2070" t="s">
        <v>1832</v>
      </c>
      <c r="M34" s="2070" t="s">
        <v>1833</v>
      </c>
      <c r="N34" s="2070" t="s">
        <v>1834</v>
      </c>
      <c r="O34" s="2070" t="s">
        <v>1835</v>
      </c>
      <c r="P34" s="2070" t="s">
        <v>1836</v>
      </c>
      <c r="Q34" s="2070" t="s">
        <v>1837</v>
      </c>
      <c r="R34" s="2070" t="s">
        <v>1838</v>
      </c>
      <c r="S34" s="3031" t="s">
        <v>1839</v>
      </c>
      <c r="T34" s="2130" t="str">
        <f>NUMBERSTRING(7-K34,1)&amp;"通"</f>
        <v>六通</v>
      </c>
      <c r="U34" s="2027"/>
      <c r="V34" s="2027"/>
    </row>
    <row r="35" spans="1:22" ht="18" customHeight="1">
      <c r="A35" s="2131"/>
      <c r="B35" s="3038" t="s">
        <v>1840</v>
      </c>
      <c r="C35" s="3038"/>
      <c r="D35" s="3038"/>
      <c r="E35" s="3038"/>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31"/>
      <c r="T35" s="47" t="str">
        <f>IF(T34="一通",L35,IF(T34="二通",M35,IF(T34="三通",N35,IF(T34="四通",O35,IF(T34="五通",P35,IF(T34="六通",Q35,R35))))))</f>
        <v>通路、通电、通讯、通上水、通下水、通热</v>
      </c>
      <c r="U35" s="2027"/>
      <c r="V35" s="2027"/>
    </row>
    <row r="36" spans="1:22" ht="18" customHeight="1">
      <c r="A36" s="2133"/>
      <c r="B36" s="2132" t="s">
        <v>1841</v>
      </c>
      <c r="C36" s="2132" t="s">
        <v>1842</v>
      </c>
      <c r="D36" s="2132" t="s">
        <v>1843</v>
      </c>
      <c r="E36" s="2132" t="s">
        <v>1844</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1845</v>
      </c>
      <c r="B37" s="2136"/>
      <c r="C37" s="2136" t="s">
        <v>269</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1846</v>
      </c>
      <c r="B38" s="2138"/>
      <c r="C38" s="2138" t="s">
        <v>138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1849</v>
      </c>
      <c r="B42" s="1793" t="s">
        <v>1850</v>
      </c>
      <c r="C42" s="1793" t="s">
        <v>1851</v>
      </c>
      <c r="D42" s="1793" t="s">
        <v>1852</v>
      </c>
      <c r="E42" s="1793" t="s">
        <v>1853</v>
      </c>
      <c r="F42" s="1793" t="s">
        <v>1854</v>
      </c>
      <c r="G42" s="1793" t="s">
        <v>1855</v>
      </c>
      <c r="H42" s="1793" t="s">
        <v>1856</v>
      </c>
      <c r="I42" s="1793" t="s">
        <v>1857</v>
      </c>
      <c r="J42" s="2148" t="s">
        <v>1858</v>
      </c>
      <c r="K42" s="2071" t="s">
        <v>1859</v>
      </c>
      <c r="L42" s="2071" t="s">
        <v>1860</v>
      </c>
      <c r="M42" s="2071" t="s">
        <v>1861</v>
      </c>
      <c r="N42" s="1793" t="s">
        <v>1862</v>
      </c>
      <c r="O42" s="1793" t="s">
        <v>1863</v>
      </c>
      <c r="P42" s="1793" t="s">
        <v>1864</v>
      </c>
      <c r="Q42" s="2070" t="s">
        <v>1865</v>
      </c>
      <c r="R42" s="2070" t="s">
        <v>1866</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1872</v>
      </c>
      <c r="AZ2" s="1270"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5" thickBot="1">
      <c r="A3" s="2945">
        <v>927.85</v>
      </c>
      <c r="B3" s="13">
        <f>IF(C3="否",G5-AT5,G5)</f>
        <v>8276.64</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1"/>
      <c r="C5" s="1801"/>
      <c r="D5" s="1804"/>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2" t="s">
        <v>1886</v>
      </c>
      <c r="AW7" s="2162" t="s">
        <v>1887</v>
      </c>
      <c r="AX7" s="22"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2" t="s">
        <v>1892</v>
      </c>
      <c r="AU8" s="2178" t="s">
        <v>1893</v>
      </c>
      <c r="AV8" s="1292"/>
      <c r="AW8" s="2161"/>
      <c r="AX8" s="1292"/>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92"/>
      <c r="H9" s="2186" t="s">
        <v>1896</v>
      </c>
      <c r="I9" s="2187" t="s">
        <v>3066</v>
      </c>
      <c r="J9" s="983"/>
      <c r="K9" s="2187"/>
      <c r="L9" s="983"/>
      <c r="M9" s="2187"/>
      <c r="N9" s="983"/>
      <c r="O9" s="2187"/>
      <c r="P9" s="983"/>
      <c r="Q9" s="2187"/>
      <c r="R9" s="983"/>
      <c r="S9" s="2187"/>
      <c r="T9" s="983"/>
      <c r="U9" s="2187"/>
      <c r="V9" s="983"/>
      <c r="W9" s="2187"/>
      <c r="X9" s="2188"/>
      <c r="Y9" s="2187"/>
      <c r="Z9" s="983"/>
      <c r="AA9" s="2187"/>
      <c r="AB9" s="983"/>
      <c r="AC9" s="2179"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89"/>
      <c r="AT9" s="2178"/>
      <c r="AU9" s="2178" t="s">
        <v>1899</v>
      </c>
      <c r="AV9" s="1292"/>
      <c r="AW9" s="2161"/>
      <c r="AX9" s="1292"/>
      <c r="AY9" s="27"/>
      <c r="AZ9" s="27" t="s">
        <v>1889</v>
      </c>
      <c r="BA9" s="2190" t="s">
        <v>1900</v>
      </c>
      <c r="BB9" s="2191"/>
      <c r="BC9" s="1338"/>
      <c r="BD9" s="1338"/>
      <c r="BE9" s="1338"/>
      <c r="BF9" s="1338"/>
      <c r="BG9" s="1338"/>
      <c r="BH9" s="1338"/>
      <c r="BI9" s="1338"/>
      <c r="BJ9" s="1338"/>
      <c r="BK9" s="2192"/>
      <c r="BL9" s="14" t="s">
        <v>1901</v>
      </c>
      <c r="BM9" s="1816"/>
      <c r="BN9" s="2181"/>
      <c r="BO9" s="1816"/>
      <c r="BP9" s="1816"/>
      <c r="BQ9" s="1816"/>
      <c r="BR9" s="1816"/>
      <c r="BS9" s="1816"/>
      <c r="BT9" s="25"/>
    </row>
    <row r="10" spans="1:72" s="2185" customFormat="1" ht="12.75">
      <c r="A10" s="2178"/>
      <c r="B10" s="2178"/>
      <c r="C10" s="2178"/>
      <c r="D10" s="2178"/>
      <c r="E10" s="2178"/>
      <c r="F10" s="2178"/>
      <c r="G10" s="1292"/>
      <c r="H10" s="27"/>
      <c r="I10" s="2187" t="s">
        <v>27</v>
      </c>
      <c r="J10" s="983"/>
      <c r="K10" s="2193"/>
      <c r="L10" s="983"/>
      <c r="M10" s="2193"/>
      <c r="N10" s="983"/>
      <c r="O10" s="2193"/>
      <c r="P10" s="983"/>
      <c r="Q10" s="2193"/>
      <c r="R10" s="983"/>
      <c r="S10" s="2193"/>
      <c r="T10" s="983"/>
      <c r="U10" s="2193"/>
      <c r="V10" s="983"/>
      <c r="W10" s="2193"/>
      <c r="X10" s="983"/>
      <c r="Y10" s="2193"/>
      <c r="Z10" s="983"/>
      <c r="AA10" s="2193"/>
      <c r="AB10" s="983"/>
      <c r="AC10" s="1292"/>
      <c r="AD10" s="14" t="s">
        <v>1902</v>
      </c>
      <c r="AE10" s="2194"/>
      <c r="AF10" s="14" t="s">
        <v>1902</v>
      </c>
      <c r="AG10" s="2194"/>
      <c r="AH10" s="14" t="s">
        <v>1903</v>
      </c>
      <c r="AI10" s="2194"/>
      <c r="AJ10" s="14" t="s">
        <v>1903</v>
      </c>
      <c r="AK10" s="2194"/>
      <c r="AL10" s="14" t="s">
        <v>1904</v>
      </c>
      <c r="AM10" s="1298"/>
      <c r="AN10" s="14" t="s">
        <v>1904</v>
      </c>
      <c r="AO10" s="1298"/>
      <c r="AP10" s="14" t="s">
        <v>1905</v>
      </c>
      <c r="AQ10" s="1298"/>
      <c r="AR10" s="14" t="s">
        <v>1905</v>
      </c>
      <c r="AS10" s="1298"/>
      <c r="AT10" s="2178"/>
      <c r="AU10" s="2178"/>
      <c r="AV10" s="1292"/>
      <c r="AW10" s="2161"/>
      <c r="AX10" s="1292"/>
      <c r="AY10" s="27"/>
      <c r="AZ10" s="27"/>
      <c r="BA10" s="2195" t="s">
        <v>1896</v>
      </c>
      <c r="BB10" s="2196"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92"/>
      <c r="H11" s="2195"/>
      <c r="I11" s="2198" t="s">
        <v>3067</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2"/>
      <c r="AW11" s="2161"/>
      <c r="AX11" s="1292"/>
      <c r="AY11" s="27"/>
      <c r="AZ11" s="27"/>
      <c r="BA11" s="27"/>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1272" t="s">
        <v>3131</v>
      </c>
      <c r="D13" s="2209" t="s">
        <v>3051</v>
      </c>
      <c r="E13" s="15">
        <f>IF($C$3="是",ROUND($A$3*G13/$B$3,2),ROUND($A$3*(G13-AT13)/$B$3,2))</f>
        <v>927.85</v>
      </c>
      <c r="F13" s="31"/>
      <c r="G13" s="32">
        <f>H13+AC13+AT13</f>
        <v>8276.64</v>
      </c>
      <c r="H13" s="19">
        <f>SUMIF(I$12:AB$12,"总值",I13:AB13)</f>
        <v>8276.64</v>
      </c>
      <c r="I13" s="2210">
        <v>8276.64</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6层</v>
      </c>
      <c r="AY13" s="1804">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50" t="s">
        <v>1936</v>
      </c>
      <c r="B2" s="3050"/>
      <c r="C2" s="3050"/>
      <c r="D2" s="969" t="s">
        <v>1912</v>
      </c>
      <c r="E2" s="2223" t="s">
        <v>1913</v>
      </c>
      <c r="F2" s="1391"/>
      <c r="G2" s="2224"/>
      <c r="H2" s="2225"/>
      <c r="I2" s="2226" t="s">
        <v>1937</v>
      </c>
      <c r="J2" s="1391"/>
      <c r="K2" s="1391"/>
      <c r="L2" s="1391"/>
      <c r="M2" s="1391"/>
      <c r="N2" s="1426"/>
      <c r="O2" s="1391"/>
      <c r="P2" s="1391"/>
    </row>
    <row r="3" spans="1:16" ht="15.75" thickBot="1">
      <c r="A3" s="3051" t="s">
        <v>1910</v>
      </c>
      <c r="B3" s="3051"/>
      <c r="C3" s="3051"/>
      <c r="D3" s="45">
        <f>'数据-基础表'!AY6</f>
        <v>927.85</v>
      </c>
      <c r="E3" s="45">
        <f>'数据-基础表'!AZ5</f>
        <v>8276.64</v>
      </c>
      <c r="F3" s="1391"/>
      <c r="G3" s="1398"/>
      <c r="H3" s="1247" t="s">
        <v>1911</v>
      </c>
      <c r="I3" s="54">
        <f>ROUND('数据-基础表'!B3/'数据-基础表'!A3,2)</f>
        <v>8.92</v>
      </c>
      <c r="J3" s="1391"/>
      <c r="K3" s="1391"/>
      <c r="L3" s="1391"/>
      <c r="M3" s="1391"/>
      <c r="N3" s="1426"/>
      <c r="O3" s="1391"/>
      <c r="P3" s="1391"/>
    </row>
    <row r="4" spans="1:16" ht="15">
      <c r="A4" s="3052"/>
      <c r="B4" s="3053"/>
      <c r="C4" s="3054"/>
      <c r="D4" s="2227" t="s">
        <v>1912</v>
      </c>
      <c r="E4" s="2228" t="s">
        <v>1913</v>
      </c>
      <c r="F4" s="1391"/>
      <c r="G4" s="2229" t="s">
        <v>1938</v>
      </c>
      <c r="H4" s="1247" t="s">
        <v>1918</v>
      </c>
      <c r="I4" s="54">
        <f>ROUND(SUMIF('数据-基础表'!I9:AS9,"地上",'数据-基础表'!I5:AS5)/'数据-基础表'!A3,2)</f>
        <v>8.92</v>
      </c>
      <c r="J4" s="1391"/>
      <c r="K4" s="1391"/>
      <c r="L4" s="1391"/>
      <c r="M4" s="1391"/>
      <c r="N4" s="1426"/>
      <c r="O4" s="1391"/>
      <c r="P4" s="1391"/>
    </row>
    <row r="5" spans="1:16">
      <c r="A5" s="46" t="s">
        <v>1914</v>
      </c>
      <c r="B5" s="3055" t="s">
        <v>1915</v>
      </c>
      <c r="C5" s="3055"/>
      <c r="D5" s="47">
        <f>ROUND($D$3*E5/$E$3,2)</f>
        <v>0</v>
      </c>
      <c r="E5" s="48">
        <f>SUMIF('数据-基础表'!$11:$11,"住宅",'数据-基础表'!$5:$5)</f>
        <v>0</v>
      </c>
      <c r="F5" s="1391"/>
      <c r="G5" s="1398"/>
      <c r="H5" s="1247" t="s">
        <v>1911</v>
      </c>
      <c r="I5" s="54">
        <f>ROUND(E31/D31,2)</f>
        <v>8.92</v>
      </c>
      <c r="J5" s="1391"/>
      <c r="K5" s="1391"/>
      <c r="L5" s="1391"/>
      <c r="M5" s="1391"/>
      <c r="N5" s="1391"/>
      <c r="O5" s="1391"/>
      <c r="P5" s="1391"/>
    </row>
    <row r="6" spans="1:16" ht="15" thickBot="1">
      <c r="A6" s="2230"/>
      <c r="B6" s="3055" t="s">
        <v>1916</v>
      </c>
      <c r="C6" s="3055"/>
      <c r="D6" s="47">
        <f>ROUND($D$3*E6/$E$3,2)</f>
        <v>927.85</v>
      </c>
      <c r="E6" s="48">
        <f>E3-E5</f>
        <v>8276.64</v>
      </c>
      <c r="F6" s="1391"/>
      <c r="G6" s="2231" t="s">
        <v>1917</v>
      </c>
      <c r="H6" s="1398" t="s">
        <v>1918</v>
      </c>
      <c r="I6" s="941">
        <f>ROUND(F31/D31,2)</f>
        <v>8.92</v>
      </c>
      <c r="J6" s="1391"/>
      <c r="K6" s="1391"/>
      <c r="L6" s="1391"/>
      <c r="M6" s="1391"/>
      <c r="N6" s="1391"/>
      <c r="O6" s="1391"/>
      <c r="P6" s="1391"/>
    </row>
    <row r="7" spans="1:16" ht="15">
      <c r="A7" s="3047"/>
      <c r="B7" s="3048"/>
      <c r="C7" s="3049"/>
      <c r="D7" s="2227" t="s">
        <v>1912</v>
      </c>
      <c r="E7" s="2232" t="s">
        <v>1919</v>
      </c>
      <c r="F7" s="1391"/>
      <c r="G7" s="2224" t="s">
        <v>1920</v>
      </c>
      <c r="H7" s="63"/>
      <c r="I7" s="419"/>
      <c r="J7" s="1391"/>
      <c r="K7" s="1391"/>
      <c r="L7" s="1391"/>
      <c r="M7" s="1391"/>
      <c r="N7" s="1391"/>
      <c r="O7" s="1391"/>
      <c r="P7" s="1391"/>
    </row>
    <row r="8" spans="1:16">
      <c r="A8" s="46" t="s">
        <v>1921</v>
      </c>
      <c r="B8" s="49" t="s">
        <v>1922</v>
      </c>
      <c r="C8" s="47" t="s">
        <v>1923</v>
      </c>
      <c r="D8" s="47">
        <f t="shared" ref="D8:D15" si="0">ROUND($D$3*E8/$E$3,2)</f>
        <v>927.85</v>
      </c>
      <c r="E8" s="50">
        <f>SUMIF('数据-基础表'!BB10:BK10,"地上",'数据-基础表'!BB5:BK5)</f>
        <v>8276.64</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927.85</v>
      </c>
      <c r="E16" s="52">
        <f>SUM(E8:E15)</f>
        <v>8276.64</v>
      </c>
      <c r="F16" s="1391"/>
      <c r="G16" s="2233"/>
      <c r="H16" s="2236" t="s">
        <v>1940</v>
      </c>
      <c r="I16" s="2237"/>
      <c r="J16" s="1391"/>
      <c r="K16" s="3044" t="s">
        <v>1940</v>
      </c>
      <c r="L16" s="3045"/>
      <c r="M16" s="3045"/>
      <c r="N16" s="3045"/>
      <c r="O16" s="3045"/>
      <c r="P16" s="3046"/>
    </row>
    <row r="17" spans="1:19" ht="15">
      <c r="A17" s="2238" t="s">
        <v>1941</v>
      </c>
      <c r="B17" s="2239" t="s">
        <v>1942</v>
      </c>
      <c r="C17" s="2240" t="s">
        <v>1943</v>
      </c>
      <c r="D17" s="2241" t="s">
        <v>1931</v>
      </c>
      <c r="E17" s="2242" t="s">
        <v>1932</v>
      </c>
      <c r="F17" s="2243"/>
      <c r="G17" s="2244"/>
      <c r="H17" s="2245" t="s">
        <v>1944</v>
      </c>
      <c r="I17" s="2246" t="s">
        <v>1929</v>
      </c>
      <c r="J17" s="1391"/>
      <c r="K17" s="3041" t="s">
        <v>1945</v>
      </c>
      <c r="L17" s="3042"/>
      <c r="M17" s="3043"/>
      <c r="N17" s="3041" t="s">
        <v>1946</v>
      </c>
      <c r="O17" s="3042"/>
      <c r="P17" s="3043"/>
      <c r="R17" s="2224" t="s">
        <v>1947</v>
      </c>
      <c r="S17" s="63"/>
    </row>
    <row r="18" spans="1:19" ht="15">
      <c r="A18" s="2234"/>
      <c r="B18" s="2247"/>
      <c r="C18" s="2248"/>
      <c r="D18" s="2249"/>
      <c r="E18" s="2250" t="s">
        <v>1948</v>
      </c>
      <c r="F18" s="2251" t="s">
        <v>1949</v>
      </c>
      <c r="G18" s="2252" t="s">
        <v>1950</v>
      </c>
      <c r="H18" s="1262" t="s">
        <v>1951</v>
      </c>
      <c r="I18" s="2253" t="s">
        <v>1952</v>
      </c>
      <c r="J18" s="1391"/>
      <c r="K18" s="1262" t="s">
        <v>1953</v>
      </c>
      <c r="L18" s="2254" t="s">
        <v>1954</v>
      </c>
      <c r="M18" s="1047" t="s">
        <v>1955</v>
      </c>
      <c r="N18" s="1262" t="s">
        <v>1953</v>
      </c>
      <c r="O18" s="2254" t="s">
        <v>1954</v>
      </c>
      <c r="P18" s="1047" t="s">
        <v>1955</v>
      </c>
      <c r="R18" s="1247" t="s">
        <v>1956</v>
      </c>
      <c r="S18" s="1247" t="s">
        <v>1957</v>
      </c>
    </row>
    <row r="19" spans="1:19">
      <c r="A19" s="2255"/>
      <c r="B19" s="49" t="s">
        <v>1930</v>
      </c>
      <c r="C19" s="2256" t="s">
        <v>3119</v>
      </c>
      <c r="D19" s="47">
        <f>ROUND($D$3*E19/$E$3,2)</f>
        <v>927.85</v>
      </c>
      <c r="E19" s="55">
        <f t="shared" ref="E19:E26" si="1">SUM(F19:G19)</f>
        <v>8276.64</v>
      </c>
      <c r="F19" s="56">
        <f>'数据-基础表'!I13</f>
        <v>8276.64</v>
      </c>
      <c r="G19" s="57"/>
      <c r="H19" s="722">
        <f>ROUND($D$3*I19/$E$3,2)</f>
        <v>0</v>
      </c>
      <c r="I19" s="50">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927.85</v>
      </c>
      <c r="S19" s="1248">
        <f t="shared" si="5"/>
        <v>8276.64</v>
      </c>
    </row>
    <row r="20" spans="1:19">
      <c r="A20" s="2259"/>
      <c r="B20" s="49" t="s">
        <v>1958</v>
      </c>
      <c r="C20" s="2256"/>
      <c r="D20" s="47">
        <f t="shared" ref="D20:D26" si="6">ROUND($D$3*E20/$E$3,2)</f>
        <v>0</v>
      </c>
      <c r="E20" s="55">
        <f t="shared" si="1"/>
        <v>0</v>
      </c>
      <c r="F20" s="56"/>
      <c r="G20" s="57"/>
      <c r="H20" s="722">
        <f t="shared" ref="H20:H26" si="7">ROUND($D$3*I20/$E$3,2)</f>
        <v>0</v>
      </c>
      <c r="I20" s="50">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49" t="s">
        <v>1958</v>
      </c>
      <c r="C21" s="2256"/>
      <c r="D21" s="47">
        <f t="shared" si="6"/>
        <v>0</v>
      </c>
      <c r="E21" s="55">
        <f t="shared" si="1"/>
        <v>0</v>
      </c>
      <c r="F21" s="56"/>
      <c r="G21" s="57"/>
      <c r="H21" s="722">
        <f t="shared" si="7"/>
        <v>0</v>
      </c>
      <c r="I21" s="50">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49" t="s">
        <v>1958</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49" t="s">
        <v>1958</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49" t="s">
        <v>1958</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0"/>
      <c r="O26" s="2261"/>
      <c r="P26" s="66">
        <f t="shared" si="9"/>
        <v>0</v>
      </c>
      <c r="R26" s="1247">
        <f t="shared" si="5"/>
        <v>0</v>
      </c>
      <c r="S26" s="1248">
        <f t="shared" si="5"/>
        <v>0</v>
      </c>
    </row>
    <row r="27" spans="1:19" ht="15.75" thickBot="1">
      <c r="A27" s="2259"/>
      <c r="B27" s="47"/>
      <c r="C27" s="2262" t="s">
        <v>1959</v>
      </c>
      <c r="D27" s="1392">
        <f>SUM(D19:D26)</f>
        <v>927.85</v>
      </c>
      <c r="E27" s="1393">
        <f>IF(SUM(E19:E26)='数据-基础表'!BA5,SUM(E19:E26),IF(F27="地上面积有误","面积有误","地下面积有误"))</f>
        <v>8276.64</v>
      </c>
      <c r="F27" s="1392">
        <f>IF(SUM(F19:F26)=E8,SUM(F19:F26),"地上面积有误")</f>
        <v>8276.64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927.85</v>
      </c>
      <c r="S27" s="1247">
        <f>IF(SUM(S19:S26)=$E$3,SUM(S19:S26),SUM(S19:S26)&amp;"误差"&amp;ROUND(SUM(S19:S26)-E3,2))</f>
        <v>8276.64</v>
      </c>
    </row>
    <row r="28" spans="1:19">
      <c r="A28" s="2259"/>
      <c r="B28" s="49" t="s">
        <v>1960</v>
      </c>
      <c r="C28" s="1259"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9"/>
      <c r="B29" s="49" t="s">
        <v>1960</v>
      </c>
      <c r="C29" s="2263"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9"/>
      <c r="B30" s="49"/>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9" t="s">
        <v>1963</v>
      </c>
      <c r="D31" s="728">
        <f>D27+D30</f>
        <v>927.85</v>
      </c>
      <c r="E31" s="728">
        <f>E27+E30</f>
        <v>8276.64</v>
      </c>
      <c r="F31" s="729">
        <f>F27+F30</f>
        <v>8276.64</v>
      </c>
      <c r="G31" s="730">
        <f>G27+G30</f>
        <v>0</v>
      </c>
      <c r="H31" s="1391"/>
      <c r="I31" s="1391"/>
      <c r="J31" s="1391"/>
      <c r="K31" s="1391"/>
      <c r="L31" s="1391"/>
      <c r="M31" s="1391"/>
      <c r="N31" s="1391"/>
      <c r="O31" s="1391"/>
      <c r="P31" s="1391"/>
    </row>
    <row r="32" spans="1:19">
      <c r="A32" s="2229"/>
      <c r="B32" s="2229" t="s">
        <v>1964</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6" sqref="L2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1966</v>
      </c>
      <c r="B2" s="1266">
        <f>项目基本情况!D3</f>
        <v>43452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3068</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0" t="s">
        <v>2006</v>
      </c>
      <c r="AP5" s="1249"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6层</v>
      </c>
      <c r="B6" s="2303" t="str">
        <f>IF(A6=0,"","经营性")</f>
        <v>经营性</v>
      </c>
      <c r="C6" s="2304" t="s">
        <v>27</v>
      </c>
      <c r="D6" s="1052">
        <f>SUMIF(项目基本情况!D$12:I$12,C6,项目基本情况!D$14:I$14)</f>
        <v>50</v>
      </c>
      <c r="E6" s="1049">
        <f>IF(B6="","",SUMIF(项目基本情况!D$12:I$12,C6,项目基本情况!D$13:I$13))</f>
        <v>55330</v>
      </c>
      <c r="F6" s="71">
        <f>SUMIF(项目基本情况!D$12:I$12,C6,项目基本情况!D$15:I$15)</f>
        <v>32.54</v>
      </c>
      <c r="G6" s="72">
        <f>IF(ISERROR(ROUND(POWER(1+H6,D6-F6)*(POWER(1+H6,F6)-1)/(POWER(1+H6,D6)-1),3)),0,ROUND(POWER(1+H6,D6-F6)*(POWER(1+H6,F6)-1)/(POWER(1+H6,D6)-1),3))</f>
        <v>0.872</v>
      </c>
      <c r="H6" s="73">
        <v>0.05</v>
      </c>
      <c r="I6" s="73">
        <v>5.5E-2</v>
      </c>
      <c r="J6" s="73">
        <v>8.5000000000000006E-2</v>
      </c>
      <c r="K6" s="1251">
        <f>SUMIF('数据-汇总表'!C$19:C$33,A6,'数据-汇总表'!E$19:E$33)</f>
        <v>8276.64</v>
      </c>
      <c r="L6" s="802">
        <v>4000</v>
      </c>
      <c r="M6" s="74">
        <f t="shared" ref="M6:M14" si="0">ROUND(K6*L6/10000,0)</f>
        <v>3311</v>
      </c>
      <c r="N6" s="800">
        <f>M18</f>
        <v>0.75</v>
      </c>
      <c r="O6" s="74" t="str">
        <f>IF($N$5="成新度","——",ROUND(M6*N6,0))</f>
        <v>——</v>
      </c>
      <c r="P6" s="75" t="str">
        <f>IF($N$5="成新度","——",M6-O6)</f>
        <v>——</v>
      </c>
      <c r="Q6" s="803">
        <v>0.2</v>
      </c>
      <c r="R6" s="76">
        <f ca="1">SUMIF('数据-汇总表'!C$19:C$33,A6,'数据-汇总表'!R$19:R$27)</f>
        <v>927.85</v>
      </c>
      <c r="S6" s="53">
        <f>IF('数据-汇总表'!$I$17="按面积比例",SUMIF('数据-汇总表'!C$19:C$33,A6,'数据-汇总表'!K$19:K$33),SUMIF('数据-汇总表'!C$19:C$33,A6,'数据-汇总表'!N$19:N$33))</f>
        <v>0</v>
      </c>
      <c r="T6" s="1441">
        <f>ROUND($L$14*S6/10000,0)</f>
        <v>0</v>
      </c>
      <c r="U6" s="77">
        <f>'比较法-办公'!B3</f>
        <v>5.2</v>
      </c>
      <c r="V6" s="2963">
        <v>0.03</v>
      </c>
      <c r="W6" s="78">
        <v>0.1</v>
      </c>
      <c r="X6" s="1261"/>
      <c r="Y6" s="2948">
        <f>N6</f>
        <v>0.75</v>
      </c>
      <c r="Z6" s="80"/>
      <c r="AA6" s="73"/>
      <c r="AB6" s="73"/>
      <c r="AC6" s="1261"/>
      <c r="AD6" s="81"/>
      <c r="AE6" s="1262">
        <f ca="1">IF(AN6="",0,SUMIF(INDIRECT("'"&amp;AN6&amp;"'"&amp;"!E:E"),$AE$5,INDIRECT("'"&amp;AN6&amp;"'"&amp;"!F:F")))</f>
        <v>32.54</v>
      </c>
      <c r="AF6" s="1802"/>
      <c r="AG6" s="146">
        <f>IF(AF6="",0,AE6-AF6)</f>
        <v>0</v>
      </c>
      <c r="AH6" s="82">
        <f>'数据-汇总表'!E19</f>
        <v>8276.64</v>
      </c>
      <c r="AI6" s="84">
        <v>365</v>
      </c>
      <c r="AJ6" s="85"/>
      <c r="AK6" s="808">
        <v>1.4999999999999999E-2</v>
      </c>
      <c r="AL6" s="808">
        <v>1.5E-3</v>
      </c>
      <c r="AM6" s="808">
        <v>0.01</v>
      </c>
      <c r="AN6" s="2305" t="s">
        <v>3069</v>
      </c>
      <c r="AO6" s="54">
        <f ca="1">SUMIF(INDIRECT("'"&amp;AN6&amp;"'"&amp;"!A:A"),"总价",INDIRECT("'"&amp;AN6&amp;"'"&amp;"!B:B"))</f>
        <v>23253</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1">
        <f t="shared" ref="T7:T13" si="5">ROUND($L$14*S7/10000,0)</f>
        <v>0</v>
      </c>
      <c r="U7" s="77"/>
      <c r="V7" s="78"/>
      <c r="W7" s="78"/>
      <c r="X7" s="1261"/>
      <c r="Y7" s="79"/>
      <c r="Z7" s="80"/>
      <c r="AA7" s="73"/>
      <c r="AB7" s="73"/>
      <c r="AC7" s="1261"/>
      <c r="AD7" s="81"/>
      <c r="AE7" s="1262">
        <f t="shared" ref="AE7:AE13" ca="1" si="6">IF(AN7="",0,SUMIF(INDIRECT("'"&amp;AN7&amp;"'"&amp;"!E:E"),$AE$5,INDIRECT("'"&amp;AN7&amp;"'"&amp;"!F:F")))</f>
        <v>0</v>
      </c>
      <c r="AF7" s="1802"/>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61"/>
      <c r="Y8" s="806"/>
      <c r="Z8" s="80"/>
      <c r="AA8" s="73"/>
      <c r="AB8" s="73"/>
      <c r="AC8" s="1261"/>
      <c r="AD8" s="81"/>
      <c r="AE8" s="1262">
        <f t="shared" ca="1" si="6"/>
        <v>0</v>
      </c>
      <c r="AF8" s="1802"/>
      <c r="AG8" s="146">
        <f t="shared" si="7"/>
        <v>0</v>
      </c>
      <c r="AH8" s="807"/>
      <c r="AI8" s="84"/>
      <c r="AJ8" s="85"/>
      <c r="AK8" s="808"/>
      <c r="AL8" s="809"/>
      <c r="AM8" s="810"/>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61"/>
      <c r="Y9" s="79"/>
      <c r="Z9" s="80"/>
      <c r="AA9" s="73"/>
      <c r="AB9" s="73"/>
      <c r="AC9" s="1261"/>
      <c r="AD9" s="81"/>
      <c r="AE9" s="1262">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61"/>
      <c r="Y10" s="79"/>
      <c r="Z10" s="80"/>
      <c r="AA10" s="73"/>
      <c r="AB10" s="73"/>
      <c r="AC10" s="1261"/>
      <c r="AD10" s="81"/>
      <c r="AE10" s="1262">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61"/>
      <c r="Y11" s="79"/>
      <c r="Z11" s="92"/>
      <c r="AA11" s="73"/>
      <c r="AB11" s="73"/>
      <c r="AC11" s="1261"/>
      <c r="AD11" s="81"/>
      <c r="AE11" s="1262">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61"/>
      <c r="Y12" s="79"/>
      <c r="Z12" s="92"/>
      <c r="AA12" s="73"/>
      <c r="AB12" s="73"/>
      <c r="AC12" s="1261"/>
      <c r="AD12" s="81"/>
      <c r="AE12" s="1262">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61"/>
      <c r="Y13" s="79"/>
      <c r="Z13" s="80"/>
      <c r="AA13" s="73"/>
      <c r="AB13" s="73"/>
      <c r="AC13" s="1261"/>
      <c r="AD13" s="81"/>
      <c r="AE13" s="1262">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2010</v>
      </c>
      <c r="B14" s="2303" t="s">
        <v>2011</v>
      </c>
      <c r="C14" s="2308"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1"/>
      <c r="U14" s="722"/>
      <c r="V14" s="1256"/>
      <c r="W14" s="1256"/>
      <c r="X14" s="1257"/>
      <c r="Y14" s="1258"/>
      <c r="Z14" s="1259"/>
      <c r="AA14" s="1260"/>
      <c r="AB14" s="1260"/>
      <c r="AC14" s="1261"/>
      <c r="AD14" s="1257"/>
      <c r="AE14" s="1262"/>
      <c r="AF14" s="54"/>
      <c r="AG14" s="146"/>
      <c r="AH14" s="1262"/>
      <c r="AI14" s="1813"/>
      <c r="AJ14" s="772"/>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2012</v>
      </c>
      <c r="B15" s="2303" t="s">
        <v>2011</v>
      </c>
      <c r="C15" s="2308" t="s">
        <v>2013</v>
      </c>
      <c r="D15" s="1052"/>
      <c r="E15" s="1049"/>
      <c r="F15" s="71"/>
      <c r="G15" s="72"/>
      <c r="H15" s="1250"/>
      <c r="I15" s="1250"/>
      <c r="J15" s="1250"/>
      <c r="K15" s="1251">
        <f>SUMIF('数据-汇总表'!C$19:C$33,A15,'数据-汇总表'!E$19:E$33)</f>
        <v>0</v>
      </c>
      <c r="L15" s="1252"/>
      <c r="M15" s="74"/>
      <c r="N15" s="1253"/>
      <c r="O15" s="74"/>
      <c r="P15" s="75"/>
      <c r="Q15" s="1254"/>
      <c r="R15" s="76"/>
      <c r="S15" s="53"/>
      <c r="T15" s="1441"/>
      <c r="U15" s="722"/>
      <c r="V15" s="1256"/>
      <c r="W15" s="1256"/>
      <c r="X15" s="1257"/>
      <c r="Y15" s="1258"/>
      <c r="Z15" s="1259"/>
      <c r="AA15" s="1260"/>
      <c r="AB15" s="1260"/>
      <c r="AC15" s="1261"/>
      <c r="AD15" s="1257"/>
      <c r="AE15" s="1262"/>
      <c r="AF15" s="54"/>
      <c r="AG15" s="146"/>
      <c r="AH15" s="1262"/>
      <c r="AI15" s="1813"/>
      <c r="AJ15" s="772"/>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2014</v>
      </c>
      <c r="B16" s="96"/>
      <c r="C16" s="1007"/>
      <c r="D16" s="2310"/>
      <c r="E16" s="96"/>
      <c r="F16" s="96"/>
      <c r="G16" s="97">
        <f>ROUND(SUMPRODUCT(G6:G13,K6:K13)/SUMPRODUCT((G6:G13&gt;0)*(K6:K13)),3)</f>
        <v>0.872</v>
      </c>
      <c r="H16" s="98">
        <f>ROUND(SUMPRODUCT(H6:H13,K6:K13)/SUMPRODUCT((H6:H13&gt;0)*(K6:K13)),3)</f>
        <v>0.05</v>
      </c>
      <c r="I16" s="99"/>
      <c r="J16" s="99"/>
      <c r="K16" s="100">
        <f>SUM(K6:K15)</f>
        <v>8276.64</v>
      </c>
      <c r="L16" s="101">
        <f>ROUND(M16*10000/SUM(K6:K14),0)</f>
        <v>4000</v>
      </c>
      <c r="M16" s="101">
        <f>SUM(M6:M14)</f>
        <v>3311</v>
      </c>
      <c r="N16" s="102">
        <f>ROUND(SUMPRODUCT(M6:M14,N6:N14)/M16,3)</f>
        <v>0.75</v>
      </c>
      <c r="O16" s="101">
        <f>SUM(O6:O14)</f>
        <v>0</v>
      </c>
      <c r="P16" s="101">
        <f>SUM(P6:P14)</f>
        <v>0</v>
      </c>
      <c r="Q16" s="103">
        <f>ROUND(SUMPRODUCT(Q6:Q13,K6:K13)/SUMPRODUCT((Q6:Q13&gt;0)*(K6:K13)),2)</f>
        <v>0.2</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6"/>
      <c r="C18" s="2273"/>
      <c r="D18" s="2274"/>
      <c r="E18" s="2273"/>
      <c r="F18" s="2273"/>
      <c r="G18" s="2273"/>
      <c r="H18" s="2273"/>
      <c r="I18" s="2273"/>
      <c r="J18" s="2273"/>
      <c r="K18" s="167"/>
      <c r="L18" s="167"/>
      <c r="M18" s="2946">
        <f>ROUND(1-(1-0)*(2018-2003)/60,2)</f>
        <v>0.75</v>
      </c>
      <c r="N18" s="2947">
        <v>0.8</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2016</v>
      </c>
      <c r="B19" s="111"/>
      <c r="C19" s="2273" t="s">
        <v>2017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2018</v>
      </c>
      <c r="B20" s="112">
        <v>2</v>
      </c>
      <c r="C20" s="2273" t="s">
        <v>2019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2020</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2021</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2022</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2024</v>
      </c>
      <c r="B26" s="2316" t="s">
        <v>2025</v>
      </c>
      <c r="C26" s="2317" t="s">
        <v>2026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2027</v>
      </c>
      <c r="B27" s="115"/>
      <c r="C27" s="1762" t="s">
        <v>2028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0">
        <f ca="1">成本法!C10</f>
        <v>166</v>
      </c>
      <c r="C29" s="1762" t="s">
        <v>2031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1" t="s">
        <v>2036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1">
        <v>0</v>
      </c>
      <c r="C34" s="1761" t="s">
        <v>2038</v>
      </c>
      <c r="D34" s="2274" t="s">
        <v>2039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8">
        <v>200</v>
      </c>
      <c r="C35" s="1761" t="s">
        <v>2041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2">
        <v>1.4999999999999999E-2</v>
      </c>
      <c r="C36" s="1761" t="s">
        <v>2043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2044</v>
      </c>
      <c r="B37" s="123">
        <v>0.02</v>
      </c>
      <c r="C37" s="1761" t="s">
        <v>2045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2046</v>
      </c>
      <c r="B38" s="121">
        <v>0.02</v>
      </c>
      <c r="C38" s="1761" t="s">
        <v>2045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2048</v>
      </c>
      <c r="B40" s="1300">
        <f ca="1">存贷款利率!G1</f>
        <v>4.7500000000000001E-2</v>
      </c>
      <c r="C40" s="1761" t="s">
        <v>2049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2053</v>
      </c>
      <c r="B44" s="127">
        <v>7.0000000000000007E-2</v>
      </c>
      <c r="C44" s="1761" t="s">
        <v>2054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2055</v>
      </c>
      <c r="B45" s="125">
        <v>0.03</v>
      </c>
      <c r="C45" s="1762" t="s">
        <v>2056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2057</v>
      </c>
      <c r="B46" s="125">
        <v>0.02</v>
      </c>
      <c r="C46" s="1762" t="s">
        <v>2058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2059</v>
      </c>
      <c r="B47" s="128"/>
      <c r="C47" s="1762" t="s">
        <v>2060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2061</v>
      </c>
      <c r="B48" s="129">
        <v>0.03</v>
      </c>
      <c r="C48" s="1769" t="s">
        <v>2062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2063</v>
      </c>
      <c r="B49" s="125">
        <v>5.0000000000000001E-4</v>
      </c>
      <c r="C49" s="1769" t="s">
        <v>2064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2067</v>
      </c>
      <c r="B52" s="132">
        <f>SUMIF(A54:A63,B53,B54:B63)</f>
        <v>24</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2068</v>
      </c>
      <c r="B53" s="2332" t="s">
        <v>269</v>
      </c>
      <c r="C53" s="1426" t="s">
        <v>2069</v>
      </c>
      <c r="D53" s="2333" t="s">
        <v>2070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2071</v>
      </c>
      <c r="B54" s="83"/>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2072</v>
      </c>
      <c r="B55" s="83">
        <v>24</v>
      </c>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2073</v>
      </c>
      <c r="B56" s="83"/>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2074</v>
      </c>
      <c r="B57" s="83"/>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2075</v>
      </c>
      <c r="B58" s="83"/>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2076</v>
      </c>
      <c r="B59" s="83"/>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2077</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2078</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2079</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7" sqref="C7"/>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6" t="s">
        <v>2081</v>
      </c>
      <c r="B1" s="3057"/>
      <c r="C1" s="3057"/>
      <c r="D1" s="3057"/>
      <c r="E1" s="3057"/>
      <c r="F1" s="3057"/>
      <c r="G1" s="305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27">
      <c r="A3" s="414" t="s">
        <v>2084</v>
      </c>
      <c r="B3" s="1268" t="s">
        <v>2085</v>
      </c>
      <c r="C3" s="2366"/>
      <c r="D3" s="2367"/>
      <c r="E3" s="430" t="s">
        <v>2084</v>
      </c>
      <c r="F3" s="2368" t="s">
        <v>2086</v>
      </c>
      <c r="G3" s="2369"/>
      <c r="H3" s="2364"/>
      <c r="I3" s="2364"/>
      <c r="J3" s="2364"/>
      <c r="K3" s="2364"/>
      <c r="L3" s="2364"/>
      <c r="M3" s="2364"/>
      <c r="N3" s="2364"/>
      <c r="O3" s="2364"/>
      <c r="P3" s="2364"/>
      <c r="Q3" s="2364"/>
      <c r="R3" s="2364"/>
    </row>
    <row r="4" spans="1:29" ht="15">
      <c r="A4" s="430"/>
      <c r="B4" s="1793" t="s">
        <v>2087</v>
      </c>
      <c r="C4" s="2370"/>
      <c r="D4" s="2367"/>
      <c r="E4" s="2371"/>
      <c r="F4" s="41" t="s">
        <v>2088</v>
      </c>
      <c r="G4" s="2372"/>
      <c r="H4" s="2364"/>
      <c r="I4" s="2364"/>
      <c r="J4" s="2364"/>
      <c r="K4" s="2364"/>
      <c r="L4" s="2364"/>
      <c r="M4" s="2364"/>
      <c r="N4" s="2364"/>
      <c r="O4" s="2364"/>
      <c r="P4" s="2364"/>
      <c r="Q4" s="2364"/>
      <c r="R4" s="2364"/>
    </row>
    <row r="5" spans="1:29" ht="67.5">
      <c r="A5" s="430"/>
      <c r="B5" s="1793" t="s">
        <v>2089</v>
      </c>
      <c r="C5" s="2961" t="s">
        <v>3138</v>
      </c>
      <c r="D5" s="2367"/>
      <c r="E5" s="2371"/>
      <c r="F5" s="1793" t="s">
        <v>2090</v>
      </c>
      <c r="G5" s="2372"/>
      <c r="H5" s="2364"/>
      <c r="I5" s="2364"/>
      <c r="J5" s="2364"/>
      <c r="K5" s="2364"/>
      <c r="L5" s="2364"/>
      <c r="M5" s="2364"/>
      <c r="N5" s="2364"/>
      <c r="O5" s="2364"/>
      <c r="P5" s="2364"/>
      <c r="Q5" s="2364"/>
      <c r="R5" s="2364"/>
    </row>
    <row r="6" spans="1:29" ht="96">
      <c r="A6" s="430"/>
      <c r="B6" s="1793" t="s">
        <v>2091</v>
      </c>
      <c r="C6" s="2372" t="s">
        <v>3139</v>
      </c>
      <c r="D6" s="2367"/>
      <c r="E6" s="2371"/>
      <c r="F6" s="1793" t="s">
        <v>2092</v>
      </c>
      <c r="G6" s="2372"/>
      <c r="H6" s="2364"/>
      <c r="I6" s="2364"/>
      <c r="J6" s="2364"/>
      <c r="K6" s="2364"/>
      <c r="L6" s="2364"/>
      <c r="M6" s="2364"/>
      <c r="N6" s="2364"/>
      <c r="O6" s="2364"/>
      <c r="P6" s="2364"/>
      <c r="Q6" s="2364"/>
      <c r="R6" s="2364"/>
    </row>
    <row r="7" spans="1:29" ht="43.5" thickBot="1">
      <c r="A7" s="430"/>
      <c r="B7" s="1793" t="s">
        <v>2090</v>
      </c>
      <c r="C7" s="2372" t="s">
        <v>3070</v>
      </c>
      <c r="D7" s="2373"/>
      <c r="E7" s="2374"/>
      <c r="F7" s="2375" t="s">
        <v>2093</v>
      </c>
      <c r="G7" s="2376"/>
      <c r="H7" s="2364"/>
      <c r="I7" s="2364"/>
      <c r="J7" s="2364"/>
      <c r="K7" s="2364"/>
      <c r="L7" s="2364"/>
      <c r="M7" s="2364"/>
      <c r="N7" s="2364"/>
      <c r="O7" s="2364"/>
      <c r="P7" s="2364"/>
      <c r="Q7" s="2364"/>
      <c r="R7" s="2364"/>
    </row>
    <row r="8" spans="1:29" ht="15">
      <c r="A8" s="430"/>
      <c r="B8" s="1793" t="s">
        <v>2092</v>
      </c>
      <c r="C8" s="2372" t="s">
        <v>3071</v>
      </c>
      <c r="D8" s="2373"/>
      <c r="E8" s="2373"/>
      <c r="F8" s="1133"/>
      <c r="G8" s="1133"/>
      <c r="H8" s="2364"/>
      <c r="I8" s="2364"/>
      <c r="J8" s="2364"/>
      <c r="K8" s="2364"/>
      <c r="L8" s="2364"/>
      <c r="M8" s="2364"/>
      <c r="N8" s="2364"/>
      <c r="O8" s="2364"/>
      <c r="P8" s="2364"/>
      <c r="Q8" s="2364"/>
      <c r="R8" s="2364"/>
    </row>
    <row r="9" spans="1:29" ht="71.25">
      <c r="A9" s="430"/>
      <c r="B9" s="1793" t="s">
        <v>2094</v>
      </c>
      <c r="C9" s="2370" t="s">
        <v>3072</v>
      </c>
      <c r="D9" s="2367"/>
      <c r="E9" s="2373"/>
      <c r="F9" s="1133"/>
      <c r="G9" s="1133"/>
      <c r="H9" s="2364"/>
      <c r="I9" s="2364"/>
      <c r="J9" s="2364"/>
      <c r="K9" s="2364"/>
      <c r="L9" s="2364"/>
      <c r="M9" s="2364"/>
      <c r="N9" s="2364"/>
      <c r="O9" s="2364"/>
      <c r="P9" s="2364"/>
      <c r="Q9" s="2364"/>
      <c r="R9" s="2364"/>
    </row>
    <row r="10" spans="1:29" s="116" customFormat="1" ht="15.75" thickBot="1">
      <c r="A10" s="2377"/>
      <c r="B10" s="2378" t="s">
        <v>2095</v>
      </c>
      <c r="C10" s="2379" t="s">
        <v>3073</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27">
      <c r="A15" s="67" t="s">
        <v>2099</v>
      </c>
      <c r="B15" s="1267" t="s">
        <v>2085</v>
      </c>
      <c r="C15" s="2399">
        <f>C3</f>
        <v>0</v>
      </c>
      <c r="D15" s="2367"/>
      <c r="E15" s="2400" t="s">
        <v>2100</v>
      </c>
      <c r="F15" s="1267" t="s">
        <v>2101</v>
      </c>
      <c r="G15" s="134">
        <f>G3</f>
        <v>0</v>
      </c>
    </row>
    <row r="16" spans="1:29" ht="15">
      <c r="A16" s="644"/>
      <c r="B16" s="2401" t="s">
        <v>2087</v>
      </c>
      <c r="C16" s="2402">
        <f>C4</f>
        <v>0</v>
      </c>
      <c r="D16" s="2367"/>
      <c r="E16" s="2403"/>
      <c r="F16" s="2404" t="s">
        <v>2088</v>
      </c>
      <c r="G16" s="135">
        <f>G4</f>
        <v>0</v>
      </c>
    </row>
    <row r="17" spans="1:18" ht="71.25">
      <c r="A17" s="644"/>
      <c r="B17" s="2401" t="s">
        <v>2089</v>
      </c>
      <c r="C17" s="2402" t="str">
        <f>C5</f>
        <v>估价对象位于中关村商圈，周边有鼎好电子大厦、海龙大厦写字楼等写字楼，办公项目较多，入驻率高，办公集聚程度好</v>
      </c>
      <c r="D17" s="2373"/>
      <c r="E17" s="2403"/>
      <c r="F17" s="2404" t="s">
        <v>2102</v>
      </c>
      <c r="G17" s="1567"/>
    </row>
    <row r="18" spans="1:18" ht="99.75">
      <c r="A18" s="644"/>
      <c r="B18" s="2404" t="s">
        <v>2091</v>
      </c>
      <c r="C18" s="135" t="str">
        <f>C6</f>
        <v>估价对象紧邻中关村大街，紧挨地铁4号线中关村站，附近有302、307、320、332等多条公交线路，估价对象有地下停车场，路边停车位，停车较便捷，综合评价交通便捷度好</v>
      </c>
      <c r="D18" s="2373"/>
      <c r="E18" s="2403"/>
      <c r="F18" s="2404" t="s">
        <v>2093</v>
      </c>
      <c r="G18" s="135">
        <f>G7</f>
        <v>0</v>
      </c>
    </row>
    <row r="19" spans="1:18" ht="15">
      <c r="A19" s="644"/>
      <c r="B19" s="2404" t="s">
        <v>2103</v>
      </c>
      <c r="C19" s="1567"/>
      <c r="D19" s="2367"/>
      <c r="E19" s="2403"/>
      <c r="F19" s="1793" t="s">
        <v>2090</v>
      </c>
      <c r="G19" s="135">
        <f>G5</f>
        <v>0</v>
      </c>
    </row>
    <row r="20" spans="1:18" ht="71.25">
      <c r="A20" s="644"/>
      <c r="B20" s="2404" t="s">
        <v>2104</v>
      </c>
      <c r="C20" s="2402" t="str">
        <f>C9</f>
        <v>区域自然环境：海淀公园、北京大学未名湖；人文环境：北京大学、北大附中、中关村中学、中国人民大学；综合评价环境状况较好</v>
      </c>
      <c r="D20" s="2373"/>
      <c r="E20" s="2403"/>
      <c r="F20" s="1793" t="s">
        <v>2105</v>
      </c>
      <c r="G20" s="135">
        <f>G6</f>
        <v>0</v>
      </c>
    </row>
    <row r="21" spans="1:18" ht="42.75">
      <c r="A21" s="644"/>
      <c r="B21" s="1793" t="s">
        <v>2090</v>
      </c>
      <c r="C21" s="135" t="str">
        <f>C7</f>
        <v>估价对象附近分布较多银行、医院、餐饮、购物中心等公共配套设施，程度较好</v>
      </c>
      <c r="D21" s="2367"/>
      <c r="E21" s="2403"/>
      <c r="F21" s="2404" t="s">
        <v>2106</v>
      </c>
      <c r="G21" s="2405"/>
    </row>
    <row r="22" spans="1:18" ht="13.5" customHeight="1">
      <c r="A22" s="644"/>
      <c r="B22" s="1793" t="s">
        <v>2092</v>
      </c>
      <c r="C22" s="135" t="str">
        <f>C8</f>
        <v>七通一平</v>
      </c>
      <c r="D22" s="2367"/>
      <c r="E22" s="2403"/>
      <c r="F22" s="2404" t="s">
        <v>2095</v>
      </c>
      <c r="G22" s="1567"/>
    </row>
    <row r="23" spans="1:18" s="2364" customFormat="1" ht="15.75" thickBot="1">
      <c r="A23" s="644"/>
      <c r="B23" s="2404" t="s">
        <v>2106</v>
      </c>
      <c r="C23" s="2405" t="s">
        <v>3132</v>
      </c>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6" t="str">
        <f>C10</f>
        <v>城市次干道-中关村大街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8276.64</v>
      </c>
      <c r="C1" s="1740"/>
      <c r="D1" s="1740"/>
      <c r="E1" s="1740"/>
      <c r="F1" s="1740"/>
      <c r="G1" s="1738"/>
    </row>
    <row r="2" spans="1:10" ht="16.5">
      <c r="A2" s="1741" t="s">
        <v>1353</v>
      </c>
      <c r="B2" s="1741">
        <f>SUM(C14:C23)</f>
        <v>927.85</v>
      </c>
      <c r="C2" s="1740"/>
      <c r="D2" s="1740"/>
      <c r="E2" s="1740"/>
      <c r="F2" s="1740"/>
      <c r="G2" s="1738"/>
    </row>
    <row r="3" spans="1:10" ht="16.5">
      <c r="A3" s="1741" t="s">
        <v>1362</v>
      </c>
      <c r="B3" s="1742">
        <f>项目基本情况!D3</f>
        <v>43452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30194</v>
      </c>
      <c r="C5" s="1741">
        <f ca="1">ROUND(B5*10000/$B$1,0)</f>
        <v>36481</v>
      </c>
      <c r="D5" s="1741">
        <f ca="1">ROUND(B5*10000/$B$2,0)</f>
        <v>325419</v>
      </c>
      <c r="E5" s="1740"/>
      <c r="F5" s="1738"/>
      <c r="G5" s="1738"/>
    </row>
    <row r="6" spans="1:10" ht="16.5">
      <c r="A6" s="1741" t="s">
        <v>1356</v>
      </c>
      <c r="B6" s="1741">
        <f ca="1">SUM(G14:G23)</f>
        <v>30194</v>
      </c>
      <c r="C6" s="1741">
        <f ca="1">ROUND(B6*10000/$B$1,0)</f>
        <v>36481</v>
      </c>
      <c r="D6" s="1741">
        <f ca="1">ROUND(B6*10000/$B$2,0)</f>
        <v>325419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8276.64</v>
      </c>
      <c r="C14" s="1739">
        <f>结果表!C118</f>
        <v>927.85</v>
      </c>
      <c r="D14" s="1739">
        <f ca="1">结果表!H118</f>
        <v>30194</v>
      </c>
      <c r="E14" s="1739">
        <f ca="1">ROUND(D14*10000/B14,0)</f>
        <v>36481</v>
      </c>
      <c r="F14" s="1739">
        <f ca="1">ROUND(D14*10000/C14,0)</f>
        <v>325419</v>
      </c>
      <c r="G14" s="1739">
        <f ca="1">结果表!D122</f>
        <v>30194</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F116" sqref="F116:G116"/>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3120</v>
      </c>
      <c r="D1" s="2415"/>
      <c r="E1" s="2415"/>
      <c r="F1" s="2417" t="s">
        <v>2110</v>
      </c>
      <c r="G1" s="2066" t="s">
        <v>3056</v>
      </c>
      <c r="H1" s="2418" t="str">
        <f>IF(G1="现房","——","估价对象范围")</f>
        <v>——</v>
      </c>
      <c r="I1" s="2419"/>
    </row>
    <row r="2" spans="1:12" ht="21.75" customHeight="1" thickBot="1">
      <c r="A2" s="3130" t="str">
        <f>项目基本情况!S2</f>
        <v>北京市北京市海淀区中关村大街18号房地产</v>
      </c>
      <c r="B2" s="3131"/>
      <c r="C2" s="3131"/>
      <c r="D2" s="3131"/>
      <c r="E2" s="3131"/>
      <c r="F2" s="3131"/>
      <c r="G2" s="3131"/>
      <c r="H2" s="3131"/>
      <c r="I2" s="3132"/>
    </row>
    <row r="3" spans="1:12" ht="12.75">
      <c r="A3" s="3133" t="s">
        <v>2111</v>
      </c>
      <c r="B3" s="3134"/>
      <c r="C3" s="3134"/>
      <c r="D3" s="3134"/>
      <c r="E3" s="3134"/>
      <c r="F3" s="3134"/>
      <c r="G3" s="3134"/>
      <c r="H3" s="3134"/>
      <c r="I3" s="3134"/>
    </row>
    <row r="4" spans="1:12" ht="14.25">
      <c r="A4" s="2422" t="s">
        <v>2112</v>
      </c>
      <c r="B4" s="2423" t="s">
        <v>2113</v>
      </c>
      <c r="C4" s="2424" t="s">
        <v>3121</v>
      </c>
      <c r="D4" s="2424" t="s">
        <v>3069</v>
      </c>
      <c r="E4" s="3114" t="s">
        <v>2114</v>
      </c>
      <c r="F4" s="3127"/>
      <c r="G4" s="3127"/>
      <c r="H4" s="3127"/>
      <c r="I4" s="311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5" t="s">
        <v>2115</v>
      </c>
      <c r="B5" s="3031">
        <v>25</v>
      </c>
      <c r="C5" s="3135"/>
      <c r="D5" s="3123"/>
      <c r="E5" s="139" t="s">
        <v>2116</v>
      </c>
      <c r="F5" s="2426"/>
      <c r="G5" s="2426"/>
      <c r="H5" s="2426"/>
      <c r="I5" s="1829"/>
    </row>
    <row r="6" spans="1:12" ht="12.75">
      <c r="A6" s="3105"/>
      <c r="B6" s="3031"/>
      <c r="C6" s="3137"/>
      <c r="D6" s="3123"/>
      <c r="E6" s="139" t="s">
        <v>2117</v>
      </c>
      <c r="F6" s="2426"/>
      <c r="G6" s="2426"/>
      <c r="H6" s="2426"/>
      <c r="I6" s="1829"/>
    </row>
    <row r="7" spans="1:12" ht="12.75">
      <c r="A7" s="3105"/>
      <c r="B7" s="3031"/>
      <c r="C7" s="3136"/>
      <c r="D7" s="3123"/>
      <c r="E7" s="139" t="s">
        <v>2118</v>
      </c>
      <c r="F7" s="2426"/>
      <c r="G7" s="2426"/>
      <c r="H7" s="2426"/>
      <c r="I7" s="1829"/>
    </row>
    <row r="8" spans="1:12" ht="12.75">
      <c r="A8" s="3105" t="s">
        <v>2119</v>
      </c>
      <c r="B8" s="3031">
        <v>15</v>
      </c>
      <c r="C8" s="3135"/>
      <c r="D8" s="3123"/>
      <c r="E8" s="139" t="s">
        <v>2120</v>
      </c>
      <c r="F8" s="2426"/>
      <c r="G8" s="2426"/>
      <c r="H8" s="2426"/>
      <c r="I8" s="1829"/>
    </row>
    <row r="9" spans="1:12" ht="12.75">
      <c r="A9" s="3105"/>
      <c r="B9" s="3031"/>
      <c r="C9" s="3136"/>
      <c r="D9" s="3123"/>
      <c r="E9" s="139" t="s">
        <v>2121</v>
      </c>
      <c r="F9" s="2426"/>
      <c r="G9" s="2426"/>
      <c r="H9" s="2426"/>
      <c r="I9" s="1829"/>
    </row>
    <row r="10" spans="1:12" ht="12.75">
      <c r="A10" s="3105" t="s">
        <v>2122</v>
      </c>
      <c r="B10" s="3031">
        <v>15</v>
      </c>
      <c r="C10" s="3135"/>
      <c r="D10" s="3123"/>
      <c r="E10" s="139" t="s">
        <v>2123</v>
      </c>
      <c r="F10" s="2426"/>
      <c r="G10" s="2426"/>
      <c r="H10" s="2426"/>
      <c r="I10" s="1829"/>
    </row>
    <row r="11" spans="1:12" ht="12.75">
      <c r="A11" s="3105"/>
      <c r="B11" s="3031"/>
      <c r="C11" s="3136"/>
      <c r="D11" s="3123"/>
      <c r="E11" s="139" t="s">
        <v>2124</v>
      </c>
      <c r="F11" s="2426"/>
      <c r="G11" s="2426"/>
      <c r="H11" s="2426"/>
      <c r="I11" s="1829"/>
    </row>
    <row r="12" spans="1:12" ht="12.75">
      <c r="A12" s="3105" t="s">
        <v>2125</v>
      </c>
      <c r="B12" s="3031">
        <v>15</v>
      </c>
      <c r="C12" s="3135"/>
      <c r="D12" s="3123"/>
      <c r="E12" s="139" t="s">
        <v>2126</v>
      </c>
      <c r="F12" s="2426"/>
      <c r="G12" s="2426"/>
      <c r="H12" s="2426"/>
      <c r="I12" s="1829"/>
    </row>
    <row r="13" spans="1:12" ht="12.75">
      <c r="A13" s="3105"/>
      <c r="B13" s="3031"/>
      <c r="C13" s="3136"/>
      <c r="D13" s="3123"/>
      <c r="E13" s="139" t="s">
        <v>2127</v>
      </c>
      <c r="F13" s="2426"/>
      <c r="G13" s="2426"/>
      <c r="H13" s="2426"/>
      <c r="I13" s="1829"/>
    </row>
    <row r="14" spans="1:12" ht="12.75">
      <c r="A14" s="3105" t="s">
        <v>2128</v>
      </c>
      <c r="B14" s="3031">
        <v>30</v>
      </c>
      <c r="C14" s="3135">
        <v>7</v>
      </c>
      <c r="D14" s="3123">
        <v>3</v>
      </c>
      <c r="E14" s="139" t="s">
        <v>2129</v>
      </c>
      <c r="F14" s="2426"/>
      <c r="G14" s="2426"/>
      <c r="H14" s="2426"/>
      <c r="I14" s="1829"/>
    </row>
    <row r="15" spans="1:12" ht="12.75">
      <c r="A15" s="3105"/>
      <c r="B15" s="3031"/>
      <c r="C15" s="3137"/>
      <c r="D15" s="3123"/>
      <c r="E15" s="139" t="s">
        <v>2130</v>
      </c>
      <c r="F15" s="2426"/>
      <c r="G15" s="2426"/>
      <c r="H15" s="2426"/>
      <c r="I15" s="1829"/>
    </row>
    <row r="16" spans="1:12" ht="12.75">
      <c r="A16" s="3105"/>
      <c r="B16" s="3031"/>
      <c r="C16" s="3136"/>
      <c r="D16" s="3123"/>
      <c r="E16" s="139" t="s">
        <v>2131</v>
      </c>
      <c r="F16" s="2426"/>
      <c r="G16" s="2426"/>
      <c r="H16" s="2426"/>
      <c r="I16" s="1829"/>
    </row>
    <row r="17" spans="1:35" ht="15">
      <c r="A17" s="2427" t="s">
        <v>2132</v>
      </c>
      <c r="B17" s="63"/>
      <c r="C17" s="140">
        <f>SUM(C5:C16)</f>
        <v>7</v>
      </c>
      <c r="D17" s="140">
        <f>SUM(D5:D16)</f>
        <v>3</v>
      </c>
      <c r="E17" s="137"/>
      <c r="F17" s="137"/>
      <c r="G17" s="137"/>
      <c r="H17" s="137"/>
      <c r="I17" s="137"/>
      <c r="K17" s="2425"/>
      <c r="L17" s="2428" t="s">
        <v>2133</v>
      </c>
      <c r="M17" s="2428" t="s">
        <v>2134</v>
      </c>
    </row>
    <row r="18" spans="1:35" ht="15.75" thickBot="1">
      <c r="A18" s="2429" t="s">
        <v>2135</v>
      </c>
      <c r="B18" s="2430"/>
      <c r="C18" s="141">
        <f>ROUND(C17/SUM(C17:D17),2)</f>
        <v>0.7</v>
      </c>
      <c r="D18" s="141">
        <f>1-C18</f>
        <v>0.30000000000000004</v>
      </c>
      <c r="E18" s="137"/>
      <c r="F18" s="137"/>
      <c r="G18" s="137"/>
      <c r="H18" s="137"/>
      <c r="I18" s="137"/>
      <c r="K18" s="2425" t="s">
        <v>2136</v>
      </c>
      <c r="L18" s="2425">
        <f>IF(C1="",'数据-汇总表'!E3,SUMIF(项目类型,C1,'数据-汇总表'!E17:E26)+SUMIF(项目类型,C1,'数据-汇总表'!I17:I26))</f>
        <v>8276.64</v>
      </c>
      <c r="M18" s="2425">
        <f>IF(C1="",'数据-汇总表'!E3,SUMIF(项目类型,C1,'数据-汇总表'!E17:E26))</f>
        <v>8276.64</v>
      </c>
    </row>
    <row r="19" spans="1:35" ht="15">
      <c r="A19" s="2431" t="s">
        <v>2137</v>
      </c>
      <c r="B19" s="2432" t="s">
        <v>2138</v>
      </c>
      <c r="C19" s="142">
        <f ca="1">SUMIF(INDIRECT("'"&amp;C4&amp;"'"&amp;"!A:A"),结果表!B19,INDIRECT("'"&amp;C4&amp;"'"&amp;"!B:B"))</f>
        <v>33168</v>
      </c>
      <c r="D19" s="143">
        <f ca="1">SUMIF(INDIRECT("'"&amp;D4&amp;"'"&amp;"!A:A"),结果表!B19,INDIRECT("'"&amp;D4&amp;"'"&amp;"!B:B"))</f>
        <v>23253</v>
      </c>
      <c r="E19" s="2431" t="s">
        <v>2139</v>
      </c>
      <c r="F19" s="2432" t="s">
        <v>2138</v>
      </c>
      <c r="G19" s="144">
        <f ca="1">ROUND(C19*$C$18+D19*$D$18,0)</f>
        <v>30194</v>
      </c>
      <c r="H19" s="2433" t="s">
        <v>2140</v>
      </c>
      <c r="I19" s="137"/>
      <c r="K19" s="2425" t="s">
        <v>2141</v>
      </c>
      <c r="L19" s="2425">
        <f>IF(C1="",'数据-汇总表'!D3,SUMIF(项目类型,C1,'数据-汇总表'!D17:D26)+SUMIF(项目类型,C1,'数据-汇总表'!H17:H27))</f>
        <v>927.85</v>
      </c>
      <c r="M19" s="2425">
        <f>IF(C1="",'数据-汇总表'!D3,SUMIF(项目类型,C1,'数据-汇总表'!D17:D26))</f>
        <v>927.85</v>
      </c>
    </row>
    <row r="20" spans="1:35" ht="15">
      <c r="A20" s="2434"/>
      <c r="B20" s="1247" t="s">
        <v>2142</v>
      </c>
      <c r="C20" s="145">
        <f ca="1">SUMIF(INDIRECT("'"&amp;C4&amp;"'"&amp;"!A:A"),结果表!B20,INDIRECT("'"&amp;C4&amp;"'"&amp;"!B:B"))</f>
        <v>40074</v>
      </c>
      <c r="D20" s="146">
        <f ca="1">SUMIF(INDIRECT("'"&amp;D4&amp;"'"&amp;"!A:A"),结果表!B20,INDIRECT("'"&amp;D4&amp;"'"&amp;"!B:B"))</f>
        <v>28095</v>
      </c>
      <c r="E20" s="2434"/>
      <c r="F20" s="1247" t="s">
        <v>2142</v>
      </c>
      <c r="G20" s="147">
        <f ca="1">ROUND(C20*$C$18+D20*$D$18,0)</f>
        <v>36480</v>
      </c>
      <c r="H20" s="982" t="s">
        <v>2143</v>
      </c>
      <c r="I20" s="137"/>
    </row>
    <row r="21" spans="1:35" ht="15" customHeight="1" thickBot="1">
      <c r="A21" s="1002"/>
      <c r="B21" s="2435" t="s">
        <v>2144</v>
      </c>
      <c r="C21" s="788">
        <f ca="1">ROUND(C19*10000/L19,0)</f>
        <v>357472</v>
      </c>
      <c r="D21" s="789">
        <f ca="1">ROUND(D19*10000/L19,0)</f>
        <v>250612</v>
      </c>
      <c r="E21" s="1002"/>
      <c r="F21" s="2435" t="s">
        <v>2144</v>
      </c>
      <c r="G21" s="148">
        <f ca="1">ROUND(G19*10000/L19,0)</f>
        <v>325419</v>
      </c>
      <c r="H21" s="2436" t="s">
        <v>2143</v>
      </c>
      <c r="I21" s="137"/>
    </row>
    <row r="22" spans="1:35" ht="15" thickBot="1">
      <c r="A22" s="2277" t="s">
        <v>2145</v>
      </c>
      <c r="B22" s="2437"/>
      <c r="C22" s="2438"/>
      <c r="D22" s="790">
        <f ca="1">IF(C19&lt;D19,D19/C19-1,C19/D19-1)</f>
        <v>0.42639659398787244</v>
      </c>
      <c r="E22" s="137"/>
      <c r="F22" s="137"/>
      <c r="G22" s="137"/>
      <c r="H22" s="137"/>
      <c r="I22" s="137"/>
    </row>
    <row r="23" spans="1:35" ht="13.5" thickBot="1">
      <c r="A23" s="2415"/>
      <c r="B23" s="2415"/>
      <c r="C23" s="2415"/>
      <c r="D23" s="2415"/>
      <c r="E23" s="137"/>
      <c r="F23" s="137"/>
      <c r="G23" s="137"/>
      <c r="H23" s="137"/>
      <c r="I23" s="137"/>
    </row>
    <row r="24" spans="1:35" ht="14.25">
      <c r="A24" s="3144" t="s">
        <v>2146</v>
      </c>
      <c r="B24" s="2432" t="s">
        <v>2138</v>
      </c>
      <c r="C24" s="144">
        <f>IF(B30=0,0,D30)</f>
        <v>0</v>
      </c>
      <c r="D24" s="2439"/>
      <c r="E24" s="137"/>
      <c r="F24" s="137"/>
      <c r="G24" s="137"/>
      <c r="H24" s="137"/>
      <c r="I24" s="137"/>
    </row>
    <row r="25" spans="1:35" ht="14.25">
      <c r="A25" s="3145"/>
      <c r="B25" s="1247" t="s">
        <v>2142</v>
      </c>
      <c r="C25" s="149">
        <f>IF(B30=0,0,C30)</f>
        <v>0</v>
      </c>
      <c r="D25" s="2440"/>
      <c r="E25" s="137"/>
      <c r="F25" s="137"/>
      <c r="G25" s="137"/>
      <c r="H25" s="137"/>
      <c r="I25" s="137"/>
    </row>
    <row r="26" spans="1:35" ht="13.5" customHeight="1">
      <c r="A26" s="2441" t="s">
        <v>2147</v>
      </c>
      <c r="B26" s="150" t="s">
        <v>2148</v>
      </c>
      <c r="C26" s="150" t="s">
        <v>2149</v>
      </c>
      <c r="D26" s="151" t="s">
        <v>2150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2151</v>
      </c>
      <c r="B30" s="150"/>
      <c r="C30" s="150"/>
      <c r="D30" s="150"/>
      <c r="E30" s="2924" t="s">
        <v>3024</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2">
        <f ca="1">IF(D32="总价",G19-C24,G20-C25)</f>
        <v>30194</v>
      </c>
      <c r="D32" s="2446" t="s">
        <v>2153</v>
      </c>
      <c r="E32" s="137"/>
      <c r="F32" s="137"/>
      <c r="G32" s="137"/>
      <c r="H32" s="137"/>
      <c r="I32" s="137"/>
    </row>
    <row r="33" spans="1:15" ht="15">
      <c r="A33" s="959" t="s">
        <v>2154</v>
      </c>
      <c r="B33" s="2447"/>
      <c r="C33" s="2448" t="s">
        <v>3122</v>
      </c>
      <c r="D33" s="2449" t="s">
        <v>3121</v>
      </c>
      <c r="E33" s="2450" t="s">
        <v>2155</v>
      </c>
      <c r="F33" s="2451" t="str">
        <f>IF(D32="楼面单价","取值（单价）","取值（总价）")</f>
        <v>取值（总价）</v>
      </c>
      <c r="G33" s="137"/>
      <c r="H33" s="137"/>
      <c r="I33" s="137"/>
    </row>
    <row r="34" spans="1:15" ht="15">
      <c r="A34" s="2452"/>
      <c r="B34" s="2453" t="s">
        <v>2156</v>
      </c>
      <c r="C34" s="156">
        <f ca="1">IF(C33="自定义",F34,C32-C35)</f>
        <v>26782</v>
      </c>
      <c r="D34" s="2959">
        <f ca="1">IF(C33="自定义",ROUND(C34/C32,3),IF(C33="收益比率",SUMIF(INDIRECT("'"&amp;D33&amp;"'"&amp;"!b:b"),"土地收益比率",INDIRECT("'"&amp;D33&amp;"'"&amp;"!c:c")),SUMIF(INDIRECT("'"&amp;D33&amp;"'"&amp;"!b:b"),"土地成本比率",INDIRECT("'"&amp;D33&amp;"'"&amp;"!c:c"))))</f>
        <v>0.88700000000000001</v>
      </c>
      <c r="E34" s="2454" t="s">
        <v>2157</v>
      </c>
      <c r="F34" s="1734"/>
      <c r="G34" s="137"/>
      <c r="H34" s="137"/>
      <c r="I34" s="137"/>
    </row>
    <row r="35" spans="1:15" ht="15.75" thickBot="1">
      <c r="A35" s="2455"/>
      <c r="B35" s="2456" t="s">
        <v>2158</v>
      </c>
      <c r="C35" s="1440">
        <f ca="1">IF(C33="自定义",F35,ROUND(C32*D35,0))</f>
        <v>3412</v>
      </c>
      <c r="D35" s="2960">
        <f ca="1">IF(C33="自定义",ROUND(C35/C32,3),IF(C33="收益比率",SUMIF(INDIRECT("'"&amp;D33&amp;"'"&amp;"!b:b"),"建筑物收益比率",INDIRECT("'"&amp;D33&amp;"'"&amp;"!c:c")),SUMIF(INDIRECT("'"&amp;D33&amp;"'"&amp;"!b:b"),"建筑物成本比率",INDIRECT("'"&amp;D33&amp;"'"&amp;"!c:c"))))</f>
        <v>0.113</v>
      </c>
      <c r="E35" s="2457" t="s">
        <v>2159</v>
      </c>
      <c r="F35" s="162"/>
      <c r="G35" s="137"/>
      <c r="H35" s="137"/>
      <c r="I35" s="137"/>
    </row>
    <row r="36" spans="1:15" ht="15.75" thickBot="1">
      <c r="A36" s="3124" t="s">
        <v>2160</v>
      </c>
      <c r="B36" s="2458" t="s">
        <v>2161</v>
      </c>
      <c r="C36" s="153"/>
      <c r="D36" s="2459"/>
      <c r="E36" s="2460"/>
      <c r="F36" s="2461"/>
      <c r="G36" s="137"/>
      <c r="H36" s="137"/>
      <c r="I36" s="137"/>
    </row>
    <row r="37" spans="1:15" ht="15.75" thickBot="1">
      <c r="A37" s="3125"/>
      <c r="B37" s="2263" t="s">
        <v>2162</v>
      </c>
      <c r="C37" s="155"/>
      <c r="D37" s="1391"/>
      <c r="E37" s="1391"/>
      <c r="F37" s="2461"/>
      <c r="G37" s="137"/>
      <c r="H37" s="137"/>
      <c r="I37" s="137"/>
    </row>
    <row r="38" spans="1:15" ht="15.75" thickBot="1">
      <c r="A38" s="3126"/>
      <c r="B38" s="2462" t="s">
        <v>2163</v>
      </c>
      <c r="C38" s="726"/>
      <c r="D38" s="2463" t="s">
        <v>2164</v>
      </c>
      <c r="E38" s="1391"/>
      <c r="F38" s="2461"/>
      <c r="G38" s="137"/>
      <c r="H38" s="137"/>
      <c r="I38" s="137"/>
    </row>
    <row r="39" spans="1:15" ht="15">
      <c r="A39" s="2434" t="s">
        <v>2165</v>
      </c>
      <c r="B39" s="2464" t="s">
        <v>2166</v>
      </c>
      <c r="C39" s="2465" t="s">
        <v>2167</v>
      </c>
      <c r="D39" s="2465" t="s">
        <v>2168</v>
      </c>
      <c r="E39" s="2466" t="s">
        <v>2169</v>
      </c>
      <c r="F39" s="2461"/>
      <c r="G39" s="137"/>
      <c r="H39" s="137"/>
      <c r="I39" s="137"/>
    </row>
    <row r="40" spans="1:15" ht="14.25">
      <c r="A40" s="2467" t="s">
        <v>2170</v>
      </c>
      <c r="B40" s="157"/>
      <c r="C40" s="158"/>
      <c r="D40" s="158"/>
      <c r="E40" s="159"/>
      <c r="F40" s="2461"/>
      <c r="G40" s="137"/>
      <c r="H40" s="137"/>
      <c r="I40" s="137"/>
    </row>
    <row r="41" spans="1:15" ht="14.25">
      <c r="A41" s="2467" t="s">
        <v>2171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2172</v>
      </c>
      <c r="B44" s="2472"/>
      <c r="C44" s="2472"/>
      <c r="D44" s="2473"/>
      <c r="E44" s="2473"/>
      <c r="F44" s="2474"/>
      <c r="G44" s="2474"/>
      <c r="H44" s="2474"/>
      <c r="I44" s="2474"/>
      <c r="J44" s="2475" t="s">
        <v>2173</v>
      </c>
      <c r="K44" s="2476"/>
      <c r="L44" s="2476"/>
      <c r="M44" s="2476"/>
      <c r="N44" s="2476"/>
      <c r="O44" s="2476"/>
    </row>
    <row r="45" spans="1:15" ht="14.25" customHeight="1" thickBot="1">
      <c r="A45" s="3141" t="s">
        <v>2174</v>
      </c>
      <c r="B45" s="3142"/>
      <c r="C45" s="3143"/>
      <c r="D45" s="163">
        <f ca="1">ROUND(H101*F45,0)</f>
        <v>30194</v>
      </c>
      <c r="E45" s="164" t="s">
        <v>2175</v>
      </c>
      <c r="F45" s="165">
        <v>1</v>
      </c>
      <c r="G45" s="166" t="s">
        <v>2176</v>
      </c>
      <c r="H45" s="137"/>
      <c r="I45" s="137"/>
      <c r="J45" s="3060" t="s">
        <v>2177</v>
      </c>
      <c r="K45" s="3060"/>
      <c r="L45" s="3060"/>
      <c r="M45" s="3060"/>
      <c r="N45" s="3060"/>
      <c r="O45" s="3060"/>
    </row>
    <row r="46" spans="1:15" ht="14.25" customHeight="1">
      <c r="A46" s="3138" t="s">
        <v>2178</v>
      </c>
      <c r="B46" s="3139"/>
      <c r="C46" s="3139"/>
      <c r="D46" s="3139"/>
      <c r="E46" s="3139"/>
      <c r="F46" s="3139"/>
      <c r="G46" s="3140"/>
      <c r="H46" s="2477"/>
      <c r="I46" s="167"/>
      <c r="J46" s="1807">
        <v>1</v>
      </c>
      <c r="K46" s="3060" t="s">
        <v>2179</v>
      </c>
      <c r="L46" s="3060"/>
      <c r="M46" s="3061"/>
      <c r="N46" s="3061"/>
      <c r="O46" s="3061"/>
    </row>
    <row r="47" spans="1:15" ht="12" customHeight="1">
      <c r="A47" s="168" t="s">
        <v>2180</v>
      </c>
      <c r="B47" s="169"/>
      <c r="C47" s="170"/>
      <c r="D47" s="171" t="s">
        <v>2181</v>
      </c>
      <c r="E47" s="23" t="s">
        <v>2182</v>
      </c>
      <c r="F47" s="172" t="s">
        <v>2183</v>
      </c>
      <c r="G47" s="173" t="s">
        <v>2184</v>
      </c>
      <c r="H47" s="2477"/>
      <c r="I47" s="167"/>
      <c r="J47" s="1807">
        <v>2</v>
      </c>
      <c r="K47" s="3060" t="s">
        <v>2185</v>
      </c>
      <c r="L47" s="3060"/>
      <c r="M47" s="3062">
        <f>'数据-取费表'!B2</f>
        <v>43452</v>
      </c>
      <c r="N47" s="3062"/>
      <c r="O47" s="3062"/>
    </row>
    <row r="48" spans="1:15" ht="25.5">
      <c r="A48" s="3128" t="s">
        <v>2186</v>
      </c>
      <c r="B48" s="3129"/>
      <c r="C48" s="3129"/>
      <c r="D48" s="139">
        <f>IF(H48="情况1",0,IF(H48="情况2",D52,IF(H48="情况3",D53,IF(H48="情况4",D54))))</f>
        <v>0</v>
      </c>
      <c r="E48" s="1796" t="str">
        <f>IF(H48="情况4","(销售额-原购置价)×税（费）率","销售额×税（费）率")</f>
        <v>销售额×税（费）率</v>
      </c>
      <c r="F48" s="174" t="str">
        <f>IF(H48="情况1","免征",'数据-取费表'!B41)</f>
        <v>免征</v>
      </c>
      <c r="G48" s="2478" t="s">
        <v>2187</v>
      </c>
      <c r="H48" s="2479" t="s">
        <v>2188</v>
      </c>
      <c r="I48" s="2477"/>
      <c r="J48" s="1807">
        <v>3</v>
      </c>
      <c r="K48" s="3060" t="s">
        <v>2189</v>
      </c>
      <c r="L48" s="3060"/>
      <c r="M48" s="3063">
        <f ca="1">H101</f>
        <v>30194</v>
      </c>
      <c r="N48" s="3063"/>
      <c r="O48" s="3063"/>
    </row>
    <row r="49" spans="1:35" ht="25.5" customHeight="1">
      <c r="A49" s="175" t="s">
        <v>2190</v>
      </c>
      <c r="B49" s="3108" t="s">
        <v>2191</v>
      </c>
      <c r="C49" s="3108"/>
      <c r="D49" s="176">
        <v>0</v>
      </c>
      <c r="E49" s="22" t="s">
        <v>2192</v>
      </c>
      <c r="F49" s="27" t="s">
        <v>34</v>
      </c>
      <c r="G49" s="3089"/>
      <c r="H49" s="137"/>
      <c r="I49" s="2480"/>
      <c r="J49" s="1807">
        <v>4</v>
      </c>
      <c r="K49" s="3060" t="str">
        <f>IF(项目基本情况!E8="房地产抵押价值","房地产抵押价值","抵押担保权已注销时的房地产抵押价值")</f>
        <v>房地产抵押价值</v>
      </c>
      <c r="L49" s="3060"/>
      <c r="M49" s="3063">
        <f ca="1">IF(项目基本情况!E8="房地产抵押价值",H107,H109)</f>
        <v>30194</v>
      </c>
      <c r="N49" s="3063"/>
      <c r="O49" s="3063"/>
    </row>
    <row r="50" spans="1:35" ht="25.5" customHeight="1">
      <c r="A50" s="177"/>
      <c r="B50" s="3108" t="s">
        <v>2193</v>
      </c>
      <c r="C50" s="3108"/>
      <c r="D50" s="178"/>
      <c r="E50" s="30"/>
      <c r="F50" s="179"/>
      <c r="G50" s="3090"/>
      <c r="H50" s="137"/>
      <c r="I50" s="2480"/>
      <c r="J50" s="3060" t="s">
        <v>2194</v>
      </c>
      <c r="K50" s="3060"/>
      <c r="L50" s="3060"/>
      <c r="M50" s="3060"/>
      <c r="N50" s="3060"/>
      <c r="O50" s="3060"/>
    </row>
    <row r="51" spans="1:35" ht="12" customHeight="1">
      <c r="A51" s="180"/>
      <c r="B51" s="3108" t="s">
        <v>2195</v>
      </c>
      <c r="C51" s="3108"/>
      <c r="D51" s="181"/>
      <c r="E51" s="29"/>
      <c r="F51" s="179"/>
      <c r="G51" s="3091"/>
      <c r="H51" s="137"/>
      <c r="I51" s="2480"/>
      <c r="J51" s="2481" t="s">
        <v>2196</v>
      </c>
      <c r="K51" s="3060" t="s">
        <v>2197</v>
      </c>
      <c r="L51" s="3060"/>
      <c r="M51" s="2481" t="s">
        <v>2198</v>
      </c>
      <c r="N51" s="2481" t="s">
        <v>2199</v>
      </c>
      <c r="O51" s="2481" t="s">
        <v>2200</v>
      </c>
    </row>
    <row r="52" spans="1:35" ht="24" customHeight="1">
      <c r="A52" s="182" t="s">
        <v>2201</v>
      </c>
      <c r="B52" s="3108" t="s">
        <v>2202</v>
      </c>
      <c r="C52" s="3108"/>
      <c r="D52" s="181">
        <f ca="1">ROUND(D45*'数据-取费表'!B41/(1+'数据-取费表'!C42),0)</f>
        <v>1610</v>
      </c>
      <c r="E52" s="11" t="s">
        <v>2203</v>
      </c>
      <c r="F52" s="183">
        <f>'数据-取费表'!B41</f>
        <v>5.6000000000000001E-2</v>
      </c>
      <c r="G52" s="2482"/>
      <c r="H52" s="137"/>
      <c r="I52" s="2480"/>
      <c r="J52" s="1807">
        <v>1</v>
      </c>
      <c r="K52" s="3083" t="s">
        <v>2204</v>
      </c>
      <c r="L52" s="3083"/>
      <c r="M52" s="1749">
        <f>D48</f>
        <v>0</v>
      </c>
      <c r="N52" s="1807" t="str">
        <f>E48</f>
        <v>销售额×税（费）率</v>
      </c>
      <c r="O52" s="1750" t="str">
        <f>F48</f>
        <v>免征</v>
      </c>
    </row>
    <row r="53" spans="1:35" ht="12" customHeight="1">
      <c r="A53" s="182" t="s">
        <v>2205</v>
      </c>
      <c r="B53" s="3109" t="s">
        <v>2206</v>
      </c>
      <c r="C53" s="3110"/>
      <c r="D53" s="181">
        <f ca="1">ROUND(D45*'数据-取费表'!B41/(1+'数据-取费表'!C42),0)</f>
        <v>1610</v>
      </c>
      <c r="E53" s="11" t="s">
        <v>2203</v>
      </c>
      <c r="F53" s="183">
        <f>'数据-取费表'!B41</f>
        <v>5.6000000000000001E-2</v>
      </c>
      <c r="G53" s="2482"/>
      <c r="H53" s="137"/>
      <c r="I53" s="2480"/>
      <c r="J53" s="1807">
        <v>2</v>
      </c>
      <c r="K53" s="3083" t="s">
        <v>2207</v>
      </c>
      <c r="L53" s="3083"/>
      <c r="M53" s="1749">
        <f t="shared" ref="M53:O54" ca="1" si="0">D55</f>
        <v>15</v>
      </c>
      <c r="N53" s="1807" t="str">
        <f t="shared" si="0"/>
        <v>销售额×税（费）率</v>
      </c>
      <c r="O53" s="1750">
        <f t="shared" si="0"/>
        <v>5.0000000000000001E-4</v>
      </c>
    </row>
    <row r="54" spans="1:35" ht="12" customHeight="1">
      <c r="A54" s="182" t="s">
        <v>2208</v>
      </c>
      <c r="B54" s="3109" t="s">
        <v>2209</v>
      </c>
      <c r="C54" s="3110"/>
      <c r="D54" s="181">
        <f ca="1">C68</f>
        <v>1610</v>
      </c>
      <c r="E54" s="29" t="s">
        <v>2210</v>
      </c>
      <c r="F54" s="183">
        <f>'数据-取费表'!B41</f>
        <v>5.6000000000000001E-2</v>
      </c>
      <c r="G54" s="2482"/>
      <c r="H54" s="2483"/>
      <c r="I54" s="2480"/>
      <c r="J54" s="1807">
        <v>3</v>
      </c>
      <c r="K54" s="3083" t="s">
        <v>2211</v>
      </c>
      <c r="L54" s="3083"/>
      <c r="M54" s="1749">
        <f t="shared" ca="1" si="0"/>
        <v>17089</v>
      </c>
      <c r="N54" s="1807" t="str">
        <f t="shared" si="0"/>
        <v>增值额×税（费）率</v>
      </c>
      <c r="O54" s="1751" t="str">
        <f t="shared" si="0"/>
        <v>——</v>
      </c>
    </row>
    <row r="55" spans="1:35" ht="24" customHeight="1">
      <c r="A55" s="3147" t="s">
        <v>2212</v>
      </c>
      <c r="B55" s="3129"/>
      <c r="C55" s="3129"/>
      <c r="D55" s="184">
        <f ca="1">IF(H55="个人住宅",0,ROUND(D45*I55,0))</f>
        <v>15</v>
      </c>
      <c r="E55" s="11" t="s">
        <v>2213</v>
      </c>
      <c r="F55" s="183">
        <f>IF(H55="正常",I55,"免征")</f>
        <v>5.0000000000000001E-4</v>
      </c>
      <c r="G55" s="2482"/>
      <c r="H55" s="2479" t="s">
        <v>2214</v>
      </c>
      <c r="I55" s="185">
        <f>'数据-取费表'!B49</f>
        <v>5.0000000000000001E-4</v>
      </c>
      <c r="J55" s="1807" t="str">
        <f>IF(H59="非个人房产","",4)</f>
        <v/>
      </c>
      <c r="K55" s="3083" t="str">
        <f>IF(H59="非个人房产","——","个人所得税")</f>
        <v>——</v>
      </c>
      <c r="L55" s="3083"/>
      <c r="M55" s="1752" t="str">
        <f>D59</f>
        <v>——</v>
      </c>
      <c r="N55" s="1805" t="str">
        <f>E59</f>
        <v>——</v>
      </c>
      <c r="O55" s="1753" t="str">
        <f>F59</f>
        <v>——</v>
      </c>
    </row>
    <row r="56" spans="1:35" ht="24.75">
      <c r="A56" s="3147" t="s">
        <v>2215</v>
      </c>
      <c r="B56" s="3129"/>
      <c r="C56" s="3129"/>
      <c r="D56" s="184">
        <f ca="1">IF(H56="个人住宅",D57,D58)</f>
        <v>17089</v>
      </c>
      <c r="E56" s="11" t="s">
        <v>2216</v>
      </c>
      <c r="F56" s="183" t="str">
        <f>IF(H56="正常",F58,"免征")</f>
        <v>——</v>
      </c>
      <c r="G56" s="2484" t="s">
        <v>2217</v>
      </c>
      <c r="H56" s="2485" t="s">
        <v>2214</v>
      </c>
      <c r="I56" s="2486"/>
      <c r="J56" s="1807" t="str">
        <f>IF(项目基本情况!K6="上海银行",IF(J55="",4,J55+1),"")</f>
        <v/>
      </c>
      <c r="K56" s="3066" t="str">
        <f>IF(项目基本情况!K6="上海银行","其他处置费用","")</f>
        <v/>
      </c>
      <c r="L56" s="3067"/>
      <c r="M56" s="1749" t="str">
        <f>IF(项目基本情况!K6="上海银行",M69,"")</f>
        <v/>
      </c>
      <c r="N56" s="3069" t="str">
        <f>IF(项目基本情况!K6="上海银行","包含处置中涉及的律师、诉讼、拍卖、评估等费用","")</f>
        <v/>
      </c>
      <c r="O56" s="3070"/>
    </row>
    <row r="57" spans="1:35" ht="12.75">
      <c r="A57" s="182" t="s">
        <v>2190</v>
      </c>
      <c r="B57" s="3114" t="s">
        <v>2218</v>
      </c>
      <c r="C57" s="3115"/>
      <c r="D57" s="186">
        <v>0</v>
      </c>
      <c r="E57" s="22" t="s">
        <v>2192</v>
      </c>
      <c r="F57" s="154"/>
      <c r="G57" s="2482"/>
      <c r="H57" s="2486"/>
      <c r="I57" s="2486"/>
      <c r="J57" s="3083">
        <f>IF(AND(J55="",J56=""),4,IF(项目基本情况!K6="上海银行",结果表!J56+1,结果表!J55+1))</f>
        <v>4</v>
      </c>
      <c r="K57" s="3083" t="s">
        <v>2219</v>
      </c>
      <c r="L57" s="2487" t="s">
        <v>2220</v>
      </c>
      <c r="M57" s="1754"/>
      <c r="N57" s="1755">
        <f ca="1">SUMIF(M52:M56,"&lt;9e307")</f>
        <v>17104</v>
      </c>
      <c r="O57" s="2488"/>
      <c r="P57" s="1748">
        <f ca="1">N57/M49</f>
        <v>0.56647015963436442</v>
      </c>
    </row>
    <row r="58" spans="1:35" ht="24.75">
      <c r="A58" s="182" t="s">
        <v>2201</v>
      </c>
      <c r="B58" s="3114" t="s">
        <v>2221</v>
      </c>
      <c r="C58" s="3127"/>
      <c r="D58" s="184">
        <f ca="1">IF(H58="转让取得",C81,C97)</f>
        <v>17089</v>
      </c>
      <c r="E58" s="11" t="s">
        <v>2216</v>
      </c>
      <c r="F58" s="23" t="s">
        <v>34</v>
      </c>
      <c r="G58" s="2482"/>
      <c r="H58" s="2485" t="s">
        <v>2222</v>
      </c>
      <c r="I58" s="2486"/>
      <c r="J58" s="3083"/>
      <c r="K58" s="3083"/>
      <c r="L58" s="2487" t="s">
        <v>2223</v>
      </c>
      <c r="M58" s="1756"/>
      <c r="N58" s="2489" t="str">
        <f ca="1">NUMBERSTRING(INT(N57*10000),2)&amp;"元整"</f>
        <v>壹亿柒仟壹佰零肆万元整</v>
      </c>
      <c r="O58" s="2490"/>
    </row>
    <row r="59" spans="1:35" ht="24.75" thickBot="1">
      <c r="A59" s="3087" t="s">
        <v>2224</v>
      </c>
      <c r="B59" s="3088"/>
      <c r="C59" s="3088"/>
      <c r="D59" s="187" t="str">
        <f>IF(H59="非个人房产","——",IF(H59="个人住宅",0,ROUND(D45*I59,0)))</f>
        <v>——</v>
      </c>
      <c r="E59" s="188" t="str">
        <f>IF(H59="非个人房产","——","销售额×税（费）率")</f>
        <v>——</v>
      </c>
      <c r="F59" s="189" t="str">
        <f>IF(H59="非个人房产","——",IF(H59="个人住宅","免征",I59))</f>
        <v>——</v>
      </c>
      <c r="G59" s="2491" t="s">
        <v>2217</v>
      </c>
      <c r="H59" s="2485" t="s">
        <v>2225</v>
      </c>
      <c r="I59" s="190">
        <v>0.01</v>
      </c>
      <c r="J59" s="3085">
        <f>J57+1</f>
        <v>5</v>
      </c>
      <c r="K59" s="3083" t="s">
        <v>2226</v>
      </c>
      <c r="L59" s="1807" t="s">
        <v>2220</v>
      </c>
      <c r="M59" s="1757"/>
      <c r="N59" s="1758">
        <f ca="1">M49-N57</f>
        <v>13090</v>
      </c>
      <c r="O59" s="2492"/>
    </row>
    <row r="60" spans="1:35" ht="12" customHeight="1">
      <c r="A60" s="2493"/>
      <c r="B60" s="2415"/>
      <c r="C60" s="2415"/>
      <c r="D60" s="2415"/>
      <c r="E60" s="2162"/>
      <c r="F60" s="2486"/>
      <c r="G60" s="2486"/>
      <c r="H60" s="2494"/>
      <c r="I60" s="137"/>
      <c r="J60" s="3086"/>
      <c r="K60" s="3083"/>
      <c r="L60" s="2487" t="s">
        <v>2223</v>
      </c>
      <c r="M60" s="1756"/>
      <c r="N60" s="2489" t="str">
        <f ca="1">NUMBERSTRING(INT(N59*10000),2)&amp;"元整"</f>
        <v>壹亿叁仟零玖拾万元整</v>
      </c>
      <c r="O60" s="2490"/>
    </row>
    <row r="61" spans="1:35" ht="13.5" thickBot="1">
      <c r="A61" s="3146" t="s">
        <v>2227</v>
      </c>
      <c r="B61" s="3146"/>
      <c r="C61" s="3146"/>
      <c r="D61" s="3146"/>
      <c r="E61" s="3146"/>
      <c r="F61" s="2486"/>
      <c r="G61" s="2486"/>
      <c r="H61" s="2494"/>
      <c r="I61" s="137"/>
      <c r="J61" s="1807">
        <f>J59+1</f>
        <v>6</v>
      </c>
      <c r="K61" s="3083" t="s">
        <v>2228</v>
      </c>
      <c r="L61" s="3083"/>
      <c r="M61" s="1759"/>
      <c r="N61" s="1760">
        <f ca="1">ROUND(N59*10000/'数据-汇总表'!E3,0)</f>
        <v>15816</v>
      </c>
      <c r="O61" s="2495"/>
    </row>
    <row r="62" spans="1:35" ht="12.75">
      <c r="A62" s="3103" t="s">
        <v>2229</v>
      </c>
      <c r="B62" s="3104"/>
      <c r="C62" s="1799"/>
      <c r="D62" s="1799" t="s">
        <v>2230</v>
      </c>
      <c r="E62" s="191" t="s">
        <v>2231</v>
      </c>
      <c r="F62" s="2486"/>
      <c r="G62" s="2486"/>
      <c r="H62" s="2494"/>
      <c r="I62" s="137"/>
    </row>
    <row r="63" spans="1:35" ht="12.75">
      <c r="A63" s="202" t="s">
        <v>775</v>
      </c>
      <c r="B63" s="192" t="s">
        <v>2232</v>
      </c>
      <c r="C63" s="193">
        <f ca="1">ROUND((C64+C65)/(1+'数据-取费表'!C42),0)</f>
        <v>28756</v>
      </c>
      <c r="D63" s="194"/>
      <c r="E63" s="195"/>
      <c r="F63" s="2486"/>
      <c r="G63" s="2486"/>
      <c r="H63" s="2494"/>
      <c r="I63" s="137"/>
      <c r="J63" s="3068" t="s">
        <v>2233</v>
      </c>
      <c r="K63" s="2496" t="s">
        <v>2234</v>
      </c>
      <c r="L63" s="1747">
        <f ca="1">IF(M49&gt;10000,M49*0.5%,IF(AND(M49&gt;1000,M49&lt;=10000),M49*1%,IF(AND(M49&gt;100,M49&lt;=1000),M49*3%,IF(AND(M49&gt;10,M49&lt;=100),M49*5%,M49*8%))))</f>
        <v>150.97</v>
      </c>
      <c r="M63" s="23">
        <f ca="1">ROUND(L63,1)</f>
        <v>151</v>
      </c>
      <c r="Z63" s="2420"/>
      <c r="AI63" s="2421"/>
    </row>
    <row r="64" spans="1:35" ht="14.25" customHeight="1">
      <c r="A64" s="196" t="s">
        <v>770</v>
      </c>
      <c r="B64" s="197" t="s">
        <v>2235</v>
      </c>
      <c r="C64" s="198">
        <f ca="1">D45</f>
        <v>30194</v>
      </c>
      <c r="D64" s="199" t="s">
        <v>32</v>
      </c>
      <c r="E64" s="200"/>
      <c r="F64" s="2486"/>
      <c r="G64" s="2486"/>
      <c r="H64" s="2494"/>
      <c r="I64" s="137"/>
      <c r="J64" s="3068"/>
      <c r="K64" s="2496" t="s">
        <v>2236</v>
      </c>
      <c r="L64" s="1747">
        <f ca="1">IF(M49&gt;2000,M49*0.5%,IF(AND(M49&gt;1000,M49&lt;=2000),M49*0.6%,IF(AND(M49&gt;500,M49&lt;=1000),M49*0.7%,IF(AND(M49&gt;200,M49&lt;=500),M49*0.8%,IF(AND(M49&gt;100,M49&lt;=200),M49*0.9%,IF(AND(M49&gt;50,M49&lt;=100),M49*1%,IF(AND(M49&gt;20,M49&lt;=50),M49*1.5%,IF(AND(M49&gt;10,M49&lt;=20),M49*2%,IF(AND(M49&gt;1,M49&lt;=10),M49*2.5%)))))))))</f>
        <v>150.97</v>
      </c>
      <c r="M64" s="23">
        <f t="shared" ref="M64:M65" ca="1" si="1">ROUND(L64,1)</f>
        <v>151</v>
      </c>
      <c r="N64" s="137" t="s">
        <v>2237</v>
      </c>
      <c r="Z64" s="2420"/>
      <c r="AI64" s="2421"/>
    </row>
    <row r="65" spans="1:35" ht="14.25" customHeight="1">
      <c r="A65" s="196" t="s">
        <v>771</v>
      </c>
      <c r="B65" s="197" t="s">
        <v>2238</v>
      </c>
      <c r="C65" s="201"/>
      <c r="D65" s="199"/>
      <c r="E65" s="200"/>
      <c r="F65" s="2486"/>
      <c r="G65" s="2486"/>
      <c r="H65" s="2494"/>
      <c r="I65" s="137"/>
      <c r="J65" s="3068"/>
      <c r="K65" s="2496" t="s">
        <v>2239</v>
      </c>
      <c r="L65" s="1747">
        <f ca="1">IF(M49&gt;1000,M49*0.1%,IF(AND(M49&gt;500,M49&lt;=1000),M49*0.5%,IF(AND(M49&gt;50,M49&lt;=500),M49*1%,IF(AND(M49&gt;1,M49&lt;=50),M49*1.5%))))</f>
        <v>30.193999999999999</v>
      </c>
      <c r="M65" s="23">
        <f t="shared" ca="1" si="1"/>
        <v>30.2</v>
      </c>
      <c r="N65" s="137" t="s">
        <v>2237</v>
      </c>
      <c r="Z65" s="2420"/>
      <c r="AI65" s="2421"/>
    </row>
    <row r="66" spans="1:35" ht="14.25" customHeight="1">
      <c r="A66" s="202" t="s">
        <v>772</v>
      </c>
      <c r="B66" s="203" t="s">
        <v>2240</v>
      </c>
      <c r="C66" s="204"/>
      <c r="D66" s="205" t="s">
        <v>32</v>
      </c>
      <c r="E66" s="1771" t="s">
        <v>1371</v>
      </c>
      <c r="F66" s="2486"/>
      <c r="G66" s="2486"/>
      <c r="H66" s="2494"/>
      <c r="I66" s="137"/>
      <c r="J66" s="3068"/>
      <c r="K66" s="2496" t="s">
        <v>2241</v>
      </c>
      <c r="L66" s="1747">
        <f ca="1">M49*0.5%</f>
        <v>150.97</v>
      </c>
      <c r="M66" s="23">
        <f ca="1">IF(L66&gt;0.5,0.5,ROUND(L66,0))</f>
        <v>0.5</v>
      </c>
      <c r="N66" s="137" t="s">
        <v>2242</v>
      </c>
      <c r="Z66" s="2420"/>
      <c r="AI66" s="2421"/>
    </row>
    <row r="67" spans="1:35" ht="14.25" customHeight="1">
      <c r="A67" s="202" t="s">
        <v>773</v>
      </c>
      <c r="B67" s="203" t="s">
        <v>2243</v>
      </c>
      <c r="C67" s="206">
        <f ca="1">C63-C66</f>
        <v>28756</v>
      </c>
      <c r="D67" s="199" t="s">
        <v>32</v>
      </c>
      <c r="E67" s="200"/>
      <c r="F67" s="2486"/>
      <c r="G67" s="2486"/>
      <c r="H67" s="2494"/>
      <c r="I67" s="137"/>
      <c r="J67" s="3068"/>
      <c r="K67" s="2496" t="s">
        <v>2244</v>
      </c>
      <c r="L67" s="1747">
        <f ca="1">IF(M49&gt;=10000,(8.25+(M49-10000)*0.01%),IF(AND(M49&gt;=8000,M49&lt;10000),(7.85+(M49-8000)*0.02%),IF(AND(M49&gt;=5000,M49&lt;8000),(6.65+(M49-5000)*0.04%),IF(AND(M49&gt;=2000,M49&lt;5000),(4.25+(PM49-2000)*0.08%),IF(AND(M49&gt;=1000,M49&lt;2000),(2.75+(M49-1000)*0.15%),IF(AND(M49&gt;=100,M49&lt;1000),(0.5+(M49-100)*0.25%),IF(AND(M49&gt;0,M49&lt;100),M49*0.5%)))))))</f>
        <v>10.269400000000001</v>
      </c>
      <c r="M67" s="23">
        <f ca="1">ROUND(L67*0.9,1)</f>
        <v>9.1999999999999993</v>
      </c>
      <c r="Z67" s="2420"/>
      <c r="AI67" s="2421"/>
    </row>
    <row r="68" spans="1:35" ht="14.25" customHeight="1" thickBot="1">
      <c r="A68" s="207" t="s">
        <v>774</v>
      </c>
      <c r="B68" s="208" t="s">
        <v>2245</v>
      </c>
      <c r="C68" s="209">
        <f ca="1">IF(C67&lt;=0,0,ROUND(C67*D68,0))</f>
        <v>1610</v>
      </c>
      <c r="D68" s="210">
        <f>'数据-取费表'!B41</f>
        <v>5.6000000000000001E-2</v>
      </c>
      <c r="E68" s="211"/>
      <c r="F68" s="2486"/>
      <c r="G68" s="2486"/>
      <c r="H68" s="2494"/>
      <c r="I68" s="137"/>
      <c r="J68" s="3068"/>
      <c r="K68" s="2496" t="s">
        <v>2246</v>
      </c>
      <c r="L68" s="1747">
        <f ca="1">IF(M49&gt;10000,M49*0.5%,IF(AND(M49&gt;5000,M49&lt;=10000),M49*1%,IF(AND(M49&gt;1000,M49&lt;=5000),M49*2%,IF(AND(M49&gt;200,M49&lt;=1000),M49*3%,M49*5%))))</f>
        <v>150.97</v>
      </c>
      <c r="M68" s="23">
        <f ca="1">ROUND(L68,1)</f>
        <v>151</v>
      </c>
      <c r="Z68" s="2420"/>
      <c r="AI68" s="2421"/>
    </row>
    <row r="69" spans="1:35" s="2443" customFormat="1" ht="16.5" customHeight="1">
      <c r="A69" s="2497"/>
      <c r="B69" s="2498"/>
      <c r="C69" s="2499"/>
      <c r="D69" s="2500"/>
      <c r="E69" s="2501"/>
      <c r="F69" s="2162"/>
      <c r="G69" s="2162"/>
      <c r="H69" s="2161"/>
      <c r="I69" s="2415"/>
      <c r="J69" s="3068"/>
      <c r="K69" s="2496" t="s">
        <v>2247</v>
      </c>
      <c r="L69" s="2502"/>
      <c r="M69" s="23">
        <f ca="1">ROUND(SUM(M63:M68),0)</f>
        <v>493</v>
      </c>
      <c r="N69" s="1748">
        <f ca="1">M69/M49</f>
        <v>1.6327747234549911E-2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2" t="s">
        <v>2248</v>
      </c>
      <c r="B70" s="3113"/>
      <c r="C70" s="3113"/>
      <c r="D70" s="3113"/>
      <c r="E70" s="3113"/>
      <c r="F70" s="3113"/>
      <c r="G70" s="3113"/>
      <c r="H70" s="311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3" t="s">
        <v>2229</v>
      </c>
      <c r="B71" s="3104"/>
      <c r="C71" s="1799"/>
      <c r="D71" s="1799" t="s">
        <v>2230</v>
      </c>
      <c r="E71" s="212" t="s">
        <v>2231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2249</v>
      </c>
      <c r="C72" s="206">
        <f ca="1">ROUND(D45/(1+'数据-取费表'!C42),0)</f>
        <v>28756</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2250</v>
      </c>
      <c r="C73" s="206">
        <f ca="1">C74+C78</f>
        <v>173</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2251</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2252</v>
      </c>
      <c r="C75" s="217"/>
      <c r="D75" s="199" t="s">
        <v>32</v>
      </c>
      <c r="E75" s="218" t="s">
        <v>2253</v>
      </c>
      <c r="F75" s="2508" t="s">
        <v>2254</v>
      </c>
      <c r="G75" s="218" t="s">
        <v>2255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2256</v>
      </c>
      <c r="C76" s="199">
        <f>IF(F75="购房发票",ROUND(C75*H75*D76,0),0)</f>
        <v>0</v>
      </c>
      <c r="D76" s="221">
        <v>0.05</v>
      </c>
      <c r="E76" s="3109" t="s">
        <v>2257</v>
      </c>
      <c r="F76" s="3108"/>
      <c r="G76" s="3108"/>
      <c r="H76" s="311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2261</v>
      </c>
      <c r="C78" s="224">
        <f ca="1">ROUND(D45*D78/(1+'数据-取费表'!C42),0)</f>
        <v>173</v>
      </c>
      <c r="D78" s="225">
        <f>'数据-取费表'!B43</f>
        <v>6.000000000000001E-3</v>
      </c>
      <c r="E78" s="3100" t="s">
        <v>2262</v>
      </c>
      <c r="F78" s="3101"/>
      <c r="G78" s="3101"/>
      <c r="H78" s="310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2263</v>
      </c>
      <c r="C79" s="206">
        <f ca="1">C72-C73</f>
        <v>28583</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2264</v>
      </c>
      <c r="C80" s="226">
        <f ca="1">IF(C79&lt;=0,0,C79/C73)</f>
        <v>165.21965317919074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2265</v>
      </c>
      <c r="C81" s="227">
        <f ca="1">ROUND(IF(C79&lt;=0,0,IF(C80&gt;=200%,C79*60%-C73*35%,IF(C80&gt;=100%,C79*50%-C73*15%,IF(C80&gt;=50%,C79*40%-C73*5%,IF(C80&lt;50%,C79*30%,0))))),0)</f>
        <v>17089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2" t="s">
        <v>2266</v>
      </c>
      <c r="B83" s="3113"/>
      <c r="C83" s="3113"/>
      <c r="D83" s="3113"/>
      <c r="E83" s="3113"/>
      <c r="F83" s="3113"/>
      <c r="G83" s="3113"/>
      <c r="H83" s="311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3" t="s">
        <v>2229</v>
      </c>
      <c r="B84" s="3104"/>
      <c r="C84" s="1799"/>
      <c r="D84" s="1799" t="s">
        <v>2230</v>
      </c>
      <c r="E84" s="212" t="s">
        <v>2231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2249</v>
      </c>
      <c r="C85" s="206">
        <f ca="1">ROUND(D45/(1+'数据-取费表'!C42),0)</f>
        <v>28756</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2250</v>
      </c>
      <c r="C86" s="206">
        <f ca="1">IF(H88="仅含出让金",C87+C90+C91+C92+C93+C94,C87+C91+C92+C93+C94)</f>
        <v>173</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2267</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2268</v>
      </c>
      <c r="C88" s="235"/>
      <c r="D88" s="225"/>
      <c r="E88" s="236" t="s">
        <v>2269</v>
      </c>
      <c r="F88" s="1795"/>
      <c r="G88" s="237"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2258</v>
      </c>
      <c r="C89" s="224">
        <f>ROUND(C88*D89,0)</f>
        <v>0</v>
      </c>
      <c r="D89" s="225">
        <f>'数据-取费表'!B48+'数据-取费表'!B49</f>
        <v>3.0499999999999999E-2</v>
      </c>
      <c r="E89" s="236"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2272</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2273</v>
      </c>
      <c r="B91" s="197" t="s">
        <v>2274</v>
      </c>
      <c r="C91" s="224">
        <f>IF(H91="——",成本法!C33,I91)</f>
        <v>0</v>
      </c>
      <c r="D91" s="225"/>
      <c r="E91" s="3100" t="s">
        <v>2275</v>
      </c>
      <c r="F91" s="3101"/>
      <c r="G91" s="3101"/>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2277</v>
      </c>
      <c r="B92" s="197" t="s">
        <v>2278</v>
      </c>
      <c r="C92" s="224">
        <f>ROUND((C87+C90+C91)*D92,0)</f>
        <v>0</v>
      </c>
      <c r="D92" s="225">
        <v>0.1</v>
      </c>
      <c r="E92" s="3100" t="s">
        <v>2279</v>
      </c>
      <c r="F92" s="3101"/>
      <c r="G92" s="3101"/>
      <c r="H92" s="310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2280</v>
      </c>
      <c r="B93" s="197" t="s">
        <v>2261</v>
      </c>
      <c r="C93" s="224">
        <f ca="1">ROUND(D45*D93/(1+'数据-取费表'!C42),0)</f>
        <v>173</v>
      </c>
      <c r="D93" s="225">
        <f>'数据-取费表'!B43</f>
        <v>6.000000000000001E-3</v>
      </c>
      <c r="E93" s="3100" t="s">
        <v>2262</v>
      </c>
      <c r="F93" s="3101"/>
      <c r="G93" s="3101"/>
      <c r="H93" s="310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2281</v>
      </c>
      <c r="B94" s="197" t="s">
        <v>2282</v>
      </c>
      <c r="C94" s="235">
        <f>ROUND((C87+C90+C91)*D94,0)</f>
        <v>0</v>
      </c>
      <c r="D94" s="225">
        <v>0.2</v>
      </c>
      <c r="E94" s="3148" t="s">
        <v>2283</v>
      </c>
      <c r="F94" s="3149"/>
      <c r="G94" s="3149"/>
      <c r="H94" s="315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2263</v>
      </c>
      <c r="C95" s="206">
        <f ca="1">ROUND(C85-C86,0)</f>
        <v>28583</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2264</v>
      </c>
      <c r="C96" s="226">
        <f ca="1">IF(C95&lt;=0,0,C95/C86)</f>
        <v>165.21965317919074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2265</v>
      </c>
      <c r="C97" s="227">
        <f ca="1">ROUND(IF(C95&lt;=0,0,IF(C96&gt;=200%,C95*60%-C86*35%,IF(C96&gt;=100%,C95*50%-C86*15%,IF(C96&gt;=50%,C95*40%-C86*5%,IF(C96&lt;50%,C95*30%,0))))),0)</f>
        <v>17089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2284</v>
      </c>
      <c r="B99" s="2415"/>
      <c r="C99" s="2415"/>
      <c r="D99" s="2415"/>
      <c r="E99" s="2162"/>
      <c r="F99" s="2162"/>
      <c r="G99" s="2162"/>
      <c r="H99" s="2161"/>
      <c r="I99" s="137"/>
    </row>
    <row r="100" spans="1:35" ht="18.75" customHeight="1">
      <c r="A100" s="3052" t="s">
        <v>2285</v>
      </c>
      <c r="B100" s="3053"/>
      <c r="C100" s="3053"/>
      <c r="D100" s="3084"/>
      <c r="E100" s="3053" t="s">
        <v>2286</v>
      </c>
      <c r="F100" s="3053"/>
      <c r="G100" s="3053"/>
      <c r="H100" s="3084"/>
      <c r="I100" s="137"/>
    </row>
    <row r="101" spans="1:35" ht="18.75" customHeight="1">
      <c r="A101" s="3092" t="s">
        <v>2287</v>
      </c>
      <c r="B101" s="3093"/>
      <c r="C101" s="735" t="str">
        <f>C4</f>
        <v>成本法</v>
      </c>
      <c r="D101" s="736" t="str">
        <f>D4</f>
        <v>收益法</v>
      </c>
      <c r="E101" s="3064" t="s">
        <v>2288</v>
      </c>
      <c r="F101" s="3065"/>
      <c r="G101" s="2517" t="s">
        <v>2289</v>
      </c>
      <c r="H101" s="1046">
        <f ca="1">H118</f>
        <v>30194</v>
      </c>
      <c r="I101" s="137"/>
    </row>
    <row r="102" spans="1:35" ht="18.75" customHeight="1">
      <c r="A102" s="3094" t="s">
        <v>2290</v>
      </c>
      <c r="B102" s="2517" t="s">
        <v>2289</v>
      </c>
      <c r="C102" s="735">
        <f ca="1">C19</f>
        <v>33168</v>
      </c>
      <c r="D102" s="736">
        <f ca="1">D19</f>
        <v>23253</v>
      </c>
      <c r="E102" s="3064"/>
      <c r="F102" s="3065"/>
      <c r="G102" s="2517" t="s">
        <v>2291</v>
      </c>
      <c r="H102" s="370">
        <f ca="1">I118</f>
        <v>36481</v>
      </c>
      <c r="I102" s="137"/>
    </row>
    <row r="103" spans="1:35" ht="42.75" customHeight="1">
      <c r="A103" s="3094"/>
      <c r="B103" s="2517" t="s">
        <v>2291</v>
      </c>
      <c r="C103" s="737">
        <f ca="1">C20</f>
        <v>40074</v>
      </c>
      <c r="D103" s="738">
        <f ca="1">D20</f>
        <v>28095</v>
      </c>
      <c r="E103" s="3058" t="s">
        <v>2292</v>
      </c>
      <c r="F103" s="3059"/>
      <c r="G103" s="2518" t="s">
        <v>2293</v>
      </c>
      <c r="H103" s="1046">
        <f>IF(D36="正常操作",H104+H105+H106,H105+H106)</f>
        <v>0</v>
      </c>
      <c r="I103" s="137"/>
    </row>
    <row r="104" spans="1:35" ht="18.75" customHeight="1">
      <c r="A104" s="3094" t="s">
        <v>2294</v>
      </c>
      <c r="B104" s="2519" t="s">
        <v>2289</v>
      </c>
      <c r="C104" s="739">
        <f ca="1">H118</f>
        <v>30194</v>
      </c>
      <c r="D104" s="740"/>
      <c r="E104" s="2263" t="s">
        <v>2295</v>
      </c>
      <c r="F104" s="2254"/>
      <c r="G104" s="2518" t="s">
        <v>2293</v>
      </c>
      <c r="H104" s="1047">
        <f>IF(D36="同一抵押权人同一抵押物续贷",C36&amp;"（未扣减，详见特别提示）",C36)</f>
        <v>0</v>
      </c>
      <c r="I104" s="137"/>
    </row>
    <row r="105" spans="1:35" ht="18.75" customHeight="1" thickBot="1">
      <c r="A105" s="3106"/>
      <c r="B105" s="2520" t="s">
        <v>2291</v>
      </c>
      <c r="C105" s="741">
        <f ca="1">I118</f>
        <v>36481</v>
      </c>
      <c r="D105" s="742"/>
      <c r="E105" s="2263" t="s">
        <v>2296</v>
      </c>
      <c r="F105" s="2254"/>
      <c r="G105" s="2518" t="s">
        <v>2293</v>
      </c>
      <c r="H105" s="1047">
        <f>C37</f>
        <v>0</v>
      </c>
      <c r="I105" s="137"/>
    </row>
    <row r="106" spans="1:35" ht="18.75" customHeight="1">
      <c r="A106" s="2415" t="s">
        <v>2297</v>
      </c>
      <c r="B106" s="2415"/>
      <c r="C106" s="2415"/>
      <c r="D106" s="2415"/>
      <c r="E106" s="2521" t="s">
        <v>2298</v>
      </c>
      <c r="F106" s="2254"/>
      <c r="G106" s="2518" t="s">
        <v>2293</v>
      </c>
      <c r="H106" s="1047">
        <f>C38</f>
        <v>0</v>
      </c>
      <c r="I106" s="137"/>
    </row>
    <row r="107" spans="1:35" ht="18.75" customHeight="1">
      <c r="A107" s="137"/>
      <c r="B107" s="137"/>
      <c r="C107" s="137"/>
      <c r="D107" s="137"/>
      <c r="E107" s="3095" t="str">
        <f>IF(项目基本情况!E8="已注销","——","3.房地产抵押价值")</f>
        <v>3.房地产抵押价值</v>
      </c>
      <c r="F107" s="3065"/>
      <c r="G107" s="2517" t="s">
        <v>2289</v>
      </c>
      <c r="H107" s="1046">
        <f ca="1">IF(E107="——","——",H101-H103)</f>
        <v>30194</v>
      </c>
      <c r="I107" s="137"/>
    </row>
    <row r="108" spans="1:35" ht="18.75" customHeight="1">
      <c r="A108" s="137"/>
      <c r="B108" s="137"/>
      <c r="C108" s="137"/>
      <c r="D108" s="137"/>
      <c r="E108" s="3095"/>
      <c r="F108" s="3065"/>
      <c r="G108" s="2517" t="s">
        <v>2291</v>
      </c>
      <c r="H108" s="370">
        <f ca="1">ROUND(H107*10000/'数据-汇总表'!E3,0)</f>
        <v>36481</v>
      </c>
      <c r="I108" s="137"/>
    </row>
    <row r="109" spans="1:35" ht="18.75" customHeight="1">
      <c r="A109" s="137"/>
      <c r="B109" s="137"/>
      <c r="C109" s="137"/>
      <c r="D109" s="137"/>
      <c r="E109" s="3095" t="str">
        <f>IF(项目基本情况!E8="已注销及未注销","4.抵押担保权已注销时的房地产抵押价值",IF(项目基本情况!E8="已注销","3.抵押担保权已注销时的房地产抵押价值","——"))</f>
        <v>——</v>
      </c>
      <c r="F109" s="3065"/>
      <c r="G109" s="2517" t="s">
        <v>2289</v>
      </c>
      <c r="H109" s="347" t="str">
        <f>IF(E109="——","——",H101-H105-H106)</f>
        <v>——</v>
      </c>
      <c r="I109" s="137"/>
    </row>
    <row r="110" spans="1:35" ht="18.75" customHeight="1">
      <c r="A110" s="137"/>
      <c r="B110" s="137"/>
      <c r="C110" s="137"/>
      <c r="D110" s="137"/>
      <c r="E110" s="3095"/>
      <c r="F110" s="3065"/>
      <c r="G110" s="2517" t="s">
        <v>2291</v>
      </c>
      <c r="H110" s="370" t="str">
        <f>IF(H109="——","——",ROUND(H109*10000/'数据-汇总表'!E3,0))</f>
        <v>——</v>
      </c>
      <c r="I110" s="137"/>
    </row>
    <row r="111" spans="1:35" ht="18.75" customHeight="1">
      <c r="A111" s="137"/>
      <c r="B111" s="137"/>
      <c r="C111" s="137"/>
      <c r="D111" s="137"/>
      <c r="E111" s="3096" t="str">
        <f>IF(项目基本情况!E9="抵押净值",IF(OR(项目基本情况!E8="已注销",项目基本情况!E8="房地产抵押价值"),"4.抵押净值","5.抵押净值"),"——")</f>
        <v>——</v>
      </c>
      <c r="F111" s="3097"/>
      <c r="G111" s="2517" t="s">
        <v>2289</v>
      </c>
      <c r="H111" s="1046" t="str">
        <f>IF(E111="——","——",N59)</f>
        <v>——</v>
      </c>
      <c r="I111" s="137"/>
    </row>
    <row r="112" spans="1:35" ht="18.75" customHeight="1" thickBot="1">
      <c r="A112" s="137"/>
      <c r="B112" s="137"/>
      <c r="C112" s="137"/>
      <c r="D112" s="137"/>
      <c r="E112" s="3098"/>
      <c r="F112" s="3099"/>
      <c r="G112" s="2522" t="s">
        <v>2291</v>
      </c>
      <c r="H112" s="789" t="str">
        <f>IF(E111="——","——",N61)</f>
        <v>——</v>
      </c>
      <c r="I112" s="137"/>
    </row>
    <row r="113" spans="1:11" ht="18.75" customHeight="1">
      <c r="A113" s="137"/>
      <c r="B113" s="137"/>
      <c r="C113" s="137"/>
      <c r="D113" s="137"/>
      <c r="E113" s="3107" t="s">
        <v>2297</v>
      </c>
      <c r="F113" s="3107"/>
      <c r="G113" s="3107"/>
      <c r="H113" s="3107"/>
      <c r="I113" s="137"/>
    </row>
    <row r="114" spans="1:11" ht="3.75" customHeight="1">
      <c r="A114" s="2415"/>
      <c r="B114" s="2415"/>
      <c r="C114" s="2415"/>
      <c r="D114" s="2415"/>
      <c r="E114" s="2493"/>
      <c r="F114" s="2493"/>
      <c r="G114" s="2493"/>
      <c r="H114" s="2493"/>
      <c r="I114" s="2415"/>
    </row>
    <row r="115" spans="1:11" ht="18.75" customHeight="1">
      <c r="A115" s="3120" t="s">
        <v>2299</v>
      </c>
      <c r="B115" s="3121"/>
      <c r="C115" s="3121"/>
      <c r="D115" s="3121"/>
      <c r="E115" s="3121"/>
      <c r="F115" s="3121"/>
      <c r="G115" s="3121"/>
      <c r="H115" s="3121"/>
      <c r="I115" s="3122"/>
    </row>
    <row r="116" spans="1:11" ht="27" customHeight="1">
      <c r="A116" s="3031" t="s">
        <v>2300</v>
      </c>
      <c r="B116" s="3074" t="s">
        <v>3143</v>
      </c>
      <c r="C116" s="3074" t="s">
        <v>3144</v>
      </c>
      <c r="D116" s="3080" t="s">
        <v>2301</v>
      </c>
      <c r="E116" s="3081"/>
      <c r="F116" s="3116" t="s">
        <v>3145</v>
      </c>
      <c r="G116" s="3116"/>
      <c r="H116" s="3031" t="s">
        <v>2302</v>
      </c>
      <c r="I116" s="3031"/>
    </row>
    <row r="117" spans="1:11" ht="18.75" customHeight="1">
      <c r="A117" s="3031"/>
      <c r="B117" s="3075"/>
      <c r="C117" s="3075"/>
      <c r="D117" s="1793" t="s">
        <v>2303</v>
      </c>
      <c r="E117" s="1793" t="s">
        <v>2304</v>
      </c>
      <c r="F117" s="1793" t="s">
        <v>2303</v>
      </c>
      <c r="G117" s="1793" t="s">
        <v>2305</v>
      </c>
      <c r="H117" s="1793" t="s">
        <v>2303</v>
      </c>
      <c r="I117" s="1793" t="s">
        <v>2305</v>
      </c>
    </row>
    <row r="118" spans="1:11" ht="24.75" customHeight="1">
      <c r="A118" s="2523" t="str">
        <f>项目基本情况!S2</f>
        <v>北京市北京市海淀区中关村大街18号房地产</v>
      </c>
      <c r="B118" s="1793">
        <f>M18</f>
        <v>8276.64</v>
      </c>
      <c r="C118" s="1793">
        <f>M19</f>
        <v>927.85</v>
      </c>
      <c r="D118" s="1793">
        <f ca="1">ROUND(IF(D32="总价",C34,E118*B118/10000),0)</f>
        <v>26782</v>
      </c>
      <c r="E118" s="1793">
        <f ca="1">ROUND(IF(C33="自定义",IF(D32="楼面单价",C34,D118*10000/B118),I118-G118),0)</f>
        <v>32359</v>
      </c>
      <c r="F118" s="1793">
        <f ca="1">ROUND(IF(D32="总价",C35,G118*B118/10000),0)</f>
        <v>3412</v>
      </c>
      <c r="G118" s="1793">
        <f ca="1">ROUND(IF(D32="楼面单价",C35,F118*10000/B118),0)</f>
        <v>4122</v>
      </c>
      <c r="H118" s="1793">
        <f ca="1">ROUND(IF(D32="总价",C32,I118*B118/10000),0)</f>
        <v>30194</v>
      </c>
      <c r="I118" s="1793">
        <f ca="1">ROUND(IF(D32="楼面单价",C32,H118*10000/B118),0)</f>
        <v>36481</v>
      </c>
    </row>
    <row r="119" spans="1:11" ht="18.75" customHeight="1">
      <c r="A119" s="3031" t="s">
        <v>2306</v>
      </c>
      <c r="B119" s="3031"/>
      <c r="C119" s="3031"/>
      <c r="D119" s="3076" t="str">
        <f ca="1">NUMBERSTRING(INT(D118*10000),2)&amp;"元整"</f>
        <v>贰亿陆仟柒佰捌拾贰万元整</v>
      </c>
      <c r="E119" s="3077"/>
      <c r="F119" s="3076" t="str">
        <f ca="1">NUMBERSTRING(INT(F118*10000),2)&amp;"元整"</f>
        <v>叁仟肆佰壹拾贰万元整</v>
      </c>
      <c r="G119" s="3077"/>
      <c r="H119" s="3076" t="str">
        <f ca="1">NUMBERSTRING(INT(H118*10000),2)&amp;"元整"</f>
        <v>叁亿零壹佰玖拾肆万元整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0" t="str">
        <f>IF(D120=0,"故，本次评估不存在"&amp;A120,"故，本次评估"&amp;A120&amp;"为人民币"&amp;D120&amp;"万元整。")</f>
        <v>故，本次评估不存在估价师知悉的法定优先受偿款</v>
      </c>
    </row>
    <row r="121" spans="1:11" ht="18.75" customHeight="1">
      <c r="A121" s="3117" t="s">
        <v>2306</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30194</v>
      </c>
      <c r="E122" s="3072"/>
      <c r="F122" s="3072"/>
      <c r="G122" s="3072"/>
      <c r="H122" s="3072"/>
      <c r="I122" s="3073"/>
    </row>
    <row r="123" spans="1:11" ht="18.75" customHeight="1">
      <c r="A123" s="3031" t="s">
        <v>2306</v>
      </c>
      <c r="B123" s="3031"/>
      <c r="C123" s="3031"/>
      <c r="D123" s="3076" t="str">
        <f ca="1">NUMBERSTRING(INT(D122*10000),2)&amp;"元整"</f>
        <v>叁亿零壹佰玖拾肆万元整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2306</v>
      </c>
      <c r="B125" s="3031"/>
      <c r="C125" s="3031"/>
      <c r="D125" s="3076" t="e">
        <f>NUMBERSTRING(INT(D124*10000),2)&amp;"元整"</f>
        <v>#VALUE!</v>
      </c>
      <c r="E125" s="3078"/>
      <c r="F125" s="3078"/>
      <c r="G125" s="3078"/>
      <c r="H125" s="3078"/>
      <c r="I125" s="3077"/>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2306</v>
      </c>
      <c r="B127" s="3031"/>
      <c r="C127" s="3031"/>
      <c r="D127" s="3076" t="e">
        <f>NUMBERSTRING(INT(D126*10000),2)&amp;"元整"</f>
        <v>#VALUE!</v>
      </c>
      <c r="E127" s="3078"/>
      <c r="F127" s="3078"/>
      <c r="G127" s="3078"/>
      <c r="H127" s="3078"/>
      <c r="I127" s="3077"/>
    </row>
    <row r="128" spans="1:11" ht="21.75" customHeight="1">
      <c r="A128" s="3079" t="s">
        <v>2307</v>
      </c>
      <c r="B128" s="3079"/>
      <c r="C128" s="3079"/>
      <c r="D128" s="3079"/>
      <c r="E128" s="3079"/>
      <c r="F128" s="3079"/>
      <c r="G128" s="3079"/>
      <c r="H128" s="3079"/>
      <c r="I128" s="3079"/>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3120</v>
      </c>
      <c r="C1" s="241"/>
      <c r="D1" s="241"/>
      <c r="E1" s="241"/>
      <c r="F1" s="241"/>
      <c r="G1" s="1379">
        <f>MATCH(B1,'数据-取费表'!A6:A16,0)+5</f>
        <v>6</v>
      </c>
    </row>
    <row r="2" spans="1:9" s="243" customFormat="1" ht="18" customHeight="1">
      <c r="A2" s="244" t="s">
        <v>2316</v>
      </c>
      <c r="B2" s="245">
        <f ca="1">IF(D2="——",C52,C52-E2)</f>
        <v>33168</v>
      </c>
      <c r="C2" s="242" t="s">
        <v>2317</v>
      </c>
      <c r="D2" s="2546" t="s">
        <v>70</v>
      </c>
      <c r="E2" s="1439"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40074</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20504</v>
      </c>
      <c r="D5" s="254" t="s">
        <v>2323</v>
      </c>
      <c r="E5" s="255" t="s">
        <v>2324</v>
      </c>
      <c r="F5" s="255" t="s">
        <v>2325</v>
      </c>
      <c r="G5" s="256"/>
    </row>
    <row r="6" spans="1:9" s="257" customFormat="1" ht="13.5" customHeight="1">
      <c r="A6" s="951" t="s">
        <v>2326</v>
      </c>
      <c r="B6" s="258" t="s">
        <v>2327</v>
      </c>
      <c r="C6" s="259">
        <f ca="1">基准地价修正!B2</f>
        <v>19736</v>
      </c>
      <c r="D6" s="260"/>
      <c r="E6" s="261"/>
      <c r="F6" s="261"/>
      <c r="G6" s="262"/>
    </row>
    <row r="7" spans="1:9" s="257" customFormat="1" ht="13.5" customHeight="1">
      <c r="A7" s="951" t="s">
        <v>2328</v>
      </c>
      <c r="B7" s="258" t="s">
        <v>2329</v>
      </c>
      <c r="C7" s="263">
        <f ca="1">ROUND(C6*F7,0)</f>
        <v>602</v>
      </c>
      <c r="D7" s="263"/>
      <c r="E7" s="261"/>
      <c r="F7" s="264">
        <f>'数据-取费表'!B48+'数据-取费表'!B49</f>
        <v>3.0499999999999999E-2</v>
      </c>
      <c r="G7" s="262"/>
    </row>
    <row r="8" spans="1:9" s="266" customFormat="1">
      <c r="A8" s="951" t="s">
        <v>2330</v>
      </c>
      <c r="B8" s="258" t="s">
        <v>2331</v>
      </c>
      <c r="C8" s="263">
        <f ca="1">IF(G8="已包含在土地购买价格中","0",IF(B1="",'数据-取费表'!B29,IF(G9="全部缴纳",C9+C10,H9)))</f>
        <v>166</v>
      </c>
      <c r="D8" s="265"/>
      <c r="E8" s="263"/>
      <c r="F8" s="264"/>
      <c r="G8" s="2549" t="s">
        <v>3084</v>
      </c>
    </row>
    <row r="9" spans="1:9" s="257" customFormat="1" ht="13.5" customHeight="1">
      <c r="A9" s="952" t="s">
        <v>800</v>
      </c>
      <c r="B9" s="267" t="s">
        <v>2332</v>
      </c>
      <c r="C9" s="268">
        <f ca="1">ROUND(D9*E9/10000,0)</f>
        <v>0</v>
      </c>
      <c r="D9" s="1034">
        <f ca="1">IF(B1="",'数据-汇总表'!E5,IF(INDIRECT("'数据-取费表'!c"&amp;$G$1)="住宅",INDIRECT("'数据-取费表'!k"&amp;$G$1),0))</f>
        <v>0</v>
      </c>
      <c r="E9" s="268">
        <f>'数据-取费表'!B27</f>
        <v>0</v>
      </c>
      <c r="F9" s="264"/>
      <c r="G9" s="2550" t="s">
        <v>3142</v>
      </c>
      <c r="H9" s="2964">
        <f ca="1">C10</f>
        <v>166</v>
      </c>
      <c r="I9" s="2551" t="s">
        <v>2333</v>
      </c>
    </row>
    <row r="10" spans="1:9" s="257" customFormat="1" ht="13.5" customHeight="1">
      <c r="A10" s="952" t="s">
        <v>801</v>
      </c>
      <c r="B10" s="267" t="s">
        <v>2334</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2335</v>
      </c>
      <c r="C11" s="254"/>
      <c r="D11" s="1036"/>
      <c r="E11" s="261"/>
      <c r="F11" s="261"/>
      <c r="G11" s="262"/>
    </row>
    <row r="12" spans="1:9" s="257" customFormat="1" ht="13.5" hidden="1" customHeight="1">
      <c r="A12" s="270" t="s">
        <v>8</v>
      </c>
      <c r="B12" s="258" t="s">
        <v>2336</v>
      </c>
      <c r="C12" s="254">
        <v>0</v>
      </c>
      <c r="D12" s="1036"/>
      <c r="E12" s="271"/>
      <c r="F12" s="264">
        <v>3.0499999999999999E-2</v>
      </c>
      <c r="G12" s="262"/>
    </row>
    <row r="13" spans="1:9" s="257" customFormat="1" ht="13.5" hidden="1" customHeight="1">
      <c r="A13" s="270" t="s">
        <v>9</v>
      </c>
      <c r="B13" s="258" t="s">
        <v>2337</v>
      </c>
      <c r="C13" s="254"/>
      <c r="D13" s="1036"/>
      <c r="E13" s="261"/>
      <c r="F13" s="261"/>
      <c r="G13" s="262"/>
    </row>
    <row r="14" spans="1:9" s="257" customFormat="1" ht="13.5" hidden="1" customHeight="1">
      <c r="A14" s="270" t="s">
        <v>10</v>
      </c>
      <c r="B14" s="258" t="s">
        <v>2338</v>
      </c>
      <c r="C14" s="254"/>
      <c r="D14" s="1036"/>
      <c r="E14" s="261"/>
      <c r="F14" s="261"/>
      <c r="G14" s="262" t="s">
        <v>2339</v>
      </c>
    </row>
    <row r="15" spans="1:9" s="257" customFormat="1" ht="13.5" hidden="1" customHeight="1">
      <c r="A15" s="270" t="s">
        <v>11</v>
      </c>
      <c r="B15" s="258" t="s">
        <v>2340</v>
      </c>
      <c r="C15" s="263"/>
      <c r="D15" s="1036"/>
      <c r="E15" s="261"/>
      <c r="F15" s="261"/>
      <c r="G15" s="262" t="s">
        <v>2341</v>
      </c>
    </row>
    <row r="16" spans="1:9" s="257" customFormat="1" ht="13.5" hidden="1" customHeight="1">
      <c r="A16" s="270" t="s">
        <v>12</v>
      </c>
      <c r="B16" s="258" t="s">
        <v>2338</v>
      </c>
      <c r="C16" s="263"/>
      <c r="D16" s="1036"/>
      <c r="E16" s="261"/>
      <c r="F16" s="261"/>
      <c r="G16" s="262"/>
    </row>
    <row r="17" spans="1:7" s="257" customFormat="1" ht="13.5" hidden="1" customHeight="1">
      <c r="A17" s="270" t="s">
        <v>13</v>
      </c>
      <c r="B17" s="258" t="s">
        <v>2342</v>
      </c>
      <c r="C17" s="272"/>
      <c r="D17" s="1037"/>
      <c r="E17" s="272"/>
      <c r="F17" s="272"/>
      <c r="G17" s="262" t="s">
        <v>2341</v>
      </c>
    </row>
    <row r="18" spans="1:7" s="257" customFormat="1" ht="13.5" hidden="1" customHeight="1">
      <c r="A18" s="270" t="s">
        <v>14</v>
      </c>
      <c r="B18" s="258" t="s">
        <v>2343</v>
      </c>
      <c r="C18" s="263">
        <v>0</v>
      </c>
      <c r="D18" s="1036"/>
      <c r="E18" s="261"/>
      <c r="F18" s="264">
        <v>3.0499999999999999E-2</v>
      </c>
      <c r="G18" s="262" t="s">
        <v>2344</v>
      </c>
    </row>
    <row r="19" spans="1:7" s="266" customFormat="1" ht="13.5" customHeight="1">
      <c r="A19" s="298" t="s">
        <v>2345</v>
      </c>
      <c r="B19" s="253" t="s">
        <v>2346</v>
      </c>
      <c r="C19" s="254" t="str">
        <f>IF(G19="已包含在土地取得成本中","0",ROUND(D19*E19/10000,0))</f>
        <v>0</v>
      </c>
      <c r="D19" s="1038">
        <f ca="1">D9+D10</f>
        <v>8276.64</v>
      </c>
      <c r="E19" s="254">
        <f>'数据-取费表'!B31</f>
        <v>200</v>
      </c>
      <c r="F19" s="274"/>
      <c r="G19" s="2549" t="s">
        <v>3085</v>
      </c>
    </row>
    <row r="20" spans="1:7" s="257" customFormat="1" ht="13.5" customHeight="1">
      <c r="A20" s="298" t="s">
        <v>2347</v>
      </c>
      <c r="B20" s="253" t="s">
        <v>2348</v>
      </c>
      <c r="C20" s="275">
        <f ca="1">ROUND((C5+C19)*F20,0)</f>
        <v>410</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4">
        <f ca="1">ROUND(SUM(C23:C25),0)</f>
        <v>2013</v>
      </c>
      <c r="D22" s="278">
        <f ca="1">C26</f>
        <v>1E-3</v>
      </c>
      <c r="E22" s="279" t="s">
        <v>2352</v>
      </c>
      <c r="F22" s="280">
        <f ca="1">'数据-取费表'!B40</f>
        <v>4.7500000000000001E-2</v>
      </c>
      <c r="G22" s="277" t="str">
        <f>IF('数据-取费表'!B22&lt;=1,"单利计息","复利计息")</f>
        <v>复利计息</v>
      </c>
    </row>
    <row r="23" spans="1:7" s="257" customFormat="1" ht="13.5" customHeight="1">
      <c r="A23" s="953" t="s">
        <v>2356</v>
      </c>
      <c r="B23" s="258" t="s">
        <v>2357</v>
      </c>
      <c r="C23" s="1355">
        <f ca="1">ROUND(IF('数据-取费表'!B22&lt;=1,C5*F22*'数据-取费表'!B23,C5*(POWER((1+F22),'数据-取费表'!B23)-1)),0)</f>
        <v>1994</v>
      </c>
      <c r="D23" s="281"/>
      <c r="E23" s="281"/>
      <c r="F23" s="282"/>
      <c r="G23" s="283" t="s">
        <v>2358</v>
      </c>
    </row>
    <row r="24" spans="1:7" s="257" customFormat="1" ht="13.5" customHeight="1">
      <c r="A24" s="953" t="s">
        <v>2359</v>
      </c>
      <c r="B24" s="258" t="s">
        <v>2360</v>
      </c>
      <c r="C24" s="1355">
        <f ca="1">ROUND(IF('数据-取费表'!B22&lt;=1,C19*F22*('数据-取费表'!B19/2+'数据-取费表'!B21),C19*(POWER((1+F22),('数据-取费表'!B19/2+'数据-取费表'!B21))-1)),0)</f>
        <v>0</v>
      </c>
      <c r="D24" s="281"/>
      <c r="E24" s="281"/>
      <c r="F24" s="282"/>
      <c r="G24" s="283" t="s">
        <v>2361</v>
      </c>
    </row>
    <row r="25" spans="1:7" s="257" customFormat="1" ht="24">
      <c r="A25" s="953" t="s">
        <v>2362</v>
      </c>
      <c r="B25" s="258" t="s">
        <v>2363</v>
      </c>
      <c r="C25" s="1355">
        <f ca="1">ROUND(IF('数据-取费表'!B22&lt;=1,C20*F22*'数据-取费表'!B23/2,C20*(POWER((1+F22),'数据-取费表'!B23/2)-1)),0)</f>
        <v>19</v>
      </c>
      <c r="D25" s="281"/>
      <c r="E25" s="284"/>
      <c r="F25" s="282"/>
      <c r="G25" s="285" t="s">
        <v>2364</v>
      </c>
    </row>
    <row r="26" spans="1:7" s="257" customFormat="1">
      <c r="A26" s="953"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4183</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ROUND((C5+C19+C20)*F27*'数据-取费表'!B21/'数据-取费表'!B20,0)</f>
        <v>4183</v>
      </c>
      <c r="D28" s="278"/>
      <c r="E28" s="279"/>
      <c r="F28" s="289"/>
      <c r="G28" s="290"/>
    </row>
    <row r="29" spans="1:7" s="257" customFormat="1" ht="13.5" customHeight="1">
      <c r="A29" s="953"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29413</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3626</v>
      </c>
      <c r="D33" s="275"/>
      <c r="E33" s="255"/>
      <c r="F33" s="284"/>
      <c r="G33" s="277"/>
    </row>
    <row r="34" spans="1:7" s="301" customFormat="1" ht="13.5" customHeight="1">
      <c r="A34" s="953" t="s">
        <v>791</v>
      </c>
      <c r="B34" s="258" t="s">
        <v>2379</v>
      </c>
      <c r="C34" s="263">
        <f ca="1">IF(B1="",IF(F34=100%,'数据-取费表'!M16,'数据-取费表'!O16),IF(F34=100%,INDIRECT("'数据-取费表'!m"&amp;$G$1)+INDIRECT("'数据-取费表'!t"&amp;$G$1),INDIRECT("'数据-取费表'!o"&amp;$G$1)+INDIRECT("'数据-取费表'!aq"&amp;$G$1)))</f>
        <v>3311</v>
      </c>
      <c r="D34" s="260"/>
      <c r="E34" s="263"/>
      <c r="F34" s="300">
        <f ca="1">IF('数据-取费表'!B24=0,1,IF(B1="",'数据-取费表'!N16,INDIRECT("'数据-取费表'!n"&amp;$G$1)))</f>
        <v>1</v>
      </c>
      <c r="G34" s="262" t="s">
        <v>2380</v>
      </c>
    </row>
    <row r="35" spans="1:7" ht="13.5" customHeight="1">
      <c r="A35" s="953" t="s">
        <v>796</v>
      </c>
      <c r="B35" s="258" t="s">
        <v>2381</v>
      </c>
      <c r="C35" s="263">
        <f ca="1">ROUND(C34*F35,0)</f>
        <v>99</v>
      </c>
      <c r="D35" s="263"/>
      <c r="E35" s="263"/>
      <c r="F35" s="302">
        <f>'数据-取费表'!B33</f>
        <v>0.03</v>
      </c>
      <c r="G35" s="262" t="s">
        <v>2382</v>
      </c>
    </row>
    <row r="36" spans="1:7" ht="24">
      <c r="A36" s="953"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3" t="s">
        <v>798</v>
      </c>
      <c r="B37" s="258" t="s">
        <v>2385</v>
      </c>
      <c r="C37" s="292">
        <f ca="1">ROUND(E37*D37*F34/10000,0)</f>
        <v>166</v>
      </c>
      <c r="D37" s="260">
        <f ca="1">D19</f>
        <v>8276.64</v>
      </c>
      <c r="E37" s="292">
        <f>'数据-取费表'!B35</f>
        <v>200</v>
      </c>
      <c r="F37" s="302"/>
      <c r="G37" s="304" t="s">
        <v>2386</v>
      </c>
    </row>
    <row r="38" spans="1:7" ht="13.5" customHeight="1">
      <c r="A38" s="953" t="s">
        <v>799</v>
      </c>
      <c r="B38" s="258" t="s">
        <v>2387</v>
      </c>
      <c r="C38" s="263">
        <f ca="1">ROUND(C34*F38,0)</f>
        <v>50</v>
      </c>
      <c r="D38" s="263"/>
      <c r="E38" s="263"/>
      <c r="F38" s="302">
        <f>'数据-取费表'!B36</f>
        <v>1.4999999999999999E-2</v>
      </c>
      <c r="G38" s="262" t="s">
        <v>2382</v>
      </c>
    </row>
    <row r="39" spans="1:7" s="257" customFormat="1" ht="13.5" customHeight="1">
      <c r="A39" s="298" t="s">
        <v>2388</v>
      </c>
      <c r="B39" s="253" t="s">
        <v>2389</v>
      </c>
      <c r="C39" s="275">
        <f ca="1">ROUND(C33*F20,0)</f>
        <v>73</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ROUND(IF('数据-取费表'!B22&lt;=1,C33*F22*'数据-取费表'!B21/2,C33*(POWER((1+F22),'数据-取费表'!B21/2)-1)),0)</f>
        <v>172</v>
      </c>
      <c r="D42" s="281"/>
      <c r="E42" s="281"/>
      <c r="F42" s="282"/>
      <c r="G42" s="3151" t="s">
        <v>2398</v>
      </c>
    </row>
    <row r="43" spans="1:7" ht="13.5" customHeight="1">
      <c r="A43" s="953" t="s">
        <v>792</v>
      </c>
      <c r="B43" s="258" t="s">
        <v>2399</v>
      </c>
      <c r="C43" s="281">
        <f ca="1">ROUND(IF('数据-取费表'!B22&lt;=1,C39*F22*'数据-取费表'!B21/2,C39*(POWER((1+F22),'数据-取费表'!B21/2)-1)),0)</f>
        <v>3</v>
      </c>
      <c r="D43" s="281"/>
      <c r="E43" s="281"/>
      <c r="F43" s="282"/>
      <c r="G43" s="3152"/>
    </row>
    <row r="44" spans="1:7" ht="13.5" customHeight="1">
      <c r="A44" s="953" t="s">
        <v>793</v>
      </c>
      <c r="B44" s="258" t="s">
        <v>2400</v>
      </c>
      <c r="C44" s="281">
        <f ca="1">ROUND(IF('数据-取费表'!B22&lt;=1,C40*F22*'数据-取费表'!B21/2,C40*(POWER((1+F22),'数据-取费表'!B21/2)-1)),4)</f>
        <v>1E-3</v>
      </c>
      <c r="D44" s="281"/>
      <c r="E44" s="281"/>
      <c r="F44" s="282"/>
      <c r="G44" s="3153"/>
    </row>
    <row r="45" spans="1:7" s="257" customFormat="1" ht="13.5" customHeight="1">
      <c r="A45" s="298" t="s">
        <v>2401</v>
      </c>
      <c r="B45" s="287" t="s">
        <v>2367</v>
      </c>
      <c r="C45" s="288">
        <f ca="1">C46</f>
        <v>740</v>
      </c>
      <c r="D45" s="278">
        <f ca="1">C47</f>
        <v>4.0000000000000001E-3</v>
      </c>
      <c r="E45" s="279" t="s">
        <v>2393</v>
      </c>
      <c r="F45" s="289"/>
      <c r="G45" s="290" t="s">
        <v>2402</v>
      </c>
    </row>
    <row r="46" spans="1:7" s="257" customFormat="1" ht="13.5" customHeight="1">
      <c r="A46" s="953" t="s">
        <v>791</v>
      </c>
      <c r="B46" s="291" t="s">
        <v>2403</v>
      </c>
      <c r="C46" s="292">
        <f ca="1">ROUND((C33+C39)*F27,0)</f>
        <v>740</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1726">
        <f>ROUND(F30/(1+'数据-取费表'!C42),4)</f>
        <v>5.33E-2</v>
      </c>
      <c r="D48" s="279" t="s">
        <v>2393</v>
      </c>
      <c r="E48" s="275"/>
      <c r="F48" s="280"/>
      <c r="G48" s="277" t="s">
        <v>2406</v>
      </c>
    </row>
    <row r="49" spans="1:7" ht="16.5" customHeight="1">
      <c r="A49" s="298" t="s">
        <v>2372</v>
      </c>
      <c r="B49" s="253" t="s">
        <v>2407</v>
      </c>
      <c r="C49" s="275">
        <f ca="1">ROUND((C33+C39+C41+C45)/(1-C40-D41-D45-C48),0)</f>
        <v>5006</v>
      </c>
      <c r="D49" s="275"/>
      <c r="E49" s="275"/>
      <c r="F49" s="307"/>
      <c r="G49" s="277" t="s">
        <v>2408</v>
      </c>
    </row>
    <row r="50" spans="1:7" s="301" customFormat="1" ht="24">
      <c r="A50" s="298" t="s">
        <v>2409</v>
      </c>
      <c r="B50" s="253" t="s">
        <v>2410</v>
      </c>
      <c r="C50" s="275"/>
      <c r="D50" s="275"/>
      <c r="E50" s="275"/>
      <c r="F50" s="307">
        <f>IF('数据-取费表'!B24=0,'数据-取费表'!N16,1)</f>
        <v>0.75</v>
      </c>
      <c r="G50" s="290" t="s">
        <v>2411</v>
      </c>
    </row>
    <row r="51" spans="1:7" ht="16.5" customHeight="1">
      <c r="A51" s="298" t="s">
        <v>2412</v>
      </c>
      <c r="B51" s="253" t="s">
        <v>2413</v>
      </c>
      <c r="C51" s="275">
        <f ca="1">ROUND(C49*F50,0)</f>
        <v>3755</v>
      </c>
      <c r="D51" s="275"/>
      <c r="E51" s="275"/>
      <c r="F51" s="307"/>
      <c r="G51" s="277" t="s">
        <v>2414</v>
      </c>
    </row>
    <row r="52" spans="1:7" s="251" customFormat="1" ht="16.5" thickBot="1">
      <c r="A52" s="308" t="s">
        <v>2415</v>
      </c>
      <c r="B52" s="309"/>
      <c r="C52" s="310">
        <f ca="1">C31+C51</f>
        <v>33168</v>
      </c>
      <c r="D52" s="309"/>
      <c r="E52" s="309"/>
      <c r="F52" s="309"/>
      <c r="G52" s="311"/>
    </row>
    <row r="55" spans="1:7" ht="15">
      <c r="B55" s="313" t="s">
        <v>2416</v>
      </c>
      <c r="C55" s="314"/>
    </row>
    <row r="56" spans="1:7">
      <c r="B56" s="316" t="s">
        <v>1513</v>
      </c>
      <c r="C56" s="318">
        <f ca="1">1-C57</f>
        <v>0.88700000000000001</v>
      </c>
    </row>
    <row r="57" spans="1:7">
      <c r="B57" s="316" t="s">
        <v>1514</v>
      </c>
      <c r="C57" s="317">
        <f ca="1">ROUND(C51/C52,3)</f>
        <v>0.113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5" t="str">
        <f>项目基本情况!B1</f>
        <v>北京市北京市海淀区中关村大街18号房地产抵押价值预评估</v>
      </c>
      <c r="C37" s="2965"/>
      <c r="D37" s="2965"/>
      <c r="E37" s="2965"/>
      <c r="F37" s="2965"/>
      <c r="G37" s="2965"/>
      <c r="H37" s="2965"/>
      <c r="I37" s="2965"/>
    </row>
    <row r="38" spans="1:9">
      <c r="A38" s="1018"/>
      <c r="B38" s="1018"/>
    </row>
    <row r="39" spans="1:9">
      <c r="A39" s="1016" t="s">
        <v>818</v>
      </c>
      <c r="B39" s="1016" t="s">
        <v>820</v>
      </c>
    </row>
    <row r="40" spans="1:9">
      <c r="A40" s="1016"/>
      <c r="B40" s="1940" t="str">
        <f>项目基本情况!B5</f>
        <v>大连国美电器有限公司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崔锴（注册号：1120100036)、吴薇（注册号：1419970001)</v>
      </c>
    </row>
    <row r="47" spans="1:9">
      <c r="A47" s="1016"/>
      <c r="B47" s="1016" t="str">
        <f>项目基本情况!K5</f>
        <v/>
      </c>
    </row>
    <row r="48" spans="1:9">
      <c r="A48" s="1016" t="s">
        <v>818</v>
      </c>
      <c r="B48" s="1016" t="s">
        <v>824</v>
      </c>
    </row>
    <row r="49" spans="2:2">
      <c r="B49" s="1940"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52" t="s">
        <v>2417</v>
      </c>
      <c r="D1" s="241"/>
      <c r="E1" s="241"/>
      <c r="F1" s="241"/>
      <c r="G1" s="1379">
        <f>MATCH(B1,'数据-取费表'!A6:A16,0)+5</f>
        <v>7</v>
      </c>
      <c r="H1" s="1282" t="str">
        <f>IF(ISERROR(FIND("住宅",B1)),"非住宅","住宅")</f>
        <v>非住宅</v>
      </c>
    </row>
    <row r="2" spans="1:8" s="243" customFormat="1" ht="18" customHeight="1">
      <c r="A2" s="244" t="s">
        <v>2316</v>
      </c>
      <c r="B2" s="245">
        <f ca="1">ROUND(IF(D2="——",C52/10000,C52/10000-E2),0)</f>
        <v>4228</v>
      </c>
      <c r="C2" s="242" t="s">
        <v>2317</v>
      </c>
      <c r="D2" s="2546" t="s">
        <v>70</v>
      </c>
      <c r="E2" s="1439"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5108</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1655328</v>
      </c>
      <c r="D5" s="254" t="s">
        <v>2323</v>
      </c>
      <c r="E5" s="255" t="s">
        <v>2324</v>
      </c>
      <c r="F5" s="255" t="s">
        <v>2325</v>
      </c>
      <c r="G5" s="256"/>
    </row>
    <row r="6" spans="1:8" s="257" customFormat="1" ht="13.5" customHeight="1">
      <c r="A6" s="951" t="s">
        <v>2326</v>
      </c>
      <c r="B6" s="258" t="s">
        <v>2327</v>
      </c>
      <c r="C6" s="259"/>
      <c r="D6" s="260"/>
      <c r="E6" s="261"/>
      <c r="F6" s="261"/>
      <c r="G6" s="262"/>
    </row>
    <row r="7" spans="1:8" s="257" customFormat="1" ht="13.5" customHeight="1">
      <c r="A7" s="951" t="s">
        <v>2328</v>
      </c>
      <c r="B7" s="258" t="s">
        <v>2329</v>
      </c>
      <c r="C7" s="263">
        <f>ROUND(C6*F7,0)</f>
        <v>0</v>
      </c>
      <c r="D7" s="263"/>
      <c r="E7" s="261"/>
      <c r="F7" s="264">
        <f>'数据-取费表'!B48+'数据-取费表'!B49</f>
        <v>3.0499999999999999E-2</v>
      </c>
      <c r="G7" s="262"/>
    </row>
    <row r="8" spans="1:8" s="266" customFormat="1">
      <c r="A8" s="951" t="s">
        <v>2330</v>
      </c>
      <c r="B8" s="258" t="s">
        <v>2331</v>
      </c>
      <c r="C8" s="263">
        <f ca="1">IF(G8="已包含在土地购买价格中",0,C9+C10)</f>
        <v>1655328</v>
      </c>
      <c r="D8" s="265"/>
      <c r="E8" s="263"/>
      <c r="F8" s="264"/>
      <c r="G8" s="2549"/>
    </row>
    <row r="9" spans="1:8" s="257" customFormat="1" ht="13.5" customHeight="1">
      <c r="A9" s="952" t="s">
        <v>800</v>
      </c>
      <c r="B9" s="267" t="s">
        <v>2332</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2334</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2335</v>
      </c>
      <c r="C11" s="254"/>
      <c r="D11" s="1036"/>
      <c r="E11" s="261"/>
      <c r="F11" s="261"/>
      <c r="G11" s="262"/>
    </row>
    <row r="12" spans="1:8" s="257" customFormat="1" ht="13.5" hidden="1" customHeight="1">
      <c r="A12" s="270" t="s">
        <v>8</v>
      </c>
      <c r="B12" s="258" t="s">
        <v>2418</v>
      </c>
      <c r="C12" s="254">
        <v>0</v>
      </c>
      <c r="D12" s="1036"/>
      <c r="E12" s="271"/>
      <c r="F12" s="264">
        <v>3.0499999999999999E-2</v>
      </c>
      <c r="G12" s="262"/>
    </row>
    <row r="13" spans="1:8" s="257" customFormat="1" ht="13.5" hidden="1" customHeight="1">
      <c r="A13" s="270" t="s">
        <v>9</v>
      </c>
      <c r="B13" s="258" t="s">
        <v>2419</v>
      </c>
      <c r="C13" s="254"/>
      <c r="D13" s="1036"/>
      <c r="E13" s="261"/>
      <c r="F13" s="261"/>
      <c r="G13" s="262"/>
    </row>
    <row r="14" spans="1:8" s="257" customFormat="1" ht="13.5" hidden="1" customHeight="1">
      <c r="A14" s="270" t="s">
        <v>10</v>
      </c>
      <c r="B14" s="258" t="s">
        <v>2331</v>
      </c>
      <c r="C14" s="254"/>
      <c r="D14" s="1036"/>
      <c r="E14" s="261"/>
      <c r="F14" s="261"/>
      <c r="G14" s="262" t="s">
        <v>2420</v>
      </c>
    </row>
    <row r="15" spans="1:8" s="257" customFormat="1" ht="13.5" hidden="1" customHeight="1">
      <c r="A15" s="270" t="s">
        <v>11</v>
      </c>
      <c r="B15" s="258" t="s">
        <v>2421</v>
      </c>
      <c r="C15" s="263"/>
      <c r="D15" s="1036"/>
      <c r="E15" s="261"/>
      <c r="F15" s="261"/>
      <c r="G15" s="262" t="s">
        <v>2422</v>
      </c>
    </row>
    <row r="16" spans="1:8" s="257" customFormat="1" ht="13.5" hidden="1" customHeight="1">
      <c r="A16" s="270" t="s">
        <v>12</v>
      </c>
      <c r="B16" s="258" t="s">
        <v>2331</v>
      </c>
      <c r="C16" s="263"/>
      <c r="D16" s="1036"/>
      <c r="E16" s="261"/>
      <c r="F16" s="261"/>
      <c r="G16" s="262"/>
    </row>
    <row r="17" spans="1:7" s="257" customFormat="1" ht="13.5" hidden="1" customHeight="1">
      <c r="A17" s="270" t="s">
        <v>13</v>
      </c>
      <c r="B17" s="258" t="s">
        <v>2423</v>
      </c>
      <c r="C17" s="272"/>
      <c r="D17" s="1037"/>
      <c r="E17" s="272"/>
      <c r="F17" s="272"/>
      <c r="G17" s="262" t="s">
        <v>2422</v>
      </c>
    </row>
    <row r="18" spans="1:7" s="257" customFormat="1" ht="13.5" hidden="1" customHeight="1">
      <c r="A18" s="270" t="s">
        <v>14</v>
      </c>
      <c r="B18" s="258" t="s">
        <v>2424</v>
      </c>
      <c r="C18" s="263">
        <v>0</v>
      </c>
      <c r="D18" s="1036"/>
      <c r="E18" s="261"/>
      <c r="F18" s="264">
        <v>3.0499999999999999E-2</v>
      </c>
      <c r="G18" s="262" t="s">
        <v>2425</v>
      </c>
    </row>
    <row r="19" spans="1:7" s="266" customFormat="1" ht="13.5" customHeight="1">
      <c r="A19" s="298" t="s">
        <v>2426</v>
      </c>
      <c r="B19" s="253" t="s">
        <v>2427</v>
      </c>
      <c r="C19" s="254">
        <f ca="1">IF(G19="已包含在土地取得成本中","0",ROUND(D19*E19,0))</f>
        <v>1655328</v>
      </c>
      <c r="D19" s="1038">
        <f ca="1">D9+D10</f>
        <v>8276.64</v>
      </c>
      <c r="E19" s="254">
        <f>'数据-取费表'!B31</f>
        <v>200</v>
      </c>
      <c r="F19" s="274"/>
      <c r="G19" s="2549"/>
    </row>
    <row r="20" spans="1:7" s="257" customFormat="1" ht="13.5" customHeight="1">
      <c r="A20" s="298" t="s">
        <v>2428</v>
      </c>
      <c r="B20" s="253" t="s">
        <v>2429</v>
      </c>
      <c r="C20" s="275">
        <f ca="1">ROUND((C5+C19)*F20,0)</f>
        <v>66213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80">
        <f ca="1">ROUND(SUM(C23:C25),0)</f>
        <v>325127</v>
      </c>
      <c r="D22" s="278">
        <f ca="1">C26</f>
        <v>1E-3</v>
      </c>
      <c r="E22" s="279" t="s">
        <v>2433</v>
      </c>
      <c r="F22" s="280">
        <f ca="1">'数据-取费表'!B40</f>
        <v>4.7500000000000001E-2</v>
      </c>
      <c r="G22" s="277" t="str">
        <f>IF('数据-取费表'!B22&lt;=1,"单利计息","复利计息")</f>
        <v>复利计息</v>
      </c>
    </row>
    <row r="23" spans="1:7" s="257" customFormat="1" ht="13.5" customHeight="1">
      <c r="A23" s="953" t="s">
        <v>2326</v>
      </c>
      <c r="B23" s="258" t="s">
        <v>2437</v>
      </c>
      <c r="C23" s="1381">
        <f ca="1">ROUND(IF('数据-取费表'!B22&lt;=1,C5*F22*'数据-取费表'!B22,C5*(POWER((1+F22),'数据-取费表'!B22)-1)),0)</f>
        <v>160991</v>
      </c>
      <c r="D23" s="281"/>
      <c r="E23" s="281"/>
      <c r="F23" s="282"/>
      <c r="G23" s="283" t="s">
        <v>2438</v>
      </c>
    </row>
    <row r="24" spans="1:7" s="257" customFormat="1" ht="13.5" customHeight="1">
      <c r="A24" s="953" t="s">
        <v>2328</v>
      </c>
      <c r="B24" s="258" t="s">
        <v>2439</v>
      </c>
      <c r="C24" s="1381">
        <f ca="1">ROUND(IF('数据-取费表'!B22&lt;=1,C19*F22*('数据-取费表'!B19/2+'数据-取费表'!B20),C19*(POWER((1+F22),('数据-取费表'!B19/2+'数据-取费表'!B20))-1)),0)</f>
        <v>160991</v>
      </c>
      <c r="D24" s="281"/>
      <c r="E24" s="281"/>
      <c r="F24" s="282"/>
      <c r="G24" s="283" t="s">
        <v>2440</v>
      </c>
    </row>
    <row r="25" spans="1:7" s="257" customFormat="1" ht="24">
      <c r="A25" s="953" t="s">
        <v>2330</v>
      </c>
      <c r="B25" s="258" t="s">
        <v>2441</v>
      </c>
      <c r="C25" s="1381">
        <f ca="1">ROUND(IF('数据-取费表'!B22&lt;=1,C20*F22*'数据-取费表'!B22/2,C20*(POWER((1+F22),'数据-取费表'!B22/2)-1)),0)</f>
        <v>3145</v>
      </c>
      <c r="D25" s="281"/>
      <c r="E25" s="284"/>
      <c r="F25" s="282"/>
      <c r="G25" s="285" t="s">
        <v>2442</v>
      </c>
    </row>
    <row r="26" spans="1:7" s="257" customFormat="1">
      <c r="A26" s="953"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675374</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ROUND((C5+C19+C20)*F27,0)</f>
        <v>675374</v>
      </c>
      <c r="D28" s="278"/>
      <c r="E28" s="279"/>
      <c r="F28" s="289"/>
      <c r="G28" s="290"/>
    </row>
    <row r="29" spans="1:7" s="257" customFormat="1" ht="13.5" customHeight="1">
      <c r="A29" s="953"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4749235</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36251683</v>
      </c>
      <c r="D33" s="275"/>
      <c r="E33" s="255"/>
      <c r="F33" s="284"/>
      <c r="G33" s="277"/>
    </row>
    <row r="34" spans="1:7" s="301" customFormat="1" ht="13.5" customHeight="1">
      <c r="A34" s="953" t="s">
        <v>791</v>
      </c>
      <c r="B34" s="258" t="s">
        <v>2379</v>
      </c>
      <c r="C34" s="263">
        <f ca="1">ROUND(IF(B1="",SUMPRODUCT('数据-取费表'!K6:K14,'数据-取费表'!L6:L14),INDIRECT("'数据-取费表'!l"&amp;$G$1)*INDIRECT("'数据-取费表'!k"&amp;$G$1)+'数据-取费表'!L14*INDIRECT("'数据-取费表'!S"&amp;$G$1)),0)</f>
        <v>33106560</v>
      </c>
      <c r="D34" s="260"/>
      <c r="E34" s="263"/>
      <c r="F34" s="300"/>
      <c r="G34" s="262"/>
    </row>
    <row r="35" spans="1:7" ht="13.5" customHeight="1">
      <c r="A35" s="953" t="s">
        <v>796</v>
      </c>
      <c r="B35" s="258" t="s">
        <v>2381</v>
      </c>
      <c r="C35" s="263">
        <f ca="1">ROUND(C34*F35,0)</f>
        <v>993197</v>
      </c>
      <c r="D35" s="263"/>
      <c r="E35" s="263"/>
      <c r="F35" s="302">
        <f>'数据-取费表'!B33</f>
        <v>0.03</v>
      </c>
      <c r="G35" s="262" t="s">
        <v>2382</v>
      </c>
    </row>
    <row r="36" spans="1:7" ht="24">
      <c r="A36" s="953"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3" t="s">
        <v>798</v>
      </c>
      <c r="B37" s="258" t="s">
        <v>2385</v>
      </c>
      <c r="C37" s="292">
        <f ca="1">ROUND(E37*D37,0)</f>
        <v>1655328</v>
      </c>
      <c r="D37" s="260">
        <f ca="1">D19</f>
        <v>8276.64</v>
      </c>
      <c r="E37" s="292">
        <f>'数据-取费表'!B35</f>
        <v>200</v>
      </c>
      <c r="F37" s="302"/>
      <c r="G37" s="304"/>
    </row>
    <row r="38" spans="1:7" ht="13.5" customHeight="1">
      <c r="A38" s="953" t="s">
        <v>799</v>
      </c>
      <c r="B38" s="258" t="s">
        <v>2387</v>
      </c>
      <c r="C38" s="263">
        <f ca="1">ROUND(C34*F38,0)</f>
        <v>496598</v>
      </c>
      <c r="D38" s="263"/>
      <c r="E38" s="263"/>
      <c r="F38" s="302">
        <f>'数据-取费表'!B36</f>
        <v>1.4999999999999999E-2</v>
      </c>
      <c r="G38" s="262" t="s">
        <v>2382</v>
      </c>
    </row>
    <row r="39" spans="1:7" s="257" customFormat="1" ht="13.5" customHeight="1">
      <c r="A39" s="298" t="s">
        <v>2388</v>
      </c>
      <c r="B39" s="253" t="s">
        <v>2389</v>
      </c>
      <c r="C39" s="275">
        <f ca="1">ROUND(C33*F20,0)</f>
        <v>725034</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1756394</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ROUND(IF('数据-取费表'!B22&lt;=1,C33*F22*'数据-取费表'!B20/2,C33*(POWER((1+F22),'数据-取费表'!B20/2)-1)),0)</f>
        <v>1721955</v>
      </c>
      <c r="D42" s="281"/>
      <c r="E42" s="281"/>
      <c r="F42" s="282"/>
      <c r="G42" s="3151" t="s">
        <v>2445</v>
      </c>
    </row>
    <row r="43" spans="1:7" ht="13.5" customHeight="1">
      <c r="A43" s="953" t="s">
        <v>792</v>
      </c>
      <c r="B43" s="258" t="s">
        <v>2399</v>
      </c>
      <c r="C43" s="281">
        <f ca="1">ROUND(IF('数据-取费表'!B22&lt;=1,C39*F22*'数据-取费表'!B20/2,C39*(POWER((1+F22),'数据-取费表'!B20/2)-1)),0)</f>
        <v>34439</v>
      </c>
      <c r="D43" s="281"/>
      <c r="E43" s="281"/>
      <c r="F43" s="282"/>
      <c r="G43" s="3152"/>
    </row>
    <row r="44" spans="1:7" ht="13.5" customHeight="1">
      <c r="A44" s="953" t="s">
        <v>793</v>
      </c>
      <c r="B44" s="258" t="s">
        <v>2400</v>
      </c>
      <c r="C44" s="281">
        <f ca="1">ROUND(IF('数据-取费表'!B22&lt;=1,C40*F22*'数据-取费表'!B20/2,C40*(POWER((1+F22),'数据-取费表'!B20/2)-1)),4)</f>
        <v>1E-3</v>
      </c>
      <c r="D44" s="281"/>
      <c r="E44" s="281"/>
      <c r="F44" s="282"/>
      <c r="G44" s="3153"/>
    </row>
    <row r="45" spans="1:7" s="257" customFormat="1" ht="13.5" customHeight="1">
      <c r="A45" s="298" t="s">
        <v>2401</v>
      </c>
      <c r="B45" s="287" t="s">
        <v>2367</v>
      </c>
      <c r="C45" s="288">
        <f ca="1">C46</f>
        <v>7395343</v>
      </c>
      <c r="D45" s="278">
        <f ca="1">C47</f>
        <v>4.0000000000000001E-3</v>
      </c>
      <c r="E45" s="279" t="s">
        <v>2393</v>
      </c>
      <c r="F45" s="289"/>
      <c r="G45" s="290" t="s">
        <v>2402</v>
      </c>
    </row>
    <row r="46" spans="1:7" s="257" customFormat="1" ht="13.5" customHeight="1">
      <c r="A46" s="953" t="s">
        <v>791</v>
      </c>
      <c r="B46" s="291" t="s">
        <v>2403</v>
      </c>
      <c r="C46" s="292">
        <f ca="1">ROUND((C33+C39)*F27,0)</f>
        <v>7395343</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50047145</v>
      </c>
      <c r="D49" s="275"/>
      <c r="E49" s="275"/>
      <c r="F49" s="307"/>
      <c r="G49" s="277" t="s">
        <v>2408</v>
      </c>
    </row>
    <row r="50" spans="1:7" s="301" customFormat="1">
      <c r="A50" s="298" t="s">
        <v>2409</v>
      </c>
      <c r="B50" s="253" t="s">
        <v>2410</v>
      </c>
      <c r="C50" s="275"/>
      <c r="D50" s="275"/>
      <c r="E50" s="275"/>
      <c r="F50" s="307">
        <f>IF('数据-取费表'!B24=0,'数据-取费表'!N16,1)</f>
        <v>0.75</v>
      </c>
      <c r="G50" s="290"/>
    </row>
    <row r="51" spans="1:7" ht="16.5" customHeight="1">
      <c r="A51" s="298" t="s">
        <v>2412</v>
      </c>
      <c r="B51" s="253" t="s">
        <v>2447</v>
      </c>
      <c r="C51" s="275">
        <f ca="1">ROUND(C49*F50,0)</f>
        <v>37535359</v>
      </c>
      <c r="D51" s="275"/>
      <c r="E51" s="275"/>
      <c r="F51" s="307"/>
      <c r="G51" s="277" t="s">
        <v>2414</v>
      </c>
    </row>
    <row r="52" spans="1:7" s="251" customFormat="1" ht="16.5" thickBot="1">
      <c r="A52" s="308" t="s">
        <v>2415</v>
      </c>
      <c r="B52" s="309"/>
      <c r="C52" s="310">
        <f ca="1">C31+C51</f>
        <v>42284594</v>
      </c>
      <c r="D52" s="309"/>
      <c r="E52" s="309"/>
      <c r="F52" s="309"/>
      <c r="G52" s="311"/>
    </row>
    <row r="55" spans="1:7" ht="15">
      <c r="B55" s="313" t="s">
        <v>2416</v>
      </c>
      <c r="C55" s="314"/>
    </row>
    <row r="56" spans="1:7">
      <c r="B56" s="316" t="s">
        <v>1513</v>
      </c>
      <c r="C56" s="318">
        <f ca="1">1-C57</f>
        <v>0.11199999999999999</v>
      </c>
    </row>
    <row r="57" spans="1:7">
      <c r="B57" s="316" t="s">
        <v>1514</v>
      </c>
      <c r="C57" s="317">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2448</v>
      </c>
      <c r="B1" s="1579"/>
      <c r="C1" s="1580"/>
      <c r="D1" s="1578"/>
      <c r="E1" s="319"/>
      <c r="F1" s="319"/>
      <c r="G1" s="1579"/>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53" t="s">
        <v>2454</v>
      </c>
      <c r="D5" s="2553" t="s">
        <v>2455</v>
      </c>
      <c r="E5" s="2553" t="s">
        <v>2456</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2460</v>
      </c>
      <c r="B8" s="176"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2470</v>
      </c>
      <c r="C12" s="23">
        <f ca="1">ROUND(C11*F12,0)</f>
        <v>0</v>
      </c>
      <c r="D12" s="975"/>
      <c r="E12" s="374"/>
      <c r="F12" s="978">
        <f>'数据-取费表'!B33</f>
        <v>0.03</v>
      </c>
      <c r="G12" s="8" t="s">
        <v>2471</v>
      </c>
      <c r="H12" s="970"/>
      <c r="I12" s="970"/>
      <c r="J12" s="970"/>
      <c r="K12" s="971"/>
    </row>
    <row r="13" spans="1:33" s="977" customFormat="1" ht="13.5" customHeight="1">
      <c r="A13" s="973" t="s">
        <v>1336</v>
      </c>
      <c r="B13" s="974" t="s">
        <v>2472</v>
      </c>
      <c r="C13" s="23">
        <f ca="1">ROUND(IF(C1="",SUMIF('数据-取费表'!C:C,"住宅",'数据-取费表'!P:P)*F13,IF(INDIRECT("'数据-取费表'!c"&amp;$K$1)="住宅",INDIRECT("'数据-取费表'!P"&amp;$K$1)*F13,0)),0)</f>
        <v>0</v>
      </c>
      <c r="D13" s="1035"/>
      <c r="E13" s="374"/>
      <c r="F13" s="978">
        <f>'数据-取费表'!B34</f>
        <v>0</v>
      </c>
      <c r="G13" s="8" t="s">
        <v>2473</v>
      </c>
      <c r="H13" s="970"/>
      <c r="I13" s="970"/>
      <c r="J13" s="970"/>
      <c r="K13" s="971"/>
    </row>
    <row r="14" spans="1:33" s="979" customFormat="1" ht="13.5" customHeight="1">
      <c r="A14" s="973" t="s">
        <v>1337</v>
      </c>
      <c r="B14" s="974" t="s">
        <v>2474</v>
      </c>
      <c r="C14" s="23">
        <f ca="1">ROUND(D14*E14*F11/10000,0)</f>
        <v>0</v>
      </c>
      <c r="D14" s="1035">
        <f ca="1">IF(C1="",'数据-汇总表'!E3,INDIRECT("'数据-取费表'!K"&amp;$K$1)+INDIRECT("'数据-取费表'!S"&amp;$K$1))</f>
        <v>8276.64</v>
      </c>
      <c r="E14" s="23">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39"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39"/>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3">
        <f ca="1">ROUND(D17*E17/10000,0)</f>
        <v>0</v>
      </c>
      <c r="D17" s="1035">
        <f ca="1">D14</f>
        <v>8276.64</v>
      </c>
      <c r="E17" s="23">
        <f>'数据-取费表'!B32</f>
        <v>0</v>
      </c>
      <c r="F17" s="980"/>
      <c r="G17" s="139" t="s">
        <v>2480</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3">
        <f ca="1">C19+C20-IF(C1="",'数据-取费表'!B29,IF(G18="已全部缴纳",C19+C20,H18))</f>
        <v>0</v>
      </c>
      <c r="D18" s="1035"/>
      <c r="E18" s="23"/>
      <c r="F18" s="978"/>
      <c r="G18" s="2555"/>
      <c r="H18" s="1575"/>
      <c r="I18" s="2556" t="s">
        <v>2482</v>
      </c>
      <c r="J18" s="981"/>
      <c r="K18" s="982"/>
    </row>
    <row r="19" spans="1:33" s="977" customFormat="1" ht="13.5" customHeight="1">
      <c r="A19" s="973" t="s">
        <v>805</v>
      </c>
      <c r="B19" s="974" t="s">
        <v>2483</v>
      </c>
      <c r="C19" s="23">
        <f ca="1">ROUND(D19*E19/10000,0)</f>
        <v>0</v>
      </c>
      <c r="D19" s="1035">
        <f ca="1">IF(C1="",'数据-汇总表'!E5,IF(INDIRECT("'数据-取费表'!c"&amp;$K$1)="住宅",INDIRECT("'数据-取费表'!k"&amp;$K$1),0))</f>
        <v>0</v>
      </c>
      <c r="E19" s="23">
        <f>'数据-取费表'!B27</f>
        <v>0</v>
      </c>
      <c r="F19" s="978"/>
      <c r="G19" s="14"/>
      <c r="H19" s="1577"/>
      <c r="I19" s="983"/>
      <c r="J19" s="983"/>
      <c r="K19" s="984"/>
    </row>
    <row r="20" spans="1:33" s="977" customFormat="1" ht="13.5" customHeight="1">
      <c r="A20" s="973" t="s">
        <v>806</v>
      </c>
      <c r="B20" s="974" t="s">
        <v>2484</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2485</v>
      </c>
      <c r="C21" s="988">
        <f ca="1">C16+C17+C18</f>
        <v>0</v>
      </c>
      <c r="D21" s="989"/>
      <c r="E21" s="324"/>
      <c r="F21" s="324"/>
      <c r="G21" s="139" t="s">
        <v>2486</v>
      </c>
      <c r="H21" s="981"/>
      <c r="I21" s="981"/>
      <c r="J21" s="981"/>
      <c r="K21" s="982"/>
    </row>
    <row r="22" spans="1:33" s="977" customFormat="1" ht="13.5" customHeight="1">
      <c r="A22" s="963" t="s">
        <v>2458</v>
      </c>
      <c r="B22" s="987" t="s">
        <v>2487</v>
      </c>
      <c r="C22" s="988">
        <f ca="1">ROUND(C21*F22,0)</f>
        <v>0</v>
      </c>
      <c r="D22" s="324"/>
      <c r="E22" s="324"/>
      <c r="F22" s="990">
        <f>'数据-取费表'!B37</f>
        <v>0.02</v>
      </c>
      <c r="G22" s="8" t="s">
        <v>2488</v>
      </c>
      <c r="H22" s="970"/>
      <c r="I22" s="970"/>
      <c r="J22" s="970"/>
      <c r="K22" s="971"/>
    </row>
    <row r="23" spans="1:33" s="977" customFormat="1" ht="13.5" customHeight="1">
      <c r="A23" s="963" t="s">
        <v>2460</v>
      </c>
      <c r="B23" s="987" t="s">
        <v>2489</v>
      </c>
      <c r="C23" s="988">
        <f ca="1">ROUND(C4*F23*F11,0)</f>
        <v>0</v>
      </c>
      <c r="D23" s="324"/>
      <c r="E23" s="324"/>
      <c r="F23" s="990">
        <f>'数据-取费表'!B38</f>
        <v>0.02</v>
      </c>
      <c r="G23" s="8" t="s">
        <v>2490</v>
      </c>
      <c r="H23" s="970"/>
      <c r="I23" s="970"/>
      <c r="J23" s="970"/>
      <c r="K23" s="971"/>
    </row>
    <row r="24" spans="1:33" s="977" customFormat="1" ht="13.5" customHeight="1">
      <c r="A24" s="963" t="s">
        <v>2491</v>
      </c>
      <c r="B24" s="987" t="s">
        <v>2492</v>
      </c>
      <c r="C24" s="323">
        <f>ROUND(F24/(1+'数据-取费表'!C42),4)</f>
        <v>2.9000000000000001E-2</v>
      </c>
      <c r="D24" s="324" t="s">
        <v>15</v>
      </c>
      <c r="E24" s="324"/>
      <c r="F24" s="990">
        <f>'数据-取费表'!B48+'数据-取费表'!B49</f>
        <v>3.0499999999999999E-2</v>
      </c>
      <c r="G24" s="8" t="s">
        <v>2493</v>
      </c>
      <c r="H24" s="992"/>
      <c r="I24" s="992"/>
      <c r="J24" s="992"/>
      <c r="K24" s="993"/>
    </row>
    <row r="25" spans="1:33" s="977" customFormat="1" ht="13.5" customHeight="1">
      <c r="A25" s="963" t="s">
        <v>2494</v>
      </c>
      <c r="B25" s="989" t="s">
        <v>2495</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2498</v>
      </c>
      <c r="B28" s="2558" t="s">
        <v>2499</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2500</v>
      </c>
      <c r="C29" s="327">
        <f ca="1">ROUND((1+C24)*F28*'数据-取费表'!B24/'数据-取费表'!B20,4)</f>
        <v>0</v>
      </c>
      <c r="D29" s="327"/>
      <c r="E29" s="328"/>
      <c r="F29" s="333"/>
      <c r="G29" s="139" t="s">
        <v>2501</v>
      </c>
      <c r="H29" s="981"/>
      <c r="I29" s="981"/>
      <c r="J29" s="981"/>
      <c r="K29" s="982"/>
    </row>
    <row r="30" spans="1:33" s="334" customFormat="1" ht="13.5" customHeight="1">
      <c r="A30" s="973" t="s">
        <v>804</v>
      </c>
      <c r="B30" s="996" t="s">
        <v>2502</v>
      </c>
      <c r="C30" s="335">
        <f ca="1">ROUND((C21+C22+C23)*F28,0)</f>
        <v>0</v>
      </c>
      <c r="D30" s="327"/>
      <c r="E30" s="328"/>
      <c r="F30" s="333"/>
      <c r="G30" s="139"/>
      <c r="H30" s="981"/>
      <c r="I30" s="981"/>
      <c r="J30" s="981"/>
      <c r="K30" s="982"/>
    </row>
    <row r="31" spans="1:33" s="977" customFormat="1" ht="13.5" customHeight="1" thickBot="1">
      <c r="A31" s="2559"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2793</v>
      </c>
      <c r="B1" s="240"/>
      <c r="C1" s="244" t="s">
        <v>2794</v>
      </c>
      <c r="D1" s="387">
        <f>SUM(D29:D30,D33:D39)</f>
        <v>8276.64</v>
      </c>
      <c r="E1" s="2716"/>
      <c r="F1" s="2716"/>
      <c r="G1" s="2716"/>
      <c r="H1" s="2716"/>
      <c r="I1" s="2716"/>
      <c r="J1" s="2716"/>
      <c r="K1" s="1370"/>
      <c r="L1" s="2717" t="s">
        <v>2795</v>
      </c>
      <c r="M1" s="1080">
        <f>SUMPRODUCT((区片价!B5:B9=I2)*(区片价!C3:F3=E2)*(区片价!C5:F9))</f>
        <v>0</v>
      </c>
      <c r="N1" s="1083">
        <f>SUMPRODUCT((因素修正幅度!B5:B9=I2)*(因素修正幅度!C3:F3=E2)*(因素修正幅度!C5:F9))</f>
        <v>0</v>
      </c>
      <c r="O1" s="2718"/>
      <c r="P1" s="2718"/>
      <c r="Q1" s="1370"/>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4" t="s">
        <v>2801</v>
      </c>
      <c r="B2" s="247">
        <f ca="1">C26</f>
        <v>19736</v>
      </c>
      <c r="C2" s="2720" t="s">
        <v>2802</v>
      </c>
      <c r="D2" s="2721" t="s">
        <v>2803</v>
      </c>
      <c r="E2" s="2722" t="s">
        <v>27</v>
      </c>
      <c r="F2" s="2721" t="s">
        <v>2804</v>
      </c>
      <c r="G2" s="2723" t="str">
        <f>IF(E2="商业",项目基本情况!B37,IF(E2="办公",项目基本情况!C37,IF(E2="住宅",项目基本情况!D37,项目基本情况!E37)))</f>
        <v>二级</v>
      </c>
      <c r="H2" s="2721" t="s">
        <v>2805</v>
      </c>
      <c r="I2" s="2723" t="str">
        <f>IF(E2="商业",项目基本情况!B38,IF(E2="办公",项目基本情况!C38,IF(E2="住宅",项目基本情况!D38,项目基本情况!E38)))</f>
        <v>Ⅱ—03</v>
      </c>
      <c r="J2" s="2724"/>
      <c r="K2" s="1370"/>
      <c r="L2" s="2725" t="s">
        <v>2806</v>
      </c>
      <c r="M2" s="1081">
        <f>SUMPRODUCT((区片价!B10:B28=I2)*(区片价!C3:F3=E2)*(区片价!C10:F28))</f>
        <v>23180</v>
      </c>
      <c r="N2" s="1083">
        <f>SUMPRODUCT((因素修正幅度!B10:B28=I2)*(因素修正幅度!C3:F3=E2)*(因素修正幅度!C10:F28))</f>
        <v>7.0999999999999994E-2</v>
      </c>
      <c r="O2" s="1370"/>
      <c r="P2" s="1370"/>
      <c r="Q2" s="1370"/>
      <c r="R2" s="1600">
        <v>1</v>
      </c>
      <c r="S2" s="1600">
        <f>ROUND(IF(G3&gt;1,IF(R2&lt;7,SUMPRODUCT((B93:B98=R2)*(C92:N92=G2)*(C93:N98)),SUMIF(C92:N92,G2,C100:N100)),IF(R2&lt;7,SUMPRODUCT((B102:B107=R2)*(C92:N92=G2)*(C102:N107)),SUMIF(C92:N92,G2,C109:N109))),4)</f>
        <v>1.9361999999999999</v>
      </c>
      <c r="T2" s="1600">
        <f ca="1">ROUND($C$5*$C$18*$C$19*$C$20*S2*$C$24,0)</f>
        <v>54803</v>
      </c>
      <c r="U2" s="1601"/>
      <c r="V2" s="1600">
        <f ca="1">ROUND(T2*U2/10000,0)</f>
        <v>0</v>
      </c>
      <c r="W2" s="1604"/>
      <c r="X2" s="1604"/>
      <c r="Y2" s="1604"/>
      <c r="Z2" s="1604"/>
      <c r="AA2" s="1604"/>
      <c r="AB2" s="1604"/>
      <c r="AC2" s="1605"/>
      <c r="AD2" s="1606"/>
      <c r="AE2" s="1606"/>
      <c r="AF2" s="1606"/>
      <c r="AG2" s="1606"/>
      <c r="AH2" s="1606"/>
      <c r="AI2" s="1606"/>
      <c r="AJ2" s="1607"/>
    </row>
    <row r="3" spans="1:36" ht="25.5">
      <c r="A3" s="246" t="s">
        <v>2807</v>
      </c>
      <c r="B3" s="247">
        <f ca="1">ROUND(B2*10000/D1,0)</f>
        <v>23845</v>
      </c>
      <c r="C3" s="2720" t="s">
        <v>2808</v>
      </c>
      <c r="D3" s="2721" t="s">
        <v>2809</v>
      </c>
      <c r="E3" s="2726" t="s">
        <v>3074</v>
      </c>
      <c r="F3" s="2727" t="s">
        <v>3140</v>
      </c>
      <c r="G3" s="915">
        <f>IF(F3="宗地容积率",'数据-汇总表'!I4,IF(F3="估价对象容积率",'数据-汇总表'!I6,'数据-汇总表'!I7))</f>
        <v>8.92</v>
      </c>
      <c r="H3" s="197" t="s">
        <v>2810</v>
      </c>
      <c r="I3" s="946"/>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0">
        <v>2</v>
      </c>
      <c r="S3" s="1600">
        <f>ROUND(IF(G3&gt;1,IF(R3&lt;7,SUMPRODUCT((B93:B98=R3)*(C92:N92=G2)*(C93:N98)),SUMIF(C92:N92,G2,C100:N100)),IF(R3&lt;7,SUMPRODUCT((B102:B107=R3)*(C92:N92=G2)*(C102:N107)),SUMIF(C92:N92,G2,C109:N109))),4)</f>
        <v>1.4198</v>
      </c>
      <c r="T3" s="1600">
        <f t="shared" ref="T3:T16" ca="1" si="0">ROUND($C$5*$C$18*$C$19*$C$20*S3*$C$24,0)</f>
        <v>40187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68"/>
      <c r="B4" s="3169"/>
      <c r="C4" s="3169"/>
      <c r="D4" s="3170"/>
      <c r="E4" s="3170"/>
      <c r="F4" s="3170"/>
      <c r="G4" s="3170"/>
      <c r="H4" s="3170"/>
      <c r="I4" s="3170"/>
      <c r="J4" s="3171"/>
      <c r="K4" s="1370"/>
      <c r="L4" s="2725" t="s">
        <v>2813</v>
      </c>
      <c r="M4" s="1081">
        <f>SUMPRODUCT((区片价!B49:B75=I2)*(区片价!C3:F3=E2)*(区片价!C49:F75))</f>
        <v>0</v>
      </c>
      <c r="N4" s="1083">
        <f>SUMPRODUCT((因素修正幅度!B49:B75=I2)*(因素修正幅度!C3:F3=E2)*(因素修正幅度!C49:F75))</f>
        <v>0</v>
      </c>
      <c r="O4" s="1370"/>
      <c r="P4" s="1370"/>
      <c r="Q4" s="1370"/>
      <c r="R4" s="1600">
        <v>3</v>
      </c>
      <c r="S4" s="1600">
        <f>ROUND(IF(G3&gt;1,IF(R4&lt;7,SUMPRODUCT((B93:B98=R4)*(C92:N92=G2)*(C93:N98)),SUMIF(C92:N92,G2,C100:N100)),IF(R4&lt;7,SUMPRODUCT((B102:B107=R4)*(C92:N92=G2)*(C102:N107)),SUMIF(C92:N92,G2,C109:N109))),4)</f>
        <v>1.1594</v>
      </c>
      <c r="T4" s="1600">
        <f t="shared" ca="1" si="0"/>
        <v>32816</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2814</v>
      </c>
      <c r="C5" s="916">
        <f>ROUND(IF(E2="商业",IF(F16="增加",C6*C7+C16,C6*C7-C16),IF(E2="住宅",IF(F16="增加",C6*C12+C16,C6*C12-C16),IF(F16="增加",C6+C16,C6-C16))),0)</f>
        <v>23166</v>
      </c>
      <c r="D5" s="1785">
        <f>ROUND(IF(E2="商业",IF(F16="增加",C6+C16,C6-C16)),0)</f>
        <v>0</v>
      </c>
      <c r="E5" s="2730"/>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0">
        <v>4</v>
      </c>
      <c r="S5" s="1600">
        <f>ROUND(IF(G3&gt;1,IF(R5&lt;7,SUMPRODUCT((B93:B98=R5)*(C92:N92=G2)*(C93:N98)),SUMIF(C92:N92,G2,C100:N100)),IF(R5&lt;7,SUMPRODUCT((B102:B107=R5)*(C92:N92=G2)*(C102:N107)),SUMIF(C92:N92,G2,C109:N109))),4)</f>
        <v>0.96220000000000006</v>
      </c>
      <c r="T5" s="1600">
        <f t="shared" ca="1" si="0"/>
        <v>27234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2816</v>
      </c>
      <c r="B6" s="2739" t="s">
        <v>2817</v>
      </c>
      <c r="C6" s="917">
        <f>SUMIF(L1:L12,G2,M1:M12)</f>
        <v>23180</v>
      </c>
      <c r="D6" s="2740" t="s">
        <v>2818</v>
      </c>
      <c r="E6" s="2741"/>
      <c r="F6" s="2741"/>
      <c r="G6" s="2742"/>
      <c r="H6" s="2742"/>
      <c r="I6" s="2742"/>
      <c r="J6" s="2743"/>
      <c r="K6" s="1840"/>
      <c r="L6" s="2725" t="s">
        <v>2819</v>
      </c>
      <c r="M6" s="1081">
        <f>SUMPRODUCT((区片价!B110:B157=I2)*(区片价!C3:F3=E2)*(区片价!C110:F157))</f>
        <v>0</v>
      </c>
      <c r="N6" s="1083">
        <f>SUMPRODUCT((因素修正幅度!B110:B157=I2)*(因素修正幅度!C3:F3=E2)*(因素修正幅度!C110:F157))</f>
        <v>0</v>
      </c>
      <c r="O6" s="1370"/>
      <c r="P6" s="1370"/>
      <c r="Q6" s="1370"/>
      <c r="R6" s="1600">
        <v>5</v>
      </c>
      <c r="S6" s="1600">
        <f>ROUND(IF(G3&gt;1,IF(R6&lt;7,SUMPRODUCT((B93:B98=R6)*(C92:N92=G2)*(C93:N98)),SUMIF(C92:N92,G2,C100:N100)),IF(R6&lt;7,SUMPRODUCT((B102:B107=R6)*(C92:N92=G2)*(C102:N107)),SUMIF(C92:N92,G2,C109:N109))),4)</f>
        <v>0.8417</v>
      </c>
      <c r="T6" s="1600">
        <f t="shared" ca="1" si="0"/>
        <v>23824</v>
      </c>
      <c r="U6" s="1601"/>
      <c r="V6" s="1600">
        <f t="shared" ca="1" si="1"/>
        <v>0</v>
      </c>
      <c r="W6" s="1604"/>
      <c r="X6" s="1604"/>
      <c r="Y6" s="1604"/>
      <c r="Z6" s="1604"/>
      <c r="AA6" s="1604"/>
      <c r="AB6" s="1604"/>
      <c r="AC6" s="2734"/>
      <c r="AD6" s="2735"/>
      <c r="AE6" s="2735"/>
      <c r="AF6" s="2735"/>
      <c r="AG6" s="2735"/>
      <c r="AH6" s="2735"/>
      <c r="AI6" s="2735"/>
      <c r="AJ6" s="2736"/>
    </row>
    <row r="7" spans="1:36" ht="24">
      <c r="A7" s="3154" t="str">
        <f>IF(E2="商业",IF(C8="不临58条商业街","",2),"")</f>
        <v/>
      </c>
      <c r="B7" s="2744" t="s">
        <v>2820</v>
      </c>
      <c r="C7" s="918">
        <f>IF(C8="不临58条商业街",1,ROUND(1+(1.6*E8+1.2*E9+0.8*E10+0.4*E11)*C9,4))</f>
        <v>1</v>
      </c>
      <c r="D7" s="2745" t="s">
        <v>2821</v>
      </c>
      <c r="E7" s="947"/>
      <c r="F7" s="2746"/>
      <c r="G7" s="2747"/>
      <c r="H7" s="2747"/>
      <c r="I7" s="2747"/>
      <c r="J7" s="2748"/>
      <c r="K7" s="1840"/>
      <c r="L7" s="2725" t="s">
        <v>2822</v>
      </c>
      <c r="M7" s="1081">
        <f>SUMPRODUCT((区片价!B158:B205=I2)*(区片价!C3:F3=E2)*(区片价!C158:F205))</f>
        <v>0</v>
      </c>
      <c r="N7" s="1083">
        <f>SUMPRODUCT((因素修正幅度!B158:B205=I2)*(因素修正幅度!C3:F3=E2)*(因素修正幅度!C158:F205))</f>
        <v>0</v>
      </c>
      <c r="O7" s="1370"/>
      <c r="P7" s="1370"/>
      <c r="Q7" s="1370"/>
      <c r="R7" s="1600">
        <v>6</v>
      </c>
      <c r="S7" s="1600">
        <f>ROUND(IF(G3&gt;1,IF(R7&lt;7,SUMPRODUCT((B93:B98=R7)*(C92:N92=G2)*(C93:N98)),SUMIF(C92:N92,G2,C100:N100)),IF(R7&lt;7,SUMPRODUCT((B102:B107=R7)*(C92:N92=G2)*(C102:N107)),SUMIF(C92:N92,G2,C109:N109))),4)</f>
        <v>0.76080000000000003</v>
      </c>
      <c r="T7" s="1600">
        <f t="shared" ca="1" si="0"/>
        <v>21534</v>
      </c>
      <c r="U7" s="1601"/>
      <c r="V7" s="1600">
        <f t="shared" ca="1" si="1"/>
        <v>0</v>
      </c>
      <c r="W7" s="1814" t="s">
        <v>2823</v>
      </c>
      <c r="X7" s="1602" t="str">
        <f>G2</f>
        <v>二级</v>
      </c>
      <c r="Y7" s="1602" t="s">
        <v>2824</v>
      </c>
      <c r="Z7" s="1603">
        <f>G3</f>
        <v>8.92</v>
      </c>
      <c r="AA7" s="1604"/>
      <c r="AB7" s="1604"/>
      <c r="AC7" s="1605"/>
      <c r="AD7" s="1606"/>
      <c r="AE7" s="1606"/>
      <c r="AF7" s="1606"/>
      <c r="AG7" s="1606"/>
      <c r="AH7" s="1606"/>
      <c r="AI7" s="1606"/>
      <c r="AJ7" s="1607"/>
    </row>
    <row r="8" spans="1:36" ht="25.5">
      <c r="A8" s="3155"/>
      <c r="B8" s="197" t="s">
        <v>2825</v>
      </c>
      <c r="C8" s="2749" t="s">
        <v>3141</v>
      </c>
      <c r="D8" s="919" t="s">
        <v>139</v>
      </c>
      <c r="E8" s="920"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0">
        <v>7</v>
      </c>
      <c r="S8" s="1601"/>
      <c r="T8" s="1600">
        <f t="shared" ca="1" si="0"/>
        <v>0</v>
      </c>
      <c r="U8" s="1601"/>
      <c r="V8" s="1600">
        <f t="shared" ca="1" si="1"/>
        <v>0</v>
      </c>
      <c r="W8" s="3165" t="s">
        <v>2828</v>
      </c>
      <c r="X8" s="3166"/>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155"/>
      <c r="B9" s="197" t="s">
        <v>2841</v>
      </c>
      <c r="C9" s="921">
        <f>SUMIF(修正!C59:C119,C8,修正!E59:E119)</f>
        <v>0</v>
      </c>
      <c r="D9" s="199" t="s">
        <v>140</v>
      </c>
      <c r="E9" s="199"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0">
        <v>8</v>
      </c>
      <c r="S9" s="1601"/>
      <c r="T9" s="1600">
        <f t="shared" ca="1" si="0"/>
        <v>0</v>
      </c>
      <c r="U9" s="1601"/>
      <c r="V9" s="1600">
        <f t="shared" ca="1" si="1"/>
        <v>0</v>
      </c>
      <c r="W9" s="3167"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55"/>
      <c r="B10" s="197" t="s">
        <v>2846</v>
      </c>
      <c r="C10" s="199">
        <f>SUMIF(修正!C59:C119,C8,修正!F59:F119)</f>
        <v>0</v>
      </c>
      <c r="D10" s="199" t="s">
        <v>141</v>
      </c>
      <c r="E10" s="199"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f t="shared" ca="1" si="0"/>
        <v>0</v>
      </c>
      <c r="U10" s="1601"/>
      <c r="V10" s="1600">
        <f t="shared" ca="1" si="1"/>
        <v>0</v>
      </c>
      <c r="W10" s="3167"/>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55"/>
      <c r="B11" s="2753" t="s">
        <v>2849</v>
      </c>
      <c r="C11" s="922">
        <f>C10/4</f>
        <v>0</v>
      </c>
      <c r="D11" s="922" t="s">
        <v>142</v>
      </c>
      <c r="E11" s="922"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f t="shared" ca="1" si="0"/>
        <v>0</v>
      </c>
      <c r="U11" s="1601"/>
      <c r="V11" s="1600">
        <f t="shared" ca="1" si="1"/>
        <v>0</v>
      </c>
      <c r="W11" s="3167" t="s">
        <v>2852</v>
      </c>
      <c r="X11" s="1612" t="s">
        <v>2853</v>
      </c>
      <c r="Y11" s="1613">
        <f>$G$3</f>
        <v>8.92</v>
      </c>
      <c r="Z11" s="1613">
        <f t="shared" ref="Z11:AJ11" si="3">$G$3</f>
        <v>8.92</v>
      </c>
      <c r="AA11" s="1613">
        <f t="shared" si="3"/>
        <v>8.92</v>
      </c>
      <c r="AB11" s="1613">
        <f t="shared" si="3"/>
        <v>8.92</v>
      </c>
      <c r="AC11" s="1613">
        <f t="shared" si="3"/>
        <v>8.92</v>
      </c>
      <c r="AD11" s="1613">
        <f t="shared" si="3"/>
        <v>8.92</v>
      </c>
      <c r="AE11" s="1613">
        <f t="shared" si="3"/>
        <v>8.92</v>
      </c>
      <c r="AF11" s="1613">
        <f t="shared" si="3"/>
        <v>8.92</v>
      </c>
      <c r="AG11" s="1613">
        <f t="shared" si="3"/>
        <v>8.92</v>
      </c>
      <c r="AH11" s="1613">
        <f t="shared" si="3"/>
        <v>8.92</v>
      </c>
      <c r="AI11" s="1613">
        <f t="shared" si="3"/>
        <v>8.92</v>
      </c>
      <c r="AJ11" s="1613">
        <f t="shared" si="3"/>
        <v>8.92</v>
      </c>
    </row>
    <row r="12" spans="1:36" ht="25.5" thickBot="1">
      <c r="A12" s="3154" t="s">
        <v>2854</v>
      </c>
      <c r="B12" s="2757" t="s">
        <v>2855</v>
      </c>
      <c r="C12" s="918">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f t="shared" ca="1" si="0"/>
        <v>0</v>
      </c>
      <c r="U12" s="1601"/>
      <c r="V12" s="1600">
        <f t="shared" ca="1" si="1"/>
        <v>0</v>
      </c>
      <c r="W12" s="3167"/>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2"/>
      <c r="B13" s="2763" t="s">
        <v>2859</v>
      </c>
      <c r="C13" s="2764" t="s">
        <v>2860</v>
      </c>
      <c r="D13" s="1806" t="s">
        <v>2861</v>
      </c>
      <c r="E13" s="1806" t="s">
        <v>2862</v>
      </c>
      <c r="F13" s="29" t="s">
        <v>2863</v>
      </c>
      <c r="G13" s="2765" t="s">
        <v>2864</v>
      </c>
      <c r="H13" s="2765" t="s">
        <v>2864</v>
      </c>
      <c r="I13" s="2765" t="s">
        <v>2864</v>
      </c>
      <c r="J13" s="2766" t="s">
        <v>2864</v>
      </c>
      <c r="K13" s="1370"/>
      <c r="L13" s="1370"/>
      <c r="M13" s="1370"/>
      <c r="N13" s="1370"/>
      <c r="O13" s="1370"/>
      <c r="P13" s="1370"/>
      <c r="Q13" s="1370"/>
      <c r="R13" s="1600">
        <v>12</v>
      </c>
      <c r="S13" s="1601"/>
      <c r="T13" s="1600">
        <f t="shared" ca="1" si="0"/>
        <v>0</v>
      </c>
      <c r="U13" s="1601"/>
      <c r="V13" s="1600">
        <f t="shared" ca="1" si="1"/>
        <v>0</v>
      </c>
      <c r="W13" s="3167"/>
      <c r="X13" s="1614"/>
      <c r="Y13" s="1611">
        <f>(-0.163*(Y12^2)-0.59*Y12+7617)*(10^(-4))/Y11</f>
        <v>8.5392376681614354E-2</v>
      </c>
      <c r="Z13" s="1611">
        <f t="shared" ref="Z13:AJ13" si="5">(-0.163*(Z12^2)-0.59*Z12+7617)*(10^(-4))/Z11</f>
        <v>8.5392376681614354E-2</v>
      </c>
      <c r="AA13" s="1611">
        <f t="shared" si="5"/>
        <v>8.5392376681614354E-2</v>
      </c>
      <c r="AB13" s="1611">
        <f t="shared" si="5"/>
        <v>8.5392376681614354E-2</v>
      </c>
      <c r="AC13" s="1611">
        <f t="shared" si="5"/>
        <v>8.5392376681614354E-2</v>
      </c>
      <c r="AD13" s="1611">
        <f t="shared" si="5"/>
        <v>8.5392376681614354E-2</v>
      </c>
      <c r="AE13" s="1611">
        <f t="shared" si="5"/>
        <v>8.5392376681614354E-2</v>
      </c>
      <c r="AF13" s="1611">
        <f t="shared" si="5"/>
        <v>8.5392376681614354E-2</v>
      </c>
      <c r="AG13" s="1611">
        <f t="shared" si="5"/>
        <v>8.5392376681614354E-2</v>
      </c>
      <c r="AH13" s="1611">
        <f t="shared" si="5"/>
        <v>8.5392376681614354E-2</v>
      </c>
      <c r="AI13" s="1611">
        <f t="shared" si="5"/>
        <v>8.5392376681614354E-2</v>
      </c>
      <c r="AJ13" s="1611">
        <f t="shared" si="5"/>
        <v>8.5392376681614354E-2</v>
      </c>
    </row>
    <row r="14" spans="1:36" ht="15">
      <c r="A14" s="3172"/>
      <c r="B14" s="2767"/>
      <c r="C14" s="2768"/>
      <c r="D14" s="2769"/>
      <c r="E14" s="2769"/>
      <c r="F14" s="2770"/>
      <c r="G14" s="2771" t="s">
        <v>2865</v>
      </c>
      <c r="H14" s="2772"/>
      <c r="I14" s="2773"/>
      <c r="J14" s="2774"/>
      <c r="K14" s="1370"/>
      <c r="L14" s="1370"/>
      <c r="M14" s="1370"/>
      <c r="N14" s="1370"/>
      <c r="O14" s="1370"/>
      <c r="P14" s="1370"/>
      <c r="Q14" s="1370"/>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3"/>
      <c r="B15" s="2775" t="s">
        <v>2866</v>
      </c>
      <c r="C15" s="228">
        <f>IF(C14="有",1.1,1)</f>
        <v>1</v>
      </c>
      <c r="D15" s="228">
        <f>IF(D14="有",1.1,1)</f>
        <v>1</v>
      </c>
      <c r="E15" s="228">
        <f>IF(E14="有",1.1,1)</f>
        <v>1</v>
      </c>
      <c r="F15" s="228">
        <f>IF(F14="500米范围内",1.2,IF(F14="500-1000米",1.1,1))</f>
        <v>1</v>
      </c>
      <c r="G15" s="948">
        <v>1</v>
      </c>
      <c r="H15" s="948">
        <v>1</v>
      </c>
      <c r="I15" s="948">
        <v>1</v>
      </c>
      <c r="J15" s="949">
        <v>1</v>
      </c>
      <c r="K15" s="1370"/>
      <c r="L15" s="2776" t="s">
        <v>2803</v>
      </c>
      <c r="M15" s="919" t="s">
        <v>2867</v>
      </c>
      <c r="N15" s="919" t="s">
        <v>2868</v>
      </c>
      <c r="O15" s="919" t="s">
        <v>2869</v>
      </c>
      <c r="P15" s="2777" t="s">
        <v>2870</v>
      </c>
      <c r="Q15" s="1370"/>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54" t="s">
        <v>2871</v>
      </c>
      <c r="B16" s="2744" t="s">
        <v>2872</v>
      </c>
      <c r="C16" s="1799">
        <f>ROUND(SUM(G17:J17)/C17,0)</f>
        <v>14</v>
      </c>
      <c r="D16" s="2778" t="s">
        <v>2873</v>
      </c>
      <c r="E16" s="2779" t="s">
        <v>3075</v>
      </c>
      <c r="F16" s="2780" t="s">
        <v>3076</v>
      </c>
      <c r="G16" s="2781" t="s">
        <v>3065</v>
      </c>
      <c r="H16" s="2781"/>
      <c r="I16" s="2781"/>
      <c r="J16" s="2782"/>
      <c r="K16" s="1370"/>
      <c r="L16" s="2783" t="s">
        <v>2874</v>
      </c>
      <c r="M16" s="921">
        <v>0.25</v>
      </c>
      <c r="N16" s="921">
        <v>0.2</v>
      </c>
      <c r="O16" s="921">
        <v>0.15</v>
      </c>
      <c r="P16" s="1369">
        <v>0.1</v>
      </c>
      <c r="Q16" s="1370"/>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55"/>
      <c r="B17" s="2784" t="s">
        <v>2875</v>
      </c>
      <c r="C17" s="923">
        <f>SUMPRODUCT((修正!A2:A5=E2)*(修正!B1:M1=G2)*(修正!B2:M5))</f>
        <v>3.5</v>
      </c>
      <c r="D17" s="2785" t="s">
        <v>2876</v>
      </c>
      <c r="E17" s="922" t="str">
        <f>IF(OR(G2="八级",G2="九级",G2="十级",G2="十一级",G2="十二级"),"五通一平","七通一平")</f>
        <v>七通一平</v>
      </c>
      <c r="F17" s="923" t="s">
        <v>2877</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6" t="s">
        <v>2878</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2879</v>
      </c>
      <c r="C18" s="925">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2880</v>
      </c>
      <c r="C19" s="926">
        <f>ROUND(IF(H19="按公示增长率计算",SUMPRODUCT((地价!A3:A24=YEAR(G19)&amp;"-"&amp;ROUNDUP(MONTH(G19)/3,0))*(地价!X2:AB2=E2)*(地价!X3:AB24)),IF(H19="地价指数",M20/M19,(1+I19)^O19)),4)</f>
        <v>1.3237000000000001</v>
      </c>
      <c r="D19" s="2796" t="s">
        <v>2881</v>
      </c>
      <c r="E19" s="927">
        <v>41640</v>
      </c>
      <c r="F19" s="2796" t="s">
        <v>2882</v>
      </c>
      <c r="G19" s="928">
        <f>'数据-取费表'!B2</f>
        <v>43452</v>
      </c>
      <c r="H19" s="2797" t="s">
        <v>3077</v>
      </c>
      <c r="I19" s="929" t="str">
        <f>IF(H19="季度增幅（自定义）",SUMIF(N21:N24,E2,O21:O24),"")</f>
        <v/>
      </c>
      <c r="J19" s="2794"/>
      <c r="K19" s="1377"/>
      <c r="L19" s="2798" t="s">
        <v>2883</v>
      </c>
      <c r="M19" s="1732">
        <f>ROUND(SUMIF(地价!B2:F2,E2,地价!B24:F24),0)</f>
        <v>258</v>
      </c>
      <c r="N19" s="2799" t="s">
        <v>2884</v>
      </c>
      <c r="O19" s="930">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2885</v>
      </c>
      <c r="C20" s="931">
        <f ca="1">ROUND(POWER(1+G20,J20-I20)*(POWER(1+G20,I20)-1)/(POWER(1+G20,J20)-1),4)</f>
        <v>0.87739999999999996</v>
      </c>
      <c r="D20" s="2805" t="s">
        <v>2886</v>
      </c>
      <c r="E20" s="1766">
        <f ca="1">存贷款利率!D4/100</f>
        <v>4.3499999999999997E-2</v>
      </c>
      <c r="F20" s="2805" t="s">
        <v>2878</v>
      </c>
      <c r="G20" s="936">
        <f ca="1">SUMIF(M15:P15,E2,M17:P17)</f>
        <v>5.1999999999999998E-2</v>
      </c>
      <c r="H20" s="2805" t="s">
        <v>2887</v>
      </c>
      <c r="I20" s="937">
        <f>SUMIF('数据-取费表'!C6:C15,E2,'数据-取费表'!F6:F15)/COUNTIF('数据-取费表'!C6:C15,E2)</f>
        <v>32.54</v>
      </c>
      <c r="J20" s="938">
        <f>IF(E2="住宅",70,IF(E2="商业",40,50))</f>
        <v>50</v>
      </c>
      <c r="K20" s="1377"/>
      <c r="L20" s="2806" t="s">
        <v>2888</v>
      </c>
      <c r="M20" s="1733">
        <f>ROUND(SUMPRODUCT((地价!A4:A24=YEAR(G19)&amp;"-"&amp;ROUNDUP(MONTH(G19)/3,0))*(地价!B2:F2=E2)*(地价!B4:F24)),0)</f>
        <v>341</v>
      </c>
      <c r="N20" s="2807" t="s">
        <v>2889</v>
      </c>
      <c r="O20" s="2808" t="s">
        <v>2890</v>
      </c>
      <c r="P20" s="2809" t="s">
        <v>2891</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3078</v>
      </c>
      <c r="C21" s="939">
        <f>IF(B21="容积率修正",IF(G3&lt;=10,D22,J22),C23)</f>
        <v>0.84250000000000003</v>
      </c>
      <c r="D21" s="2812"/>
      <c r="E21" s="2812"/>
      <c r="F21" s="2812"/>
      <c r="G21" s="2812"/>
      <c r="H21" s="2812"/>
      <c r="I21" s="2812"/>
      <c r="J21" s="2813"/>
      <c r="K21" s="1377"/>
      <c r="N21" s="2814" t="s">
        <v>2892</v>
      </c>
      <c r="O21" s="1559"/>
      <c r="P21" s="1560">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15" t="s">
        <v>2894</v>
      </c>
      <c r="C22" s="1808" t="s">
        <v>2895</v>
      </c>
      <c r="D22" s="1808">
        <f>IF(E22=G22,F22,IF(G3&lt;=10,ROUND(F22+(H22-F22)*(G3-E22)/(G22-E22),4),"——"))</f>
        <v>0.84250000000000003</v>
      </c>
      <c r="E22" s="915">
        <f>ROUNDDOWN(G3,1)</f>
        <v>8.9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8" t="s">
        <v>155</v>
      </c>
      <c r="J22" s="940" t="str">
        <f>IF(G3&gt;10,D113,"——")</f>
        <v>——</v>
      </c>
      <c r="K22" s="1377"/>
      <c r="N22" s="2814" t="s">
        <v>2896</v>
      </c>
      <c r="O22" s="1559"/>
      <c r="P22" s="1560">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2897</v>
      </c>
      <c r="B23" s="2816" t="s">
        <v>2898</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2899</v>
      </c>
      <c r="O23" s="1559"/>
      <c r="P23" s="1560">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2900</v>
      </c>
      <c r="C24" s="926">
        <f>SUMIF(A45:A88,E2,B45:B88)</f>
        <v>1.052</v>
      </c>
      <c r="D24" s="2792"/>
      <c r="E24" s="2822"/>
      <c r="F24" s="2822"/>
      <c r="G24" s="2822"/>
      <c r="H24" s="2822"/>
      <c r="I24" s="2822"/>
      <c r="J24" s="2823"/>
      <c r="K24" s="1377"/>
      <c r="N24" s="2824" t="s">
        <v>2901</v>
      </c>
      <c r="O24" s="1561"/>
      <c r="P24" s="1562">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2902</v>
      </c>
      <c r="C25" s="932"/>
      <c r="D25" s="2747"/>
      <c r="E25" s="2747"/>
      <c r="F25" s="2826"/>
      <c r="G25" s="2747"/>
      <c r="H25" s="2747"/>
      <c r="I25" s="2747"/>
      <c r="J25" s="2748"/>
      <c r="K25" s="1370"/>
      <c r="N25" s="2827" t="s">
        <v>2903</v>
      </c>
      <c r="O25" s="1563"/>
      <c r="P25" s="1562">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2904</v>
      </c>
      <c r="C26" s="205">
        <f ca="1">E29+SUM(E33:E39)</f>
        <v>19736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2905</v>
      </c>
      <c r="C27" s="933">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2906</v>
      </c>
      <c r="C28" s="2839" t="s">
        <v>2907</v>
      </c>
      <c r="D28" s="2839" t="s">
        <v>2908</v>
      </c>
      <c r="E28" s="2840" t="s">
        <v>2909</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2910</v>
      </c>
      <c r="C29" s="205">
        <f ca="1">ROUND(C5*C18*C19*C20*C21*C24,0)</f>
        <v>23846</v>
      </c>
      <c r="D29" s="2844">
        <f>'数据-汇总表'!E19</f>
        <v>8276.64</v>
      </c>
      <c r="E29" s="944">
        <f ca="1">ROUND(C29*D29/10000,0)</f>
        <v>19736</v>
      </c>
      <c r="F29" s="2845" t="s">
        <v>2911</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2912</v>
      </c>
      <c r="C30" s="228">
        <f ca="1">ROUND(IF(E2="工业",C29*M39,C29*M38),0)</f>
        <v>5962</v>
      </c>
      <c r="D30" s="2850"/>
      <c r="E30" s="944">
        <f ca="1">ROUND(C30*D30/10000,0)</f>
        <v>0</v>
      </c>
      <c r="F30" s="2851" t="s">
        <v>2913</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2914</v>
      </c>
      <c r="C31" s="2856" t="s">
        <v>2915</v>
      </c>
      <c r="D31" s="2760"/>
      <c r="E31" s="2856"/>
      <c r="F31" s="2856"/>
      <c r="G31" s="2758" t="s">
        <v>2916</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2907</v>
      </c>
      <c r="D32" s="497" t="s">
        <v>2908</v>
      </c>
      <c r="E32" s="497" t="s">
        <v>2909</v>
      </c>
      <c r="F32" s="387" t="s">
        <v>2917</v>
      </c>
      <c r="G32" s="2859" t="s">
        <v>2907</v>
      </c>
      <c r="H32" s="2859" t="s">
        <v>2908</v>
      </c>
      <c r="I32" s="2859" t="s">
        <v>2909</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62" t="s">
        <v>2918</v>
      </c>
      <c r="B33" s="2860" t="s">
        <v>2919</v>
      </c>
      <c r="C33" s="205">
        <f ca="1">ROUND(D5*C19*C20*C24*F33,0)</f>
        <v>0</v>
      </c>
      <c r="D33" s="2844"/>
      <c r="E33" s="199">
        <f ca="1">ROUND(C33*D33/10000,0)</f>
        <v>0</v>
      </c>
      <c r="F33" s="199">
        <f>SUMIF(修正!A45:A56,G2,修正!B45:B56)</f>
        <v>0.8</v>
      </c>
      <c r="G33" s="199">
        <f t="shared" ref="G33" ca="1" si="6">ROUND(IF(E2="工业",C33*$M$39,C33*$M$38),0)</f>
        <v>0</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3"/>
      <c r="B34" s="2764" t="s">
        <v>2920</v>
      </c>
      <c r="C34" s="205">
        <f ca="1">ROUND(D5*C19*C20*C24*F34,0)</f>
        <v>0</v>
      </c>
      <c r="D34" s="2844"/>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3"/>
      <c r="B35" s="2764" t="s">
        <v>2921</v>
      </c>
      <c r="C35" s="205">
        <f ca="1">ROUND(D5*C19*C20*C24*F35,0)</f>
        <v>0</v>
      </c>
      <c r="D35" s="2844"/>
      <c r="E35" s="199">
        <f t="shared" ca="1" si="7"/>
        <v>0</v>
      </c>
      <c r="F35" s="199">
        <f>SUMIF(修正!A45:A56,G2,修正!D45:D56)</f>
        <v>0.36</v>
      </c>
      <c r="G35" s="199">
        <f ca="1">ROUND(IF(E2="工业",C35*$M$39,C35*$M$38),0)</f>
        <v>0</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64"/>
      <c r="B36" s="2764" t="s">
        <v>2922</v>
      </c>
      <c r="C36" s="205">
        <f ca="1">ROUND(D5*C19*C20*C24*F36,0)</f>
        <v>0</v>
      </c>
      <c r="D36" s="2844"/>
      <c r="E36" s="199">
        <f t="shared" ca="1" si="7"/>
        <v>0</v>
      </c>
      <c r="F36" s="199">
        <f>SUMIF(修正!A45:A56,G2,修正!E45:E56)</f>
        <v>0.3</v>
      </c>
      <c r="G36" s="199">
        <f ca="1">ROUND(IF(E2="工业",C36*$M$39,C36*$M$38),0)</f>
        <v>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2923</v>
      </c>
      <c r="C37" s="199">
        <f ca="1">ROUND(C5*C19*C20*C24*F37,0)</f>
        <v>8491</v>
      </c>
      <c r="D37" s="2844"/>
      <c r="E37" s="199">
        <f t="shared" ca="1" si="7"/>
        <v>0</v>
      </c>
      <c r="F37" s="205">
        <f>SUMIF(修正!A45:A56,G2,修正!F45:F56)</f>
        <v>0.3</v>
      </c>
      <c r="G37" s="199">
        <f ca="1">ROUND(IF(E2="工业",C37*$M$39,C37*$M$38),0)</f>
        <v>2123</v>
      </c>
      <c r="H37" s="199">
        <f t="shared" si="8"/>
        <v>0</v>
      </c>
      <c r="I37" s="199">
        <f t="shared" ca="1" si="9"/>
        <v>0</v>
      </c>
      <c r="J37" s="2861"/>
      <c r="K37" s="1370"/>
      <c r="L37" s="2863" t="s">
        <v>2924</v>
      </c>
      <c r="M37" s="2864"/>
      <c r="N37" s="1370"/>
      <c r="O37" s="1370"/>
      <c r="P37" s="1370"/>
      <c r="Q37" s="1370"/>
      <c r="R37" s="1370"/>
      <c r="S37" s="1370"/>
      <c r="T37" s="1370"/>
      <c r="U37" s="1370"/>
      <c r="V37" s="1370"/>
      <c r="W37" s="1370"/>
      <c r="X37" s="1370"/>
      <c r="Y37" s="1370"/>
      <c r="Z37" s="1371"/>
    </row>
    <row r="38" spans="1:37">
      <c r="A38" s="2862"/>
      <c r="B38" s="2764" t="s">
        <v>2925</v>
      </c>
      <c r="C38" s="199">
        <f ca="1">ROUND(C5*C19*C20*C24*F38,0)</f>
        <v>8491</v>
      </c>
      <c r="D38" s="2844"/>
      <c r="E38" s="199">
        <f t="shared" ca="1" si="7"/>
        <v>0</v>
      </c>
      <c r="F38" s="205">
        <f>SUMIF(修正!A45:A56,G2,修正!G45:G56)</f>
        <v>0.3</v>
      </c>
      <c r="G38" s="199">
        <f ca="1">ROUND(IF(E2="工业",C38*$M$39,C38*$M$38),0)</f>
        <v>2123</v>
      </c>
      <c r="H38" s="199">
        <f t="shared" si="8"/>
        <v>0</v>
      </c>
      <c r="I38" s="199">
        <f t="shared" ca="1" si="9"/>
        <v>0</v>
      </c>
      <c r="J38" s="2861"/>
      <c r="K38" s="1370"/>
      <c r="L38" s="1885" t="s">
        <v>2926</v>
      </c>
      <c r="M38" s="2865">
        <v>0.25</v>
      </c>
      <c r="N38" s="1370"/>
      <c r="O38" s="1370"/>
      <c r="P38" s="1370"/>
      <c r="Q38" s="1370"/>
      <c r="R38" s="1370"/>
      <c r="S38" s="1370"/>
      <c r="T38" s="1370"/>
      <c r="U38" s="1370"/>
      <c r="V38" s="1370"/>
      <c r="W38" s="1370"/>
      <c r="X38" s="1370"/>
      <c r="Y38" s="1370"/>
      <c r="Z38" s="1371"/>
    </row>
    <row r="39" spans="1:37" ht="13.5" thickBot="1">
      <c r="A39" s="2848"/>
      <c r="B39" s="2866" t="s">
        <v>2927</v>
      </c>
      <c r="C39" s="228">
        <f ca="1">ROUND(C5*C19*C20*C24*F39,0)</f>
        <v>7076</v>
      </c>
      <c r="D39" s="2850"/>
      <c r="E39" s="228">
        <f t="shared" ca="1" si="7"/>
        <v>0</v>
      </c>
      <c r="F39" s="934">
        <f>SUMIF(修正!A45:A56,G2,修正!H45:H56)</f>
        <v>0.25</v>
      </c>
      <c r="G39" s="228">
        <f ca="1">ROUND(IF(E2="工业",C39*$M$39,C39*$M$38),0)</f>
        <v>1769</v>
      </c>
      <c r="H39" s="228">
        <f t="shared" si="8"/>
        <v>0</v>
      </c>
      <c r="I39" s="228">
        <f t="shared" ca="1" si="9"/>
        <v>0</v>
      </c>
      <c r="J39" s="2867"/>
      <c r="K39" s="1370"/>
      <c r="L39" s="2868" t="s">
        <v>2870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2928</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2929</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2930</v>
      </c>
      <c r="B47" s="1807" t="s">
        <v>2931</v>
      </c>
      <c r="C47" s="1807" t="s">
        <v>2932</v>
      </c>
      <c r="D47" s="1807" t="s">
        <v>2933</v>
      </c>
      <c r="E47" s="818" t="s">
        <v>2934</v>
      </c>
      <c r="F47" s="2878" t="s">
        <v>2935</v>
      </c>
      <c r="G47" s="1807" t="s">
        <v>754</v>
      </c>
      <c r="H47" s="2879" t="s">
        <v>2936</v>
      </c>
      <c r="I47" s="1807" t="s">
        <v>2937</v>
      </c>
      <c r="J47" s="602" t="s">
        <v>2586</v>
      </c>
      <c r="K47" s="602" t="s">
        <v>2587</v>
      </c>
      <c r="L47" s="602" t="s">
        <v>2588</v>
      </c>
      <c r="M47" s="602" t="s">
        <v>2589</v>
      </c>
      <c r="N47" s="602" t="s">
        <v>2590</v>
      </c>
      <c r="AA47" s="1371"/>
      <c r="AB47" s="1371"/>
      <c r="AC47" s="1371"/>
      <c r="AD47" s="1371"/>
      <c r="AE47" s="1371"/>
      <c r="AF47" s="1371"/>
      <c r="AG47" s="1371"/>
      <c r="AH47" s="1371"/>
      <c r="AI47" s="1371"/>
      <c r="AJ47" s="1371"/>
      <c r="AK47" s="1371"/>
    </row>
    <row r="48" spans="1:37" s="1370" customFormat="1" ht="24.75" hidden="1">
      <c r="A48" s="2877" t="s">
        <v>2938</v>
      </c>
      <c r="B48" s="2880">
        <f>估价对象房地状况!C4</f>
        <v>0</v>
      </c>
      <c r="C48" s="2769"/>
      <c r="D48" s="1286">
        <f t="shared" ref="D48:D56" si="10">SUMIF($J$47:$N$47,C48,J48:N48)</f>
        <v>0</v>
      </c>
      <c r="E48" s="820">
        <f>ROUND(SUM(D48:D56),4)</f>
        <v>0</v>
      </c>
      <c r="F48" s="2500"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7" t="s">
        <v>2939</v>
      </c>
      <c r="B49" s="2881" t="str">
        <f>估价对象房地状况!C18</f>
        <v>估价对象紧邻中关村大街，紧挨地铁4号线中关村站，附近有302、307、320、332等多条公交线路，估价对象有地下停车场，路边停车位，停车较便捷，综合评价交通便捷度好</v>
      </c>
      <c r="C49" s="2769"/>
      <c r="D49" s="1286">
        <f t="shared" si="10"/>
        <v>0</v>
      </c>
      <c r="E49" s="821"/>
      <c r="F49" s="2500"/>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2940</v>
      </c>
      <c r="B50" s="2881">
        <f>估价对象房地状况!C19</f>
        <v>0</v>
      </c>
      <c r="C50" s="2769"/>
      <c r="D50" s="1286">
        <f t="shared" si="10"/>
        <v>0</v>
      </c>
      <c r="E50" s="821"/>
      <c r="F50" s="2500"/>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2941</v>
      </c>
      <c r="B51" s="2882" t="s">
        <v>2942</v>
      </c>
      <c r="C51" s="2769"/>
      <c r="D51" s="1286">
        <f t="shared" si="10"/>
        <v>0</v>
      </c>
      <c r="E51" s="821"/>
      <c r="F51" s="2500"/>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2943</v>
      </c>
      <c r="B52" s="2881" t="str">
        <f>估价对象房地状况!C24</f>
        <v>城市次干道-中关村大街</v>
      </c>
      <c r="C52" s="2769"/>
      <c r="D52" s="1286">
        <f t="shared" si="10"/>
        <v>0</v>
      </c>
      <c r="E52" s="821"/>
      <c r="F52" s="2500"/>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2944</v>
      </c>
      <c r="B53" s="2883" t="s">
        <v>2945</v>
      </c>
      <c r="C53" s="2769"/>
      <c r="D53" s="1286">
        <f t="shared" si="10"/>
        <v>0</v>
      </c>
      <c r="E53" s="821"/>
      <c r="F53" s="2500"/>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4" t="s">
        <v>2946</v>
      </c>
      <c r="B54" s="1723" t="str">
        <f>估价对象房地状况!C21</f>
        <v>估价对象附近分布较多银行、医院、餐饮、购物中心等公共配套设施，程度较好</v>
      </c>
      <c r="C54" s="2769"/>
      <c r="D54" s="1286">
        <f t="shared" si="10"/>
        <v>0</v>
      </c>
      <c r="E54" s="821"/>
      <c r="F54" s="2500"/>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4" t="s">
        <v>2947</v>
      </c>
      <c r="B55" s="2881" t="str">
        <f>估价对象房地状况!C22</f>
        <v>七通一平</v>
      </c>
      <c r="C55" s="2769"/>
      <c r="D55" s="1286">
        <f t="shared" si="10"/>
        <v>0</v>
      </c>
      <c r="E55" s="821"/>
      <c r="F55" s="2500"/>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5" t="s">
        <v>2948</v>
      </c>
      <c r="B56" s="2886" t="str">
        <f>估价对象房地状况!C20</f>
        <v>区域自然环境：海淀公园、北京大学未名湖；人文环境：北京大学、北大附中、中关村中学、中国人民大学；综合评价环境状况较好</v>
      </c>
      <c r="C56" s="2769"/>
      <c r="D56" s="1286">
        <f t="shared" si="10"/>
        <v>0</v>
      </c>
      <c r="E56" s="824"/>
      <c r="F56" s="2500"/>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2949</v>
      </c>
      <c r="B57" s="2874">
        <f>1+E59</f>
        <v>1.052</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2930</v>
      </c>
      <c r="B58" s="1807"/>
      <c r="C58" s="1807" t="s">
        <v>2932</v>
      </c>
      <c r="D58" s="1807" t="s">
        <v>2933</v>
      </c>
      <c r="E58" s="818" t="s">
        <v>2934</v>
      </c>
      <c r="F58" s="2878" t="s">
        <v>2950</v>
      </c>
      <c r="G58" s="1807" t="s">
        <v>754</v>
      </c>
      <c r="H58" s="2879" t="s">
        <v>2936</v>
      </c>
      <c r="I58" s="1807" t="s">
        <v>2937</v>
      </c>
      <c r="J58" s="602" t="s">
        <v>2586</v>
      </c>
      <c r="K58" s="602" t="s">
        <v>2587</v>
      </c>
      <c r="L58" s="602" t="s">
        <v>2588</v>
      </c>
      <c r="M58" s="602" t="s">
        <v>2589</v>
      </c>
      <c r="N58" s="602" t="s">
        <v>2590</v>
      </c>
      <c r="AA58" s="1371"/>
      <c r="AB58" s="1371"/>
      <c r="AC58" s="1371"/>
      <c r="AD58" s="1371"/>
      <c r="AE58" s="1371"/>
      <c r="AF58" s="1371"/>
      <c r="AG58" s="1371"/>
      <c r="AH58" s="1371"/>
      <c r="AI58" s="1371"/>
      <c r="AJ58" s="1371"/>
      <c r="AK58" s="1371"/>
    </row>
    <row r="59" spans="1:37" s="1370" customFormat="1" ht="63.75">
      <c r="A59" s="2877" t="s">
        <v>2951</v>
      </c>
      <c r="B59" s="2880" t="str">
        <f>估价对象房地状况!C17</f>
        <v>估价对象位于中关村商圈，周边有鼎好电子大厦、海龙大厦写字楼等写字楼，办公项目较多，入驻率高，办公集聚程度好</v>
      </c>
      <c r="C59" s="2769" t="s">
        <v>3083</v>
      </c>
      <c r="D59" s="1286">
        <f t="shared" ref="D59:D67" si="15">SUMIF($J$58:$N$58,C59,J59:N59)</f>
        <v>1.6E-2</v>
      </c>
      <c r="E59" s="820">
        <f>ROUND(SUM(D59:D67),4)</f>
        <v>5.1999999999999998E-2</v>
      </c>
      <c r="F59" s="2500">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7" t="s">
        <v>2939</v>
      </c>
      <c r="B60" s="2881" t="str">
        <f>估价对象房地状况!C18</f>
        <v>估价对象紧邻中关村大街，紧挨地铁4号线中关村站，附近有302、307、320、332等多条公交线路，估价对象有地下停车场，路边停车位，停车较便捷，综合评价交通便捷度好</v>
      </c>
      <c r="C60" s="2769" t="s">
        <v>3083</v>
      </c>
      <c r="D60" s="1286">
        <f t="shared" si="15"/>
        <v>0.02</v>
      </c>
      <c r="E60" s="821"/>
      <c r="F60" s="2500"/>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7" t="s">
        <v>2940</v>
      </c>
      <c r="B61" s="2881">
        <f>估价对象房地状况!C19</f>
        <v>0</v>
      </c>
      <c r="C61" s="2769" t="s">
        <v>3081</v>
      </c>
      <c r="D61" s="1286">
        <f t="shared" si="15"/>
        <v>2E-3</v>
      </c>
      <c r="E61" s="821"/>
      <c r="F61" s="2500"/>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7" t="s">
        <v>2941</v>
      </c>
      <c r="B62" s="2949" t="s">
        <v>3079</v>
      </c>
      <c r="C62" s="2769" t="s">
        <v>3081</v>
      </c>
      <c r="D62" s="1286">
        <f t="shared" si="15"/>
        <v>1E-3</v>
      </c>
      <c r="E62" s="821"/>
      <c r="F62" s="2500"/>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7" t="s">
        <v>2943</v>
      </c>
      <c r="B63" s="2881" t="str">
        <f>估价对象房地状况!C24</f>
        <v>城市次干道-中关村大街</v>
      </c>
      <c r="C63" s="2769" t="s">
        <v>3082</v>
      </c>
      <c r="D63" s="1286">
        <f t="shared" si="15"/>
        <v>0</v>
      </c>
      <c r="E63" s="821"/>
      <c r="F63" s="2500"/>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7" t="s">
        <v>2944</v>
      </c>
      <c r="B64" s="2950" t="s">
        <v>3080</v>
      </c>
      <c r="C64" s="2769" t="s">
        <v>3081</v>
      </c>
      <c r="D64" s="1286">
        <f t="shared" si="15"/>
        <v>1E-3</v>
      </c>
      <c r="E64" s="821"/>
      <c r="F64" s="2500"/>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7" t="s">
        <v>2946</v>
      </c>
      <c r="B65" s="1723" t="str">
        <f>估价对象房地状况!C21</f>
        <v>估价对象附近分布较多银行、医院、餐饮、购物中心等公共配套设施，程度较好</v>
      </c>
      <c r="C65" s="2769" t="s">
        <v>3081</v>
      </c>
      <c r="D65" s="1286">
        <f t="shared" si="15"/>
        <v>2E-3</v>
      </c>
      <c r="E65" s="821"/>
      <c r="F65" s="2500"/>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7" t="s">
        <v>2947</v>
      </c>
      <c r="B66" s="1723" t="str">
        <f>估价对象房地状况!C22</f>
        <v>七通一平</v>
      </c>
      <c r="C66" s="2769" t="s">
        <v>3083</v>
      </c>
      <c r="D66" s="1286">
        <f t="shared" si="15"/>
        <v>8.0000000000000002E-3</v>
      </c>
      <c r="E66" s="821"/>
      <c r="F66" s="2500"/>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5" t="s">
        <v>2948</v>
      </c>
      <c r="B67" s="2887" t="str">
        <f>估价对象房地状况!C20</f>
        <v>区域自然环境：海淀公园、北京大学未名湖；人文环境：北京大学、北大附中、中关村中学、中国人民大学；综合评价环境状况较好</v>
      </c>
      <c r="C67" s="2769" t="s">
        <v>3081</v>
      </c>
      <c r="D67" s="1286">
        <f t="shared" si="15"/>
        <v>2E-3</v>
      </c>
      <c r="E67" s="824"/>
      <c r="F67" s="2500"/>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3" t="s">
        <v>2952</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7" t="s">
        <v>2930</v>
      </c>
      <c r="B69" s="1807"/>
      <c r="C69" s="1807" t="s">
        <v>2932</v>
      </c>
      <c r="D69" s="1807" t="s">
        <v>2933</v>
      </c>
      <c r="E69" s="818" t="s">
        <v>2934</v>
      </c>
      <c r="F69" s="2878" t="s">
        <v>2950</v>
      </c>
      <c r="G69" s="1807" t="s">
        <v>754</v>
      </c>
      <c r="H69" s="2879" t="s">
        <v>2936</v>
      </c>
      <c r="I69" s="1807" t="s">
        <v>2937</v>
      </c>
      <c r="J69" s="602" t="s">
        <v>2586</v>
      </c>
      <c r="K69" s="602" t="s">
        <v>2587</v>
      </c>
      <c r="L69" s="602" t="s">
        <v>2588</v>
      </c>
      <c r="M69" s="602" t="s">
        <v>2589</v>
      </c>
      <c r="N69" s="602" t="s">
        <v>2590</v>
      </c>
      <c r="AA69" s="1371"/>
      <c r="AB69" s="1371"/>
      <c r="AC69" s="1371"/>
      <c r="AD69" s="1371"/>
      <c r="AE69" s="1371"/>
      <c r="AF69" s="1371"/>
      <c r="AG69" s="1371"/>
      <c r="AH69" s="1371"/>
      <c r="AI69" s="1371"/>
      <c r="AJ69" s="1371"/>
      <c r="AK69" s="1371"/>
    </row>
    <row r="70" spans="1:37" s="1370" customFormat="1" ht="24" hidden="1">
      <c r="A70" s="2877" t="s">
        <v>2953</v>
      </c>
      <c r="B70" s="2880">
        <f>估价对象房地状况!C15</f>
        <v>0</v>
      </c>
      <c r="C70" s="2769"/>
      <c r="D70" s="1286">
        <f t="shared" ref="D70:D78" si="20">SUMIF($J$69:$N$69,C70,J70:N70)</f>
        <v>0</v>
      </c>
      <c r="E70" s="820">
        <f>ROUND(SUM(D70:D78),4)</f>
        <v>0</v>
      </c>
      <c r="F70" s="2500"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7" t="s">
        <v>2939</v>
      </c>
      <c r="B71" s="2881" t="str">
        <f>估价对象房地状况!C18</f>
        <v>估价对象紧邻中关村大街，紧挨地铁4号线中关村站，附近有302、307、320、332等多条公交线路，估价对象有地下停车场，路边停车位，停车较便捷，综合评价交通便捷度好</v>
      </c>
      <c r="C71" s="2769"/>
      <c r="D71" s="1286">
        <f t="shared" si="20"/>
        <v>0</v>
      </c>
      <c r="E71" s="825"/>
      <c r="F71" s="2500"/>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7" t="s">
        <v>2940</v>
      </c>
      <c r="B72" s="2881">
        <f>估价对象房地状况!C19</f>
        <v>0</v>
      </c>
      <c r="C72" s="2769"/>
      <c r="D72" s="1286">
        <f t="shared" si="20"/>
        <v>0</v>
      </c>
      <c r="E72" s="825"/>
      <c r="F72" s="2500"/>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7" t="s">
        <v>2954</v>
      </c>
      <c r="B73" s="2881" t="str">
        <f>估价对象房地状况!C24</f>
        <v>城市次干道-中关村大街</v>
      </c>
      <c r="C73" s="2769"/>
      <c r="D73" s="1286">
        <f t="shared" si="20"/>
        <v>0</v>
      </c>
      <c r="E73" s="825"/>
      <c r="F73" s="2500"/>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7" t="s">
        <v>2946</v>
      </c>
      <c r="B74" s="1723" t="str">
        <f>估价对象房地状况!C21</f>
        <v>估价对象附近分布较多银行、医院、餐饮、购物中心等公共配套设施，程度较好</v>
      </c>
      <c r="C74" s="2769"/>
      <c r="D74" s="1286">
        <f t="shared" si="20"/>
        <v>0</v>
      </c>
      <c r="E74" s="825"/>
      <c r="F74" s="2500"/>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7" t="s">
        <v>2947</v>
      </c>
      <c r="B75" s="1723" t="str">
        <f>估价对象房地状况!C22</f>
        <v>七通一平</v>
      </c>
      <c r="C75" s="2769"/>
      <c r="D75" s="1286">
        <f t="shared" si="20"/>
        <v>0</v>
      </c>
      <c r="E75" s="825"/>
      <c r="F75" s="2500"/>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77" t="s">
        <v>2944</v>
      </c>
      <c r="B76" s="2883" t="s">
        <v>2945</v>
      </c>
      <c r="C76" s="2769"/>
      <c r="D76" s="1286">
        <f t="shared" si="20"/>
        <v>0</v>
      </c>
      <c r="E76" s="825"/>
      <c r="F76" s="2500"/>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76.5" hidden="1">
      <c r="A77" s="2877" t="s">
        <v>2948</v>
      </c>
      <c r="B77" s="2880" t="str">
        <f>估价对象房地状况!C20</f>
        <v>区域自然环境：海淀公园、北京大学未名湖；人文环境：北京大学、北大附中、中关村中学、中国人民大学；综合评价环境状况较好</v>
      </c>
      <c r="C77" s="2769"/>
      <c r="D77" s="1286">
        <f t="shared" si="20"/>
        <v>0</v>
      </c>
      <c r="E77" s="825"/>
      <c r="F77" s="2500"/>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hidden="1" thickBot="1">
      <c r="A78" s="2885" t="s">
        <v>2955</v>
      </c>
      <c r="B78" s="2889"/>
      <c r="C78" s="2769"/>
      <c r="D78" s="1286">
        <f t="shared" si="20"/>
        <v>0</v>
      </c>
      <c r="E78" s="826"/>
      <c r="F78" s="2500"/>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hidden="1">
      <c r="A79" s="2873" t="s">
        <v>2956</v>
      </c>
      <c r="B79" s="2874">
        <f>1+E81</f>
        <v>1</v>
      </c>
      <c r="C79" s="813"/>
      <c r="D79" s="813"/>
      <c r="E79" s="814"/>
      <c r="F79" s="2876"/>
      <c r="G79" s="6"/>
      <c r="H79" s="6"/>
      <c r="I79" s="6"/>
      <c r="J79" s="7"/>
      <c r="K79" s="7"/>
      <c r="L79" s="7"/>
      <c r="M79" s="7"/>
      <c r="N79" s="7"/>
      <c r="Z79" s="2719"/>
      <c r="AA79" s="2795"/>
      <c r="AG79" s="1372"/>
      <c r="AK79" s="2795"/>
    </row>
    <row r="80" spans="1:37" ht="24.75" hidden="1">
      <c r="A80" s="2877" t="s">
        <v>2930</v>
      </c>
      <c r="B80" s="1807"/>
      <c r="C80" s="1807" t="s">
        <v>2932</v>
      </c>
      <c r="D80" s="1807" t="s">
        <v>2933</v>
      </c>
      <c r="E80" s="818" t="s">
        <v>2934</v>
      </c>
      <c r="F80" s="2878" t="s">
        <v>2950</v>
      </c>
      <c r="G80" s="1807" t="s">
        <v>754</v>
      </c>
      <c r="H80" s="2879" t="s">
        <v>2936</v>
      </c>
      <c r="I80" s="1807" t="s">
        <v>2937</v>
      </c>
      <c r="J80" s="602" t="s">
        <v>2586</v>
      </c>
      <c r="K80" s="602" t="s">
        <v>2587</v>
      </c>
      <c r="L80" s="602" t="s">
        <v>2588</v>
      </c>
      <c r="M80" s="602" t="s">
        <v>2589</v>
      </c>
      <c r="N80" s="602" t="s">
        <v>2590</v>
      </c>
      <c r="Z80" s="2719"/>
      <c r="AA80" s="2795"/>
      <c r="AG80" s="1372"/>
      <c r="AK80" s="2795"/>
    </row>
    <row r="81" spans="1:37" ht="24" hidden="1">
      <c r="A81" s="2877" t="s">
        <v>2957</v>
      </c>
      <c r="B81" s="2881">
        <f>估价对象房地状况!G15</f>
        <v>0</v>
      </c>
      <c r="C81" s="2769"/>
      <c r="D81" s="1286">
        <f t="shared" ref="D81:D88" si="25">SUMIF($J$80:$N$80,C81,J81:N81)</f>
        <v>0</v>
      </c>
      <c r="E81" s="820">
        <f>ROUND(SUM(D81:D88),4)</f>
        <v>0</v>
      </c>
      <c r="F81" s="2500"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hidden="1">
      <c r="A82" s="2877" t="s">
        <v>2939</v>
      </c>
      <c r="B82" s="2881">
        <f>估价对象房地状况!G16</f>
        <v>0</v>
      </c>
      <c r="C82" s="2769"/>
      <c r="D82" s="1286">
        <f t="shared" si="25"/>
        <v>0</v>
      </c>
      <c r="E82" s="825"/>
      <c r="F82" s="2500"/>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hidden="1">
      <c r="A83" s="2877" t="s">
        <v>2940</v>
      </c>
      <c r="B83" s="2881">
        <f>估价对象房地状况!G17</f>
        <v>0</v>
      </c>
      <c r="C83" s="2769"/>
      <c r="D83" s="1286">
        <f t="shared" si="25"/>
        <v>0</v>
      </c>
      <c r="E83" s="825"/>
      <c r="F83" s="2500"/>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hidden="1">
      <c r="A84" s="2877" t="s">
        <v>2954</v>
      </c>
      <c r="B84" s="2881">
        <f>估价对象房地状况!G22</f>
        <v>0</v>
      </c>
      <c r="C84" s="2769"/>
      <c r="D84" s="1286">
        <f t="shared" si="25"/>
        <v>0</v>
      </c>
      <c r="E84" s="825"/>
      <c r="F84" s="2500"/>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4" hidden="1">
      <c r="A85" s="2877" t="s">
        <v>2946</v>
      </c>
      <c r="B85" s="1723">
        <f>估价对象房地状况!G19</f>
        <v>0</v>
      </c>
      <c r="C85" s="2769"/>
      <c r="D85" s="1286">
        <f t="shared" si="25"/>
        <v>0</v>
      </c>
      <c r="E85" s="825"/>
      <c r="F85" s="2500"/>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4" hidden="1">
      <c r="A86" s="2877" t="s">
        <v>2947</v>
      </c>
      <c r="B86" s="1723">
        <f>估价对象房地状况!G20</f>
        <v>0</v>
      </c>
      <c r="C86" s="2769"/>
      <c r="D86" s="1286">
        <f t="shared" si="25"/>
        <v>0</v>
      </c>
      <c r="E86" s="825"/>
      <c r="F86" s="2500"/>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hidden="1">
      <c r="A87" s="2877" t="s">
        <v>2944</v>
      </c>
      <c r="B87" s="2883" t="s">
        <v>2958</v>
      </c>
      <c r="C87" s="2769"/>
      <c r="D87" s="1286">
        <f t="shared" si="25"/>
        <v>0</v>
      </c>
      <c r="E87" s="825"/>
      <c r="F87" s="2500"/>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15" hidden="1" thickBot="1">
      <c r="A88" s="2885" t="s">
        <v>2959</v>
      </c>
      <c r="B88" s="2890">
        <f>估价对象房地状况!G18</f>
        <v>0</v>
      </c>
      <c r="C88" s="2769"/>
      <c r="D88" s="1286">
        <f t="shared" si="25"/>
        <v>0</v>
      </c>
      <c r="E88" s="826"/>
      <c r="F88" s="2500"/>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156" t="s">
        <v>2960</v>
      </c>
      <c r="B90" s="3156"/>
      <c r="C90" s="3156"/>
      <c r="D90" s="3156"/>
      <c r="E90" s="3156"/>
      <c r="F90" s="3156"/>
      <c r="G90" s="3156"/>
      <c r="H90" s="3156"/>
      <c r="I90" s="3156"/>
      <c r="J90" s="3156"/>
      <c r="K90" s="2891"/>
      <c r="L90" s="2891"/>
      <c r="M90" s="2891"/>
      <c r="N90" s="2891"/>
    </row>
    <row r="91" spans="1:37">
      <c r="A91" s="3158" t="s">
        <v>2961</v>
      </c>
      <c r="B91" s="3158" t="s">
        <v>2962</v>
      </c>
      <c r="C91" s="2845" t="s">
        <v>2963</v>
      </c>
      <c r="D91" s="2846"/>
      <c r="E91" s="2846"/>
      <c r="F91" s="2846"/>
      <c r="G91" s="2846"/>
      <c r="H91" s="2846"/>
      <c r="I91" s="2846"/>
      <c r="J91" s="2892"/>
      <c r="K91" s="2893"/>
      <c r="L91" s="2893"/>
      <c r="M91" s="2893"/>
      <c r="N91" s="2893"/>
    </row>
    <row r="92" spans="1:37">
      <c r="A92" s="3158"/>
      <c r="B92" s="3158"/>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159" t="s">
        <v>2964</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6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6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6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6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6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60"/>
      <c r="B99" s="2894" t="s">
        <v>2845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6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59" t="s">
        <v>2965</v>
      </c>
      <c r="B101" s="2898" t="s">
        <v>2966</v>
      </c>
      <c r="C101" s="2899">
        <f>$G$3</f>
        <v>8.92</v>
      </c>
      <c r="D101" s="2899">
        <f t="shared" ref="D101:N101" si="31">$G$3</f>
        <v>8.92</v>
      </c>
      <c r="E101" s="2899">
        <f t="shared" si="31"/>
        <v>8.92</v>
      </c>
      <c r="F101" s="2899">
        <f t="shared" si="31"/>
        <v>8.92</v>
      </c>
      <c r="G101" s="2899">
        <f t="shared" si="31"/>
        <v>8.92</v>
      </c>
      <c r="H101" s="2899">
        <f t="shared" si="31"/>
        <v>8.92</v>
      </c>
      <c r="I101" s="2899">
        <f t="shared" si="31"/>
        <v>8.92</v>
      </c>
      <c r="J101" s="2899">
        <f t="shared" si="31"/>
        <v>8.92</v>
      </c>
      <c r="K101" s="2899">
        <f t="shared" si="31"/>
        <v>8.92</v>
      </c>
      <c r="L101" s="2899">
        <f t="shared" si="31"/>
        <v>8.92</v>
      </c>
      <c r="M101" s="2899">
        <f t="shared" si="31"/>
        <v>8.92</v>
      </c>
      <c r="N101" s="2899">
        <f t="shared" si="31"/>
        <v>8.92</v>
      </c>
    </row>
    <row r="102" spans="1:14">
      <c r="A102" s="3160"/>
      <c r="B102" s="2894">
        <v>1</v>
      </c>
      <c r="C102" s="2895">
        <f>1.9362/C101</f>
        <v>0.21706278026905829</v>
      </c>
      <c r="D102" s="2895">
        <f>1.9362/D101</f>
        <v>0.21706278026905829</v>
      </c>
      <c r="E102" s="2895">
        <f>1.8629/E101</f>
        <v>0.20884529147982062</v>
      </c>
      <c r="F102" s="2895">
        <f>1.8629/F101</f>
        <v>0.20884529147982062</v>
      </c>
      <c r="G102" s="2895">
        <f>1.8629/G101</f>
        <v>0.20884529147982062</v>
      </c>
      <c r="H102" s="2895">
        <f>1.8629/H101</f>
        <v>0.20884529147982062</v>
      </c>
      <c r="I102" s="2895">
        <f>1.8629/I101</f>
        <v>0.20884529147982062</v>
      </c>
      <c r="J102" s="2895">
        <f>1.942/J101</f>
        <v>0.21771300448430492</v>
      </c>
      <c r="K102" s="2895">
        <f>1.942/K101</f>
        <v>0.21771300448430492</v>
      </c>
      <c r="L102" s="2895">
        <f>1.942/L101</f>
        <v>0.21771300448430492</v>
      </c>
      <c r="M102" s="2895">
        <f>1.942/M101</f>
        <v>0.21771300448430492</v>
      </c>
      <c r="N102" s="2895">
        <f>1.942/N101</f>
        <v>0.21771300448430492</v>
      </c>
    </row>
    <row r="103" spans="1:14">
      <c r="A103" s="3160"/>
      <c r="B103" s="2894">
        <v>2</v>
      </c>
      <c r="C103" s="2895">
        <f>1.4198/C101</f>
        <v>0.15917040358744394</v>
      </c>
      <c r="D103" s="2895">
        <f>1.4198/D101</f>
        <v>0.15917040358744394</v>
      </c>
      <c r="E103" s="2895">
        <f>1.3372/E101</f>
        <v>0.14991031390134529</v>
      </c>
      <c r="F103" s="2895">
        <f>1.3372/F101</f>
        <v>0.14991031390134529</v>
      </c>
      <c r="G103" s="2895">
        <f>1.3372/G101</f>
        <v>0.14991031390134529</v>
      </c>
      <c r="H103" s="2895">
        <f>1.3372/H101</f>
        <v>0.14991031390134529</v>
      </c>
      <c r="I103" s="2895">
        <f>1.3372/I101</f>
        <v>0.14991031390134529</v>
      </c>
      <c r="J103" s="2895">
        <f>1.2799/J101</f>
        <v>0.14348654708520181</v>
      </c>
      <c r="K103" s="2895">
        <f>1.2799/K101</f>
        <v>0.14348654708520181</v>
      </c>
      <c r="L103" s="2895">
        <f>1.2799/L101</f>
        <v>0.14348654708520181</v>
      </c>
      <c r="M103" s="2895">
        <f>1.2799/M101</f>
        <v>0.14348654708520181</v>
      </c>
      <c r="N103" s="2895">
        <f>1.2799/N101</f>
        <v>0.14348654708520181</v>
      </c>
    </row>
    <row r="104" spans="1:14">
      <c r="A104" s="3160"/>
      <c r="B104" s="2894">
        <v>3</v>
      </c>
      <c r="C104" s="2895">
        <f>1.1594/C101</f>
        <v>0.12997757847533634</v>
      </c>
      <c r="D104" s="2895">
        <f>1.1594/D101</f>
        <v>0.12997757847533634</v>
      </c>
      <c r="E104" s="2895">
        <f>1.0788/E101</f>
        <v>0.12094170403587444</v>
      </c>
      <c r="F104" s="2895">
        <f>1.0788/F101</f>
        <v>0.12094170403587444</v>
      </c>
      <c r="G104" s="2895">
        <f>1.0788/G101</f>
        <v>0.12094170403587444</v>
      </c>
      <c r="H104" s="2895">
        <f>1.0788/H101</f>
        <v>0.12094170403587444</v>
      </c>
      <c r="I104" s="2895">
        <f>1.0788/I101</f>
        <v>0.12094170403587444</v>
      </c>
      <c r="J104" s="2895">
        <f>1.0072/J101</f>
        <v>0.11291479820627803</v>
      </c>
      <c r="K104" s="2895">
        <f>1.0072/K101</f>
        <v>0.11291479820627803</v>
      </c>
      <c r="L104" s="2895">
        <f>1.0072/L101</f>
        <v>0.11291479820627803</v>
      </c>
      <c r="M104" s="2895">
        <f>1.0072/M101</f>
        <v>0.11291479820627803</v>
      </c>
      <c r="N104" s="2895">
        <f>1.0072/N101</f>
        <v>0.11291479820627803</v>
      </c>
    </row>
    <row r="105" spans="1:14">
      <c r="A105" s="3160"/>
      <c r="B105" s="2894">
        <v>4</v>
      </c>
      <c r="C105" s="2895">
        <f>0.9622/C101</f>
        <v>0.10786995515695068</v>
      </c>
      <c r="D105" s="2895">
        <f>0.9622/D101</f>
        <v>0.10786995515695068</v>
      </c>
      <c r="E105" s="2895">
        <f>0.8656/E101</f>
        <v>9.7040358744394623E-2</v>
      </c>
      <c r="F105" s="2895">
        <f>0.8656/F101</f>
        <v>9.7040358744394623E-2</v>
      </c>
      <c r="G105" s="2895">
        <f>0.8656/G101</f>
        <v>9.7040358744394623E-2</v>
      </c>
      <c r="H105" s="2895">
        <f>0.8656/H101</f>
        <v>9.7040358744394623E-2</v>
      </c>
      <c r="I105" s="2895">
        <f>0.8656/I101</f>
        <v>9.7040358744394623E-2</v>
      </c>
      <c r="J105" s="2895">
        <f>0.7525/J101</f>
        <v>8.4360986547085196E-2</v>
      </c>
      <c r="K105" s="2895">
        <f>0.7525/K101</f>
        <v>8.4360986547085196E-2</v>
      </c>
      <c r="L105" s="2895">
        <f>0.7525/L101</f>
        <v>8.4360986547085196E-2</v>
      </c>
      <c r="M105" s="2895">
        <f>0.7525/M101</f>
        <v>8.4360986547085196E-2</v>
      </c>
      <c r="N105" s="2895">
        <f>0.7525/N101</f>
        <v>8.4360986547085196E-2</v>
      </c>
    </row>
    <row r="106" spans="1:14">
      <c r="A106" s="3160"/>
      <c r="B106" s="2894">
        <v>5</v>
      </c>
      <c r="C106" s="2895">
        <f>0.8417/C101</f>
        <v>9.4360986547085204E-2</v>
      </c>
      <c r="D106" s="2895">
        <f>0.8417/D101</f>
        <v>9.4360986547085204E-2</v>
      </c>
      <c r="E106" s="2895">
        <f>0.7371/E101</f>
        <v>8.2634529147982055E-2</v>
      </c>
      <c r="F106" s="2895">
        <f>0.7371/F101</f>
        <v>8.2634529147982055E-2</v>
      </c>
      <c r="G106" s="2895">
        <f>0.7371/G101</f>
        <v>8.2634529147982055E-2</v>
      </c>
      <c r="H106" s="2895">
        <f>0.7371/H101</f>
        <v>8.2634529147982055E-2</v>
      </c>
      <c r="I106" s="2895">
        <f>0.7371/I101</f>
        <v>8.2634529147982055E-2</v>
      </c>
      <c r="J106" s="2895">
        <f>0.5659/J101</f>
        <v>6.344170403587443E-2</v>
      </c>
      <c r="K106" s="2895">
        <f>0.5659/K101</f>
        <v>6.344170403587443E-2</v>
      </c>
      <c r="L106" s="2895">
        <f>0.5659/L101</f>
        <v>6.344170403587443E-2</v>
      </c>
      <c r="M106" s="2895">
        <f>0.5659/M101</f>
        <v>6.344170403587443E-2</v>
      </c>
      <c r="N106" s="2895">
        <f>0.5659/N101</f>
        <v>6.344170403587443E-2</v>
      </c>
    </row>
    <row r="107" spans="1:14">
      <c r="A107" s="3160"/>
      <c r="B107" s="2894">
        <v>6</v>
      </c>
      <c r="C107" s="2895">
        <f>0.7608/C101</f>
        <v>8.5291479820627805E-2</v>
      </c>
      <c r="D107" s="2895">
        <f>0.7608/D101</f>
        <v>8.5291479820627805E-2</v>
      </c>
      <c r="E107" s="2895">
        <f>0.6482/E101</f>
        <v>7.2668161434977577E-2</v>
      </c>
      <c r="F107" s="2895">
        <f>0.6482/F101</f>
        <v>7.2668161434977577E-2</v>
      </c>
      <c r="G107" s="2895">
        <f>0.6482/G101</f>
        <v>7.2668161434977577E-2</v>
      </c>
      <c r="H107" s="2895">
        <f>0.6482/H101</f>
        <v>7.2668161434977577E-2</v>
      </c>
      <c r="I107" s="2895">
        <f>0.6482/I101</f>
        <v>7.2668161434977577E-2</v>
      </c>
      <c r="J107" s="2895">
        <f>0.4525/J101</f>
        <v>5.0728699551569507E-2</v>
      </c>
      <c r="K107" s="2895">
        <f>0.4525/K101</f>
        <v>5.0728699551569507E-2</v>
      </c>
      <c r="L107" s="2895">
        <f>0.4525/L101</f>
        <v>5.0728699551569507E-2</v>
      </c>
      <c r="M107" s="2895">
        <f>0.4525/M101</f>
        <v>5.0728699551569507E-2</v>
      </c>
      <c r="N107" s="2895">
        <f>0.4525/N101</f>
        <v>5.0728699551569507E-2</v>
      </c>
    </row>
    <row r="108" spans="1:14">
      <c r="A108" s="3160"/>
      <c r="B108" s="3085" t="s">
        <v>2967</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61"/>
      <c r="B109" s="3086"/>
      <c r="C109" s="2897">
        <f>(-0.163*(C108^2)-0.59*C108+7617)*(10^(-4))/C101</f>
        <v>8.5392376681614354E-2</v>
      </c>
      <c r="D109" s="2897">
        <f>(-0.163*(D108^2)-0.59*D108+7617)*(10^(-4))/D101</f>
        <v>8.5392376681614354E-2</v>
      </c>
      <c r="E109" s="2897">
        <f>(-0.161*(E108^2)-7.509*E108+6533)*(10^(-4))/E101</f>
        <v>7.3239910313901341E-2</v>
      </c>
      <c r="F109" s="2897">
        <f>(-0.161*(F108^2)-7.509*F108+6533)*(10^(-4))/F101</f>
        <v>7.3239910313901341E-2</v>
      </c>
      <c r="G109" s="2897">
        <f>(-0.161*(G108^2)-7.509*G108+6533)*(10^(-4))/G101</f>
        <v>7.3239910313901341E-2</v>
      </c>
      <c r="H109" s="2897">
        <f>(-0.161*(H108^2)-7.509*H108+6533)*(10^(-4))/H101</f>
        <v>7.3239910313901341E-2</v>
      </c>
      <c r="I109" s="2897">
        <f>(-0.161*(I108^2)-7.509*I108+6533)*(10^(-4))/I101</f>
        <v>7.3239910313901341E-2</v>
      </c>
      <c r="J109" s="2897">
        <f>(-0.214*(J108^2)-21.991*J108+4665)*(10^(-4))/J101</f>
        <v>5.2298206278026907E-2</v>
      </c>
      <c r="K109" s="2897">
        <f>(-0.214*(K108^2)-21.991*K108+4665)*(10^(-4))/K101</f>
        <v>5.2298206278026907E-2</v>
      </c>
      <c r="L109" s="2897">
        <f>(-0.214*(L108^2)-21.991*L108+4665)*(10^(-4))/L101</f>
        <v>5.2298206278026907E-2</v>
      </c>
      <c r="M109" s="2897">
        <f>(-0.214*(M108^2)-21.991*M108+4665)*(10^(-4))/M101</f>
        <v>5.2298206278026907E-2</v>
      </c>
      <c r="N109" s="2897">
        <f>(-0.214*(N108^2)-21.991*N108+4665)*(10^(-4))/N101</f>
        <v>5.2298206278026907E-2</v>
      </c>
    </row>
    <row r="110" spans="1:14">
      <c r="A110" s="3157" t="s">
        <v>2968</v>
      </c>
      <c r="B110" s="3157"/>
      <c r="C110" s="3157"/>
      <c r="D110" s="3157"/>
      <c r="E110" s="3157"/>
      <c r="F110" s="3157"/>
      <c r="G110" s="3157"/>
      <c r="H110" s="3157"/>
      <c r="I110" s="3157"/>
      <c r="J110" s="3157"/>
      <c r="K110" s="2900"/>
      <c r="L110" s="2900"/>
      <c r="M110" s="2900"/>
      <c r="N110" s="2900"/>
    </row>
    <row r="112" spans="1:14" ht="13.5" thickBot="1"/>
    <row r="113" spans="1:13" ht="25.5" thickBot="1">
      <c r="A113" s="902" t="s">
        <v>2969</v>
      </c>
      <c r="B113" s="1287">
        <f>G3</f>
        <v>8.92</v>
      </c>
      <c r="C113" s="903" t="s">
        <v>2970</v>
      </c>
      <c r="D113" s="904">
        <f>SUMPRODUCT((A115:A118=F113)*(B114:M114=H113)*B115:M118)</f>
        <v>0.84199999999999997</v>
      </c>
      <c r="E113" s="2723" t="s">
        <v>2803</v>
      </c>
      <c r="F113" s="2902" t="str">
        <f>E2</f>
        <v>办公</v>
      </c>
      <c r="G113" s="2723" t="s">
        <v>2804</v>
      </c>
      <c r="H113" s="2902" t="str">
        <f>G2</f>
        <v>二级</v>
      </c>
      <c r="I113" s="2723"/>
      <c r="J113" s="2903"/>
      <c r="K113" s="2903"/>
      <c r="L113" s="2903"/>
      <c r="M113" s="2903"/>
    </row>
    <row r="114" spans="1:13">
      <c r="A114" s="907"/>
      <c r="B114" s="2904" t="s">
        <v>2971</v>
      </c>
      <c r="C114" s="2904" t="s">
        <v>2972</v>
      </c>
      <c r="D114" s="2904" t="s">
        <v>2973</v>
      </c>
      <c r="E114" s="2905" t="s">
        <v>2974</v>
      </c>
      <c r="F114" s="2905" t="s">
        <v>2975</v>
      </c>
      <c r="G114" s="2905" t="s">
        <v>2976</v>
      </c>
      <c r="H114" s="2906" t="s">
        <v>2977</v>
      </c>
      <c r="I114" s="2906" t="s">
        <v>2978</v>
      </c>
      <c r="J114" s="2907" t="s">
        <v>2979</v>
      </c>
      <c r="K114" s="2907" t="s">
        <v>2980</v>
      </c>
      <c r="L114" s="2907" t="s">
        <v>2981</v>
      </c>
      <c r="M114" s="2908" t="s">
        <v>2982</v>
      </c>
    </row>
    <row r="115" spans="1:13">
      <c r="A115" s="908" t="s">
        <v>2867</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2868</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2869</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2870</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9" zoomScaleNormal="89" zoomScaleSheetLayoutView="90" workbookViewId="0">
      <selection activeCell="I40" sqref="I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3120</v>
      </c>
      <c r="D1" s="1818" t="s">
        <v>70</v>
      </c>
      <c r="E1" s="1819" t="s">
        <v>1387</v>
      </c>
      <c r="F1" s="1283">
        <f ca="1">J53</f>
        <v>32.54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23253</v>
      </c>
      <c r="C2" s="1843" t="s">
        <v>1516</v>
      </c>
      <c r="D2" s="1843"/>
      <c r="E2" s="1844"/>
      <c r="F2" s="1845"/>
      <c r="G2" s="1846"/>
      <c r="H2" s="1838"/>
      <c r="I2" s="1838"/>
      <c r="J2" s="1838"/>
      <c r="K2" s="1839"/>
      <c r="L2" s="1838"/>
      <c r="M2" s="1838"/>
    </row>
    <row r="3" spans="1:37" ht="18" customHeight="1" thickBot="1">
      <c r="A3" s="1847" t="s">
        <v>1517</v>
      </c>
      <c r="B3" s="1848">
        <f ca="1">IF(ISERROR(B2*10000/F43),0,ROUND(B2*10000/F43,0))</f>
        <v>28095</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2">
        <f ca="1">C6+C10+C12</f>
        <v>1416</v>
      </c>
      <c r="D5" s="1820" t="s">
        <v>1402</v>
      </c>
      <c r="E5" s="1293"/>
      <c r="F5" s="1294"/>
      <c r="G5" s="1849"/>
      <c r="H5" s="343">
        <v>1</v>
      </c>
      <c r="I5" s="344" t="s">
        <v>1401</v>
      </c>
      <c r="J5" s="1292">
        <f ca="1">J6+J10+J12</f>
        <v>0</v>
      </c>
      <c r="K5" s="1820" t="s">
        <v>1402</v>
      </c>
      <c r="L5" s="1293"/>
      <c r="M5" s="1294"/>
    </row>
    <row r="6" spans="1:37" ht="18" customHeight="1">
      <c r="A6" s="1291" t="s">
        <v>1035</v>
      </c>
      <c r="B6" s="3176" t="s">
        <v>1403</v>
      </c>
      <c r="C6" s="1296">
        <f ca="1">ROUND(F6*F8*F7*(1-F9)/10000,0)</f>
        <v>1414</v>
      </c>
      <c r="D6" s="163" t="s">
        <v>3020</v>
      </c>
      <c r="E6" s="346" t="s">
        <v>1405</v>
      </c>
      <c r="F6" s="347">
        <f ca="1">INDIRECT("'数据-取费表'!u"&amp;$G$1)</f>
        <v>5.2</v>
      </c>
      <c r="G6" s="1849"/>
      <c r="H6" s="1291" t="s">
        <v>1035</v>
      </c>
      <c r="I6" s="3176" t="s">
        <v>1403</v>
      </c>
      <c r="J6" s="345">
        <f ca="1">ROUND(M6*M8*M7*(1-M9)/10000,0)</f>
        <v>0</v>
      </c>
      <c r="K6" s="163" t="s">
        <v>3019</v>
      </c>
      <c r="L6" s="346" t="s">
        <v>1405</v>
      </c>
      <c r="M6" s="347">
        <f ca="1">INDIRECT("'数据-取费表'!z"&amp;$G$1)</f>
        <v>0</v>
      </c>
    </row>
    <row r="7" spans="1:37" ht="18" customHeight="1">
      <c r="A7" s="1295"/>
      <c r="B7" s="3177"/>
      <c r="C7" s="1297"/>
      <c r="D7" s="351"/>
      <c r="E7" s="1298" t="s">
        <v>1406</v>
      </c>
      <c r="F7" s="347">
        <f ca="1">IF(INDIRECT("'数据-取费表'!ah"&amp;$G$1)="",INDIRECT("'数据-取费表'!k"&amp;$G$1),INDIRECT("'数据-取费表'!ah"&amp;$G$1))</f>
        <v>8276.64</v>
      </c>
      <c r="G7" s="1849"/>
      <c r="H7" s="348"/>
      <c r="I7" s="3177"/>
      <c r="J7" s="350"/>
      <c r="K7" s="351"/>
      <c r="L7" s="346" t="s">
        <v>1406</v>
      </c>
      <c r="M7" s="347">
        <f ca="1">F7</f>
        <v>8276.64</v>
      </c>
    </row>
    <row r="8" spans="1:37" ht="18" customHeight="1">
      <c r="A8" s="348"/>
      <c r="B8" s="3177"/>
      <c r="C8" s="350"/>
      <c r="D8" s="351"/>
      <c r="E8" s="346" t="s">
        <v>1407</v>
      </c>
      <c r="F8" s="347">
        <f ca="1">INDIRECT("'数据-取费表'!ai"&amp;$G$1)</f>
        <v>365</v>
      </c>
      <c r="G8" s="1849"/>
      <c r="H8" s="348"/>
      <c r="I8" s="3177"/>
      <c r="J8" s="350"/>
      <c r="K8" s="351"/>
      <c r="L8" s="346" t="s">
        <v>1407</v>
      </c>
      <c r="M8" s="347">
        <f ca="1">INDIRECT("'数据-取费表'!ai"&amp;$G$1)</f>
        <v>365</v>
      </c>
    </row>
    <row r="9" spans="1:37" ht="18" customHeight="1">
      <c r="A9" s="348"/>
      <c r="B9" s="3178"/>
      <c r="C9" s="350"/>
      <c r="D9" s="351"/>
      <c r="E9" s="346" t="s">
        <v>1408</v>
      </c>
      <c r="F9" s="356">
        <f ca="1">INDIRECT("'数据-取费表'!w"&amp;$G$1)</f>
        <v>0.1</v>
      </c>
      <c r="G9" s="1849"/>
      <c r="H9" s="348"/>
      <c r="I9" s="3178"/>
      <c r="J9" s="350"/>
      <c r="K9" s="351"/>
      <c r="L9" s="357" t="s">
        <v>1408</v>
      </c>
      <c r="M9" s="358">
        <f ca="1">INDIRECT("'数据-取费表'!ab"&amp;$G$1)</f>
        <v>0</v>
      </c>
    </row>
    <row r="10" spans="1:37" ht="18" customHeight="1">
      <c r="A10" s="1291" t="s">
        <v>1039</v>
      </c>
      <c r="B10" s="1821" t="s">
        <v>1409</v>
      </c>
      <c r="C10" s="360">
        <f ca="1">ROUND(IF(F10="押一",C6/12*F11,IF(F10="押二",C6/12*2*F11,IF(F10="押三",C6/12*3*F11,C11*F11))),0)</f>
        <v>2</v>
      </c>
      <c r="D10" s="1822" t="s">
        <v>3029</v>
      </c>
      <c r="E10" s="357" t="s">
        <v>1410</v>
      </c>
      <c r="F10" s="1366" t="s">
        <v>3087</v>
      </c>
      <c r="G10" s="1849"/>
      <c r="H10" s="1291" t="s">
        <v>1039</v>
      </c>
      <c r="I10" s="1821" t="s">
        <v>1409</v>
      </c>
      <c r="J10" s="345">
        <f ca="1">ROUND(IF(M10="押一",J6/12*M11,IF(M10="押二",J6/12*2*M11,IF(M10="押三",J6/12*3*M11,J11*M11))),0)</f>
        <v>0</v>
      </c>
      <c r="K10" s="1822" t="s">
        <v>3028</v>
      </c>
      <c r="L10" s="357" t="s">
        <v>1410</v>
      </c>
      <c r="M10" s="1366" t="s">
        <v>1411</v>
      </c>
    </row>
    <row r="11" spans="1:37" ht="18" customHeight="1">
      <c r="A11" s="352"/>
      <c r="B11" s="1823" t="s">
        <v>1388</v>
      </c>
      <c r="C11" s="1178"/>
      <c r="D11" s="1824"/>
      <c r="E11" s="357" t="s">
        <v>1412</v>
      </c>
      <c r="F11" s="358">
        <f ca="1">'数据-取费表'!B39</f>
        <v>1.4999999999999999E-2</v>
      </c>
      <c r="G11" s="1849"/>
      <c r="H11" s="1299"/>
      <c r="I11" s="1823" t="s">
        <v>1388</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3755</v>
      </c>
      <c r="D13" s="1331" t="s">
        <v>1415</v>
      </c>
      <c r="E13" s="1331" t="s">
        <v>1416</v>
      </c>
      <c r="F13" s="1332">
        <f ca="1">INDIRECT("'数据-取费表'!y"&amp;$G$1)</f>
        <v>0.75</v>
      </c>
      <c r="G13" s="1849"/>
      <c r="H13" s="1329">
        <v>2</v>
      </c>
      <c r="I13" s="1330" t="s">
        <v>1414</v>
      </c>
      <c r="J13" s="1290">
        <f ca="1">ROUND(J14*J15,0)</f>
        <v>0</v>
      </c>
      <c r="K13" s="1337" t="s">
        <v>1415</v>
      </c>
      <c r="L13" s="1850"/>
      <c r="M13" s="1851"/>
    </row>
    <row r="14" spans="1:37" ht="18" customHeight="1">
      <c r="A14" s="1201" t="s">
        <v>1034</v>
      </c>
      <c r="B14" s="346" t="s">
        <v>1417</v>
      </c>
      <c r="C14" s="362">
        <f ca="1">INDIRECT("'数据-取费表'!m"&amp;$G$1)+INDIRECT("'数据-取费表'!t"&amp;$G$1)</f>
        <v>3311</v>
      </c>
      <c r="D14" s="1798" t="s">
        <v>1418</v>
      </c>
      <c r="E14" s="1792"/>
      <c r="F14" s="363"/>
      <c r="G14" s="1849"/>
      <c r="H14" s="1201" t="s">
        <v>1035</v>
      </c>
      <c r="I14" s="346" t="s">
        <v>1419</v>
      </c>
      <c r="J14" s="23">
        <f ca="1">C29</f>
        <v>5006</v>
      </c>
      <c r="K14" s="14"/>
      <c r="L14" s="981"/>
      <c r="M14" s="982"/>
    </row>
    <row r="15" spans="1:37" s="1856" customFormat="1" ht="18" customHeight="1" thickBot="1">
      <c r="A15" s="1201" t="s">
        <v>1036</v>
      </c>
      <c r="B15" s="346" t="s">
        <v>1420</v>
      </c>
      <c r="C15" s="23">
        <f ca="1">ROUND(C14*F15,0)</f>
        <v>99</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49"/>
      <c r="H16" s="1329" t="s">
        <v>1030</v>
      </c>
      <c r="I16" s="1330" t="s">
        <v>1424</v>
      </c>
      <c r="J16" s="354">
        <f ca="1">ROUND(J17+J22+J23+J24,0)</f>
        <v>119</v>
      </c>
      <c r="K16" s="1337" t="s">
        <v>1425</v>
      </c>
      <c r="L16" s="1338"/>
      <c r="M16" s="1294"/>
    </row>
    <row r="17" spans="1:37" s="1856" customFormat="1" ht="18" customHeight="1">
      <c r="A17" s="1201" t="s">
        <v>1390</v>
      </c>
      <c r="B17" s="346" t="s">
        <v>1426</v>
      </c>
      <c r="C17" s="23">
        <f ca="1">ROUND(F17*(F43+INDIRECT("'数据-取费表'!S"&amp;$G$1))/10000,0)</f>
        <v>166</v>
      </c>
      <c r="D17" s="346" t="s">
        <v>1427</v>
      </c>
      <c r="E17" s="346" t="s">
        <v>1428</v>
      </c>
      <c r="F17" s="25">
        <f>'数据-取费表'!B35</f>
        <v>200</v>
      </c>
      <c r="G17" s="1852"/>
      <c r="H17" s="1201" t="s">
        <v>1035</v>
      </c>
      <c r="I17" s="346" t="s">
        <v>1429</v>
      </c>
      <c r="J17" s="23">
        <f ca="1">ROUND(IF(项目基本情况!B11="自然人",J5*M17,J18+J19+J20),1)</f>
        <v>44.3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50</v>
      </c>
      <c r="D18" s="346" t="s">
        <v>1421</v>
      </c>
      <c r="E18" s="346" t="s">
        <v>1422</v>
      </c>
      <c r="F18" s="366">
        <f>'数据-取费表'!B36</f>
        <v>1.4999999999999999E-2</v>
      </c>
      <c r="G18" s="1852"/>
      <c r="H18" s="1201"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3626</v>
      </c>
      <c r="D19" s="139" t="s">
        <v>1436</v>
      </c>
      <c r="E19" s="1816"/>
      <c r="F19" s="25"/>
      <c r="G19" s="1849"/>
      <c r="H19" s="1201" t="s">
        <v>1036</v>
      </c>
      <c r="I19" s="346" t="s">
        <v>1437</v>
      </c>
      <c r="J19" s="23">
        <f ca="1">IF(K19="按租金收入计税",ROUND(J5*M19,2),ROUND(C29*M19*0.7,2))</f>
        <v>42.05</v>
      </c>
      <c r="K19" s="1826" t="s">
        <v>1438</v>
      </c>
      <c r="L19" s="346" t="s">
        <v>1422</v>
      </c>
      <c r="M19" s="366">
        <f>IF(K19="按租金收入计税",'数据-取费表'!B51,'数据-取费表'!B50)</f>
        <v>1.2E-2</v>
      </c>
    </row>
    <row r="20" spans="1:37" s="1856" customFormat="1" ht="18" customHeight="1">
      <c r="A20" s="1201" t="s">
        <v>1039</v>
      </c>
      <c r="B20" s="346" t="s">
        <v>1439</v>
      </c>
      <c r="C20" s="23">
        <f ca="1">ROUND(C19*F20,0)</f>
        <v>73</v>
      </c>
      <c r="D20" s="368" t="s">
        <v>1440</v>
      </c>
      <c r="E20" s="346" t="s">
        <v>1422</v>
      </c>
      <c r="F20" s="366">
        <f>'数据-取费表'!B37</f>
        <v>0.02</v>
      </c>
      <c r="G20" s="1852"/>
      <c r="H20" s="1201" t="s">
        <v>1389</v>
      </c>
      <c r="I20" s="163" t="s">
        <v>1441</v>
      </c>
      <c r="J20" s="24">
        <f ca="1">ROUND(M20*M21/10000,2)</f>
        <v>2.23</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18</v>
      </c>
      <c r="D21" s="368" t="s">
        <v>1445</v>
      </c>
      <c r="E21" s="346" t="s">
        <v>1446</v>
      </c>
      <c r="F21" s="366">
        <f>'数据-取费表'!B38</f>
        <v>0.02</v>
      </c>
      <c r="G21" s="1852"/>
      <c r="H21" s="371"/>
      <c r="I21" s="355"/>
      <c r="J21" s="28"/>
      <c r="K21" s="372"/>
      <c r="L21" s="346" t="s">
        <v>1447</v>
      </c>
      <c r="M21" s="347">
        <f ca="1">INDIRECT("'数据-取费表'!r"&amp;$G$1)</f>
        <v>927.85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ROUND(J14*M22,1)</f>
        <v>75.099999999999994</v>
      </c>
      <c r="K22" s="1796" t="s">
        <v>1450</v>
      </c>
      <c r="L22" s="346" t="s">
        <v>1422</v>
      </c>
      <c r="M22" s="373">
        <f ca="1">INDIRECT("'数据-取费表'!Ak"&amp;$G$1)</f>
        <v>1.4999999999999999E-2</v>
      </c>
    </row>
    <row r="23" spans="1:37" s="1856" customFormat="1" ht="18" customHeight="1">
      <c r="A23" s="1201" t="s">
        <v>1034</v>
      </c>
      <c r="B23" s="346" t="s">
        <v>1451</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6" t="s">
        <v>1461</v>
      </c>
      <c r="C25" s="23"/>
      <c r="D25" s="139" t="s">
        <v>1462</v>
      </c>
      <c r="E25" s="1816"/>
      <c r="F25" s="25"/>
      <c r="G25" s="1849"/>
      <c r="H25" s="1329" t="s">
        <v>1031</v>
      </c>
      <c r="I25" s="1344" t="s">
        <v>1463</v>
      </c>
      <c r="J25" s="354">
        <f ca="1">J5-J16</f>
        <v>-119</v>
      </c>
      <c r="K25" s="1345" t="s">
        <v>1464</v>
      </c>
      <c r="L25" s="1346"/>
      <c r="M25" s="1347"/>
    </row>
    <row r="26" spans="1:37">
      <c r="A26" s="1201" t="s">
        <v>1034</v>
      </c>
      <c r="B26" s="346" t="s">
        <v>1465</v>
      </c>
      <c r="C26" s="23">
        <f ca="1">ROUND((C19+C20)*F26,0)</f>
        <v>740</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5006</v>
      </c>
      <c r="D29" s="1342"/>
      <c r="E29" s="1340"/>
      <c r="F29" s="1343"/>
      <c r="G29" s="1852"/>
      <c r="H29" s="379" t="s">
        <v>1033</v>
      </c>
      <c r="I29" s="380" t="s">
        <v>1479</v>
      </c>
      <c r="J29" s="381">
        <f ca="1">ROUND(J26/(1+F40)^F41,0)</f>
        <v>0</v>
      </c>
      <c r="K29" s="382" t="s">
        <v>1480</v>
      </c>
      <c r="L29" s="383"/>
      <c r="M29" s="384">
        <f ca="1">INDIRECT("'数据-取费表'!k"&amp;$G$1)</f>
        <v>8276.64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343</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ROUND(IF(项目基本情况!B11="自然人",C5*F31,C32+C33+C34),1)</f>
        <v>247.7</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IF(项目基本情况!B11="自然人","——",ROUND(C5*F32/(1+'数据-取费表'!C42),2))</f>
        <v>75.52</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169.92</v>
      </c>
      <c r="D33" s="1826" t="s">
        <v>3086</v>
      </c>
      <c r="E33" s="346" t="s">
        <v>1422</v>
      </c>
      <c r="F33" s="366">
        <f>IF(D33="按票据","——",IF(D33="按租金收入计税",'数据-取费表'!B51,'数据-取费表'!B50))</f>
        <v>0.12</v>
      </c>
      <c r="G33" s="1849"/>
      <c r="H33" s="1857"/>
      <c r="I33" s="1858"/>
      <c r="J33" s="1859"/>
      <c r="K33" s="1860"/>
      <c r="L33" s="1857"/>
      <c r="M33" s="1857"/>
    </row>
    <row r="34" spans="1:18" ht="18" customHeight="1">
      <c r="A34" s="1291" t="s">
        <v>1389</v>
      </c>
      <c r="B34" s="163" t="s">
        <v>1441</v>
      </c>
      <c r="C34" s="24">
        <f ca="1">IF(项目基本情况!B11="自然人","——",ROUND(F34*F35/10000,2))</f>
        <v>2.23</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927.85</v>
      </c>
      <c r="G35" s="1849"/>
      <c r="H35" s="744"/>
      <c r="I35" s="1858"/>
      <c r="J35" s="1859"/>
      <c r="K35" s="1860"/>
      <c r="L35" s="1857"/>
      <c r="M35" s="1857"/>
    </row>
    <row r="36" spans="1:18" ht="18" customHeight="1">
      <c r="A36" s="1352" t="s">
        <v>1039</v>
      </c>
      <c r="B36" s="346" t="s">
        <v>1449</v>
      </c>
      <c r="C36" s="23">
        <f ca="1">ROUND(C29*F36,1)</f>
        <v>75.099999999999994</v>
      </c>
      <c r="D36" s="1796" t="s">
        <v>1482</v>
      </c>
      <c r="E36" s="346" t="s">
        <v>1422</v>
      </c>
      <c r="F36" s="373">
        <f ca="1">INDIRECT("'数据-取费表'!Ak"&amp;$G$1)</f>
        <v>1.4999999999999999E-2</v>
      </c>
      <c r="G36" s="1849"/>
      <c r="H36" s="1857"/>
      <c r="I36" s="1858"/>
      <c r="J36" s="1859"/>
      <c r="K36" s="750"/>
      <c r="L36" s="1857"/>
      <c r="M36" s="1857"/>
    </row>
    <row r="37" spans="1:18" ht="18" customHeight="1">
      <c r="A37" s="1201" t="s">
        <v>1075</v>
      </c>
      <c r="B37" s="346" t="s">
        <v>1453</v>
      </c>
      <c r="C37" s="23">
        <f ca="1">ROUND(C13*F37,1)</f>
        <v>5.6</v>
      </c>
      <c r="D37" s="1796" t="s">
        <v>1454</v>
      </c>
      <c r="E37" s="346" t="s">
        <v>1455</v>
      </c>
      <c r="F37" s="375">
        <f ca="1">INDIRECT("'数据-取费表'!Al"&amp;$G$1)</f>
        <v>1.5E-3</v>
      </c>
      <c r="G37" s="1849"/>
      <c r="H37" s="1857"/>
      <c r="I37" s="1858"/>
      <c r="J37" s="1859"/>
      <c r="K37" s="750"/>
      <c r="L37" s="1857"/>
      <c r="M37" s="1857"/>
    </row>
    <row r="38" spans="1:18" ht="18" customHeight="1" thickBot="1">
      <c r="A38" s="1339" t="s">
        <v>1393</v>
      </c>
      <c r="B38" s="1340" t="s">
        <v>1439</v>
      </c>
      <c r="C38" s="1341">
        <f ca="1">ROUND(C5*F38,1)</f>
        <v>14.2</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4">
        <f ca="1">C5-C30</f>
        <v>1073</v>
      </c>
      <c r="D39" s="1345" t="s">
        <v>1484</v>
      </c>
      <c r="E39" s="1346"/>
      <c r="F39" s="1347"/>
      <c r="G39" s="1849"/>
      <c r="H39" s="1857"/>
      <c r="I39" s="1858"/>
      <c r="J39" s="1859"/>
      <c r="K39" s="1863"/>
      <c r="L39" s="1857"/>
      <c r="M39" s="1857"/>
    </row>
    <row r="40" spans="1:18" ht="18" customHeight="1">
      <c r="A40" s="343" t="s">
        <v>1032</v>
      </c>
      <c r="B40" s="344" t="s">
        <v>1485</v>
      </c>
      <c r="C40" s="345">
        <f ca="1">ROUND(C39*(1-((1+F42)/(1+F40))^F41)/(F40-F42),0)</f>
        <v>23253</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32.54</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28095</v>
      </c>
      <c r="D43" s="382" t="s">
        <v>1488</v>
      </c>
      <c r="E43" s="383" t="s">
        <v>1489</v>
      </c>
      <c r="F43" s="384">
        <f ca="1">INDIRECT("'数据-取费表'!k"&amp;$G$1)</f>
        <v>8276.64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-30797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t="s">
        <v>3088</v>
      </c>
      <c r="K47" s="1880" t="s">
        <v>1527</v>
      </c>
      <c r="L47" s="1881">
        <f ca="1">INDIRECT("'数据-取费表'!d"&amp;$G$1)</f>
        <v>50</v>
      </c>
      <c r="M47" s="1836" t="str">
        <f>IF(ISNUMBER(FIND("住宅",C1)),"住宅","非住宅")</f>
        <v>非住宅</v>
      </c>
      <c r="O47" s="1882" t="s">
        <v>1040</v>
      </c>
      <c r="P47" s="1883" t="s">
        <v>1528</v>
      </c>
      <c r="Q47" s="1884">
        <f ca="1">C40+J29</f>
        <v>23253</v>
      </c>
      <c r="R47" s="1884" t="s">
        <v>1529</v>
      </c>
    </row>
    <row r="48" spans="1:18" s="1840" customFormat="1" ht="28.5" thickBot="1">
      <c r="A48" s="1360" t="s">
        <v>1135</v>
      </c>
      <c r="B48" s="344" t="s">
        <v>1401</v>
      </c>
      <c r="C48" s="1815">
        <f ca="1">C49+C53+C55</f>
        <v>0</v>
      </c>
      <c r="D48" s="1362"/>
      <c r="E48" s="1363"/>
      <c r="F48" s="1181"/>
      <c r="G48" s="791"/>
      <c r="H48" s="792"/>
      <c r="I48" s="1885" t="s">
        <v>1530</v>
      </c>
      <c r="J48" s="1886" t="s">
        <v>3089</v>
      </c>
      <c r="K48" s="1887" t="s">
        <v>1531</v>
      </c>
      <c r="L48" s="1888">
        <f ca="1">INDIRECT("'数据-取费表'!f"&amp;$G$1)</f>
        <v>32.54</v>
      </c>
      <c r="O48" s="1882" t="s">
        <v>1041</v>
      </c>
      <c r="P48" s="1883" t="s">
        <v>1532</v>
      </c>
      <c r="Q48" s="1884" t="str">
        <f ca="1">J60</f>
        <v>0</v>
      </c>
      <c r="R48" s="1884" t="s">
        <v>1533</v>
      </c>
    </row>
    <row r="49" spans="1:18" s="1840" customFormat="1" ht="13.5" thickBot="1">
      <c r="A49" s="1194" t="s">
        <v>1136</v>
      </c>
      <c r="B49" s="1827" t="s">
        <v>1490</v>
      </c>
      <c r="C49" s="1364">
        <f ca="1">ROUND(F49*F51*F50*(1-F52)/10000,0)</f>
        <v>0</v>
      </c>
      <c r="D49" s="1276" t="s">
        <v>3021</v>
      </c>
      <c r="E49" s="1828" t="s">
        <v>1491</v>
      </c>
      <c r="F49" s="1281"/>
      <c r="G49" s="1889"/>
      <c r="H49" s="792"/>
      <c r="I49" s="1885" t="s">
        <v>1534</v>
      </c>
      <c r="J49" s="1890">
        <v>2003</v>
      </c>
      <c r="K49" s="1887" t="s">
        <v>1535</v>
      </c>
      <c r="L49" s="1891"/>
      <c r="O49" s="1892" t="s">
        <v>1042</v>
      </c>
      <c r="P49" s="1883" t="s">
        <v>1536</v>
      </c>
      <c r="Q49" s="1884">
        <f ca="1">C29</f>
        <v>5006</v>
      </c>
      <c r="R49" s="1884" t="s">
        <v>1529</v>
      </c>
    </row>
    <row r="50" spans="1:18" s="1840" customFormat="1" ht="13.5" thickBot="1">
      <c r="A50" s="1195"/>
      <c r="B50" s="1198"/>
      <c r="C50" s="1368"/>
      <c r="D50" s="1172"/>
      <c r="E50" s="1277" t="s">
        <v>1406</v>
      </c>
      <c r="F50" s="1278">
        <f ca="1">F7</f>
        <v>8276.64</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7">
        <f ca="1">F8</f>
        <v>365</v>
      </c>
      <c r="I51" s="1896" t="s">
        <v>1540</v>
      </c>
      <c r="J51" s="1897">
        <f>IF(J49="",J50,J49+J50-YEAR('数据-取费表'!B2))</f>
        <v>45</v>
      </c>
      <c r="K51" s="1898" t="s">
        <v>1541</v>
      </c>
      <c r="L51" s="1899">
        <f ca="1">ROUND(-PV(INDIRECT("'数据-取费表'!h"&amp;$G$1),L48,(C39-C13*C76),0),0)</f>
        <v>11995</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32.54</v>
      </c>
      <c r="R52" s="1884" t="s">
        <v>1546</v>
      </c>
    </row>
    <row r="53" spans="1:18" s="1840" customFormat="1" ht="24.75" thickBot="1">
      <c r="A53" s="1404" t="s">
        <v>1137</v>
      </c>
      <c r="B53" s="1829" t="s">
        <v>1409</v>
      </c>
      <c r="C53" s="360">
        <f ca="1">ROUND(IF(F53="押一",C49/12*F11,IF(F53="押二",C49/12*2*F11,IF(F53="押三",C49/12*3*F11,C54*F11))),0)</f>
        <v>0</v>
      </c>
      <c r="D53" s="1822" t="s">
        <v>3028</v>
      </c>
      <c r="E53" s="357"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32.54</v>
      </c>
      <c r="K53" s="3174" t="s">
        <v>1548</v>
      </c>
      <c r="L53" s="3175"/>
      <c r="O53" s="1882" t="s">
        <v>1046</v>
      </c>
      <c r="P53" s="1883" t="s">
        <v>1549</v>
      </c>
      <c r="Q53" s="1884">
        <f ca="1">Q47+Q48</f>
        <v>23253</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5">
        <f ca="1">C13</f>
        <v>3755</v>
      </c>
      <c r="D56" s="1912"/>
      <c r="E56" s="1913"/>
      <c r="F56" s="1905"/>
      <c r="I56" s="1914" t="s">
        <v>1554</v>
      </c>
      <c r="J56" s="1915" t="s">
        <v>3051</v>
      </c>
      <c r="K56" s="1885" t="s">
        <v>1555</v>
      </c>
      <c r="L56" s="1888" t="str">
        <f ca="1">IF(L48&lt;J51,"——",L48-J53)</f>
        <v>——</v>
      </c>
      <c r="O56" s="1882" t="s">
        <v>1040</v>
      </c>
      <c r="P56" s="1883" t="s">
        <v>1528</v>
      </c>
      <c r="Q56" s="1884">
        <f ca="1">C40+J29</f>
        <v>23253</v>
      </c>
      <c r="R56" s="1884" t="s">
        <v>1529</v>
      </c>
    </row>
    <row r="57" spans="1:18" s="1840" customFormat="1" ht="24.75" thickBot="1">
      <c r="A57" s="1916"/>
      <c r="B57" s="1169" t="s">
        <v>1478</v>
      </c>
      <c r="C57" s="281">
        <f ca="1">C29</f>
        <v>5006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7" t="s">
        <v>1424</v>
      </c>
      <c r="C58" s="360">
        <f ca="1">ROUND(C59+C64+C65+C66,0)</f>
        <v>503</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ROUND(IF(项目基本情况!B11="自然人",C48*F59,C60+C61+C62),1)</f>
        <v>422.7</v>
      </c>
      <c r="D59" s="1182" t="s">
        <v>1430</v>
      </c>
      <c r="E59" s="1183"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IF(项目基本情况!B11="自然人","——",IF(D61="按租金收入计税",ROUND(C48*F61,2),IF(D61="按房产原值计税",ROUND(C57*F61*0.7,2),INDIRECT("'数据-取费表'!Aj"&amp;$G$1))))</f>
        <v>420.5</v>
      </c>
      <c r="D61" s="1826" t="s">
        <v>1438</v>
      </c>
      <c r="E61" s="1169"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4">
        <f ca="1">IF(项目基本情况!B11="自然人","——",ROUND(F62*F63/10000,2))</f>
        <v>2.23</v>
      </c>
      <c r="D62" s="1184" t="s">
        <v>1497</v>
      </c>
      <c r="E62" s="1169" t="s">
        <v>1498</v>
      </c>
      <c r="F62" s="370">
        <f t="shared" si="0"/>
        <v>24</v>
      </c>
      <c r="I62" s="1927" t="s">
        <v>1570</v>
      </c>
      <c r="J62" s="1928" t="s">
        <v>1571</v>
      </c>
      <c r="K62" s="1928" t="s">
        <v>1572</v>
      </c>
      <c r="L62" s="1928" t="s">
        <v>1573</v>
      </c>
      <c r="M62" s="1929" t="s">
        <v>1574</v>
      </c>
      <c r="O62" s="1882" t="s">
        <v>1046</v>
      </c>
      <c r="P62" s="1883" t="s">
        <v>1575</v>
      </c>
      <c r="Q62" s="1884">
        <f ca="1">Q56+Q57</f>
        <v>23253</v>
      </c>
      <c r="R62" s="1884" t="s">
        <v>1047</v>
      </c>
    </row>
    <row r="63" spans="1:18" s="1840" customFormat="1" ht="13.5" thickBot="1">
      <c r="A63" s="371"/>
      <c r="B63" s="1175"/>
      <c r="C63" s="28"/>
      <c r="D63" s="1185"/>
      <c r="E63" s="1169" t="s">
        <v>1499</v>
      </c>
      <c r="F63" s="347">
        <f t="shared" ca="1" si="0"/>
        <v>927.85</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ROUND(C57*F64,1)</f>
        <v>75.099999999999994</v>
      </c>
      <c r="D64" s="1183" t="s">
        <v>1502</v>
      </c>
      <c r="E64" s="1169"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ROUND(C56*F65,1)</f>
        <v>5.6</v>
      </c>
      <c r="D65" s="1183" t="s">
        <v>1454</v>
      </c>
      <c r="E65" s="1169" t="s">
        <v>1455</v>
      </c>
      <c r="F65" s="375">
        <f t="shared" ca="1" si="0"/>
        <v>1.5E-3</v>
      </c>
      <c r="I65" s="1927" t="s">
        <v>1579</v>
      </c>
      <c r="J65" s="1928">
        <v>40</v>
      </c>
      <c r="K65" s="1928">
        <v>30</v>
      </c>
      <c r="L65" s="1928">
        <v>50</v>
      </c>
      <c r="M65" s="1930">
        <v>0.02</v>
      </c>
      <c r="O65" s="1882" t="s">
        <v>1040</v>
      </c>
      <c r="P65" s="1883" t="s">
        <v>1580</v>
      </c>
      <c r="Q65" s="1884">
        <f ca="1">C40+J29</f>
        <v>23253</v>
      </c>
      <c r="R65" s="1884" t="s">
        <v>1529</v>
      </c>
    </row>
    <row r="66" spans="1:18" s="1840" customFormat="1" ht="16.5" thickBot="1">
      <c r="A66" s="1201" t="s">
        <v>1504</v>
      </c>
      <c r="B66" s="1169" t="s">
        <v>1439</v>
      </c>
      <c r="C66" s="23">
        <f ca="1">ROUND(C48*F66,1)</f>
        <v>0</v>
      </c>
      <c r="D66" s="1183" t="s">
        <v>1505</v>
      </c>
      <c r="E66" s="1169" t="s">
        <v>1422</v>
      </c>
      <c r="F66" s="356">
        <f t="shared" ca="1" si="0"/>
        <v>0.01</v>
      </c>
      <c r="O66" s="1882" t="s">
        <v>1041</v>
      </c>
      <c r="P66" s="1883" t="s">
        <v>1558</v>
      </c>
      <c r="Q66" s="1884">
        <f ca="1">L60</f>
        <v>0</v>
      </c>
      <c r="R66" s="1884" t="s">
        <v>1581</v>
      </c>
    </row>
    <row r="67" spans="1:18" s="1840" customFormat="1" ht="16.5" thickBot="1">
      <c r="A67" s="1176" t="s">
        <v>1031</v>
      </c>
      <c r="B67" s="1186" t="s">
        <v>1463</v>
      </c>
      <c r="C67" s="360">
        <f ca="1">C48-C58</f>
        <v>-503</v>
      </c>
      <c r="D67" s="1182" t="s">
        <v>1464</v>
      </c>
      <c r="E67" s="1187"/>
      <c r="F67" s="1188"/>
      <c r="O67" s="1892" t="s">
        <v>1042</v>
      </c>
      <c r="P67" s="1883" t="s">
        <v>1562</v>
      </c>
      <c r="Q67" s="1931">
        <f ca="1">L51</f>
        <v>11995</v>
      </c>
      <c r="R67" s="1884" t="s">
        <v>1582</v>
      </c>
    </row>
    <row r="68" spans="1:18" s="1840" customFormat="1" ht="16.5" thickBot="1">
      <c r="A68" s="1166" t="s">
        <v>1032</v>
      </c>
      <c r="B68" s="1167" t="s">
        <v>1485</v>
      </c>
      <c r="C68" s="345">
        <f ca="1">ROUND(C67*(1-((1+F70)/(1+F68))^F69)/(F68-F70),0)</f>
        <v>-7544</v>
      </c>
      <c r="D68" s="1184" t="s">
        <v>1469</v>
      </c>
      <c r="E68" s="1169" t="s">
        <v>1470</v>
      </c>
      <c r="F68" s="356">
        <f ca="1">F40</f>
        <v>5.5E-2</v>
      </c>
      <c r="O68" s="1892" t="s">
        <v>1043</v>
      </c>
      <c r="P68" s="1932" t="s">
        <v>1583</v>
      </c>
      <c r="Q68" s="1884">
        <f ca="1">ROUND(Q69-Q70*Q71,0)</f>
        <v>754</v>
      </c>
      <c r="R68" s="1884" t="s">
        <v>1051</v>
      </c>
    </row>
    <row r="69" spans="1:18" s="1840" customFormat="1" ht="13.5" thickBot="1">
      <c r="A69" s="1170"/>
      <c r="B69" s="1171"/>
      <c r="C69" s="350"/>
      <c r="D69" s="1189" t="s">
        <v>1473</v>
      </c>
      <c r="E69" s="1169" t="s">
        <v>1474</v>
      </c>
      <c r="F69" s="378">
        <f ca="1">F41</f>
        <v>32.54</v>
      </c>
      <c r="O69" s="1892" t="s">
        <v>1048</v>
      </c>
      <c r="P69" s="1932" t="s">
        <v>1584</v>
      </c>
      <c r="Q69" s="1884">
        <f ca="1">C39</f>
        <v>1073</v>
      </c>
      <c r="R69" s="1884" t="s">
        <v>1529</v>
      </c>
    </row>
    <row r="70" spans="1:18" s="1840" customFormat="1" ht="13.5" thickBot="1">
      <c r="A70" s="1173"/>
      <c r="B70" s="1174"/>
      <c r="C70" s="354"/>
      <c r="D70" s="1185"/>
      <c r="E70" s="1169" t="s">
        <v>1477</v>
      </c>
      <c r="F70" s="1275"/>
      <c r="O70" s="1892" t="s">
        <v>1049</v>
      </c>
      <c r="P70" s="1932" t="s">
        <v>1585</v>
      </c>
      <c r="Q70" s="1884">
        <f ca="1">C13</f>
        <v>3755</v>
      </c>
      <c r="R70" s="1884" t="s">
        <v>1529</v>
      </c>
    </row>
    <row r="71" spans="1:18" s="1840" customFormat="1" ht="13.5" thickBot="1">
      <c r="A71" s="1190" t="s">
        <v>1033</v>
      </c>
      <c r="B71" s="1191" t="s">
        <v>1487</v>
      </c>
      <c r="C71" s="381">
        <f ca="1">ROUND(C68*10000/F71,0)</f>
        <v>-9115</v>
      </c>
      <c r="D71" s="1192" t="s">
        <v>1488</v>
      </c>
      <c r="E71" s="1193" t="s">
        <v>1489</v>
      </c>
      <c r="F71" s="384">
        <f ca="1">F43</f>
        <v>8276.64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319</v>
      </c>
      <c r="D75" s="1840"/>
      <c r="E75" s="1840"/>
      <c r="F75" s="1840"/>
      <c r="K75" s="1866"/>
      <c r="L75" s="1840"/>
      <c r="O75" s="1882" t="s">
        <v>1046</v>
      </c>
      <c r="P75" s="1883" t="s">
        <v>1549</v>
      </c>
      <c r="Q75" s="1884">
        <f ca="1">Q65+Q66</f>
        <v>23253</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0.70300000000000007</v>
      </c>
    </row>
    <row r="80" spans="1:18">
      <c r="B80" s="385" t="s">
        <v>1511</v>
      </c>
      <c r="C80" s="317">
        <f ca="1">ROUND(C75/C39,3)</f>
        <v>0.29699999999999999</v>
      </c>
    </row>
    <row r="81" spans="2:3">
      <c r="B81" s="313" t="s">
        <v>1512</v>
      </c>
      <c r="C81" s="281"/>
    </row>
    <row r="82" spans="2:3">
      <c r="B82" s="316" t="s">
        <v>1513</v>
      </c>
      <c r="C82" s="318">
        <f ca="1">1-C83</f>
        <v>0.83899999999999997</v>
      </c>
    </row>
    <row r="83" spans="2:3">
      <c r="B83" s="316" t="s">
        <v>1514</v>
      </c>
      <c r="C83" s="317">
        <f ca="1">ROUND(C13/C40,3)</f>
        <v>0.161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3"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2">
        <f ca="1">C6+C10+C12</f>
        <v>0</v>
      </c>
      <c r="D5" s="1820" t="s">
        <v>1601</v>
      </c>
      <c r="E5" s="1293"/>
      <c r="F5" s="1294"/>
      <c r="G5" s="1849"/>
      <c r="H5" s="343">
        <v>1</v>
      </c>
      <c r="I5" s="344" t="s">
        <v>1600</v>
      </c>
      <c r="J5" s="1292">
        <f ca="1">J6+J10+J12</f>
        <v>0</v>
      </c>
      <c r="K5" s="1820" t="s">
        <v>1601</v>
      </c>
      <c r="L5" s="1293"/>
      <c r="M5" s="1294"/>
    </row>
    <row r="6" spans="1:37" ht="18" customHeight="1">
      <c r="A6" s="1291" t="s">
        <v>1035</v>
      </c>
      <c r="B6" s="3176" t="s">
        <v>1403</v>
      </c>
      <c r="C6" s="1296">
        <f ca="1">ROUND(F6*F8*F7*(1-F9),0)</f>
        <v>0</v>
      </c>
      <c r="D6" s="163" t="s">
        <v>3017</v>
      </c>
      <c r="E6" s="346" t="s">
        <v>1405</v>
      </c>
      <c r="F6" s="347">
        <f ca="1">INDIRECT("'数据-取费表'!u"&amp;$G$1)</f>
        <v>0</v>
      </c>
      <c r="G6" s="1849"/>
      <c r="H6" s="1291" t="s">
        <v>1035</v>
      </c>
      <c r="I6" s="3176" t="s">
        <v>1403</v>
      </c>
      <c r="J6" s="345">
        <f ca="1">ROUND(M6*M8*M7*(1-M9),0)</f>
        <v>0</v>
      </c>
      <c r="K6" s="1832" t="s">
        <v>3018</v>
      </c>
      <c r="L6" s="346" t="s">
        <v>1405</v>
      </c>
      <c r="M6" s="347">
        <f ca="1">INDIRECT("'数据-取费表'!z"&amp;$G$1)</f>
        <v>0</v>
      </c>
    </row>
    <row r="7" spans="1:37" ht="18" customHeight="1">
      <c r="A7" s="1295"/>
      <c r="B7" s="3177"/>
      <c r="C7" s="1297"/>
      <c r="D7" s="351"/>
      <c r="E7" s="1298" t="s">
        <v>1406</v>
      </c>
      <c r="F7" s="347">
        <f ca="1">IF(INDIRECT("'数据-取费表'!ah"&amp;$G$1)="",INDIRECT("'数据-取费表'!k"&amp;$G$1),INDIRECT("'数据-取费表'!ah"&amp;$G$1))</f>
        <v>0</v>
      </c>
      <c r="G7" s="1849"/>
      <c r="H7" s="348"/>
      <c r="I7" s="3177"/>
      <c r="J7" s="350"/>
      <c r="K7" s="351"/>
      <c r="L7" s="346" t="s">
        <v>1406</v>
      </c>
      <c r="M7" s="347">
        <f ca="1">F7</f>
        <v>0</v>
      </c>
    </row>
    <row r="8" spans="1:37" ht="18" customHeight="1">
      <c r="A8" s="348"/>
      <c r="B8" s="3177"/>
      <c r="C8" s="350"/>
      <c r="D8" s="351"/>
      <c r="E8" s="346" t="s">
        <v>1407</v>
      </c>
      <c r="F8" s="347">
        <f ca="1">INDIRECT("'数据-取费表'!ai"&amp;$G$1)</f>
        <v>0</v>
      </c>
      <c r="G8" s="1849"/>
      <c r="H8" s="348"/>
      <c r="I8" s="3177"/>
      <c r="J8" s="350"/>
      <c r="K8" s="351"/>
      <c r="L8" s="346" t="s">
        <v>1407</v>
      </c>
      <c r="M8" s="347">
        <f ca="1">INDIRECT("'数据-取费表'!ai"&amp;$G$1)</f>
        <v>0</v>
      </c>
    </row>
    <row r="9" spans="1:37" ht="18" customHeight="1">
      <c r="A9" s="348"/>
      <c r="B9" s="3178"/>
      <c r="C9" s="350"/>
      <c r="D9" s="351"/>
      <c r="E9" s="346" t="s">
        <v>1408</v>
      </c>
      <c r="F9" s="356">
        <f ca="1">INDIRECT("'数据-取费表'!w"&amp;$G$1)</f>
        <v>0</v>
      </c>
      <c r="G9" s="1849"/>
      <c r="H9" s="348"/>
      <c r="I9" s="3178"/>
      <c r="J9" s="350"/>
      <c r="K9" s="351"/>
      <c r="L9" s="357" t="s">
        <v>1408</v>
      </c>
      <c r="M9" s="358">
        <f ca="1">INDIRECT("'数据-取费表'!ab"&amp;$G$1)</f>
        <v>0</v>
      </c>
    </row>
    <row r="10" spans="1:37" ht="18" customHeight="1">
      <c r="A10" s="1291" t="s">
        <v>1039</v>
      </c>
      <c r="B10" s="1821" t="s">
        <v>1409</v>
      </c>
      <c r="C10" s="360">
        <f ca="1">ROUND(IF(F10="押一",C6/12*F11,IF(F10="押二",C6/12*2*F11,IF(F10="押三",C6/12*3*F11,C11*F11))),0)</f>
        <v>0</v>
      </c>
      <c r="D10" s="1822" t="s">
        <v>3028</v>
      </c>
      <c r="E10" s="357" t="s">
        <v>1410</v>
      </c>
      <c r="F10" s="1366"/>
      <c r="G10" s="1849"/>
      <c r="H10" s="1291" t="s">
        <v>1039</v>
      </c>
      <c r="I10" s="1821" t="s">
        <v>1409</v>
      </c>
      <c r="J10" s="345">
        <f ca="1">ROUND(IF(M10="押一",J6/12*M11,IF(M10="押二",J6/12*2*M11,IF(M10="押三",J6/12*3*M11,J11*M11))),0)</f>
        <v>0</v>
      </c>
      <c r="K10" s="1833" t="s">
        <v>3030</v>
      </c>
      <c r="L10" s="357" t="s">
        <v>1410</v>
      </c>
      <c r="M10" s="1366"/>
    </row>
    <row r="11" spans="1:37" ht="18" customHeight="1">
      <c r="A11" s="352"/>
      <c r="B11" s="1823" t="s">
        <v>1602</v>
      </c>
      <c r="C11" s="1178"/>
      <c r="D11" s="351"/>
      <c r="E11" s="357" t="s">
        <v>1412</v>
      </c>
      <c r="F11" s="358">
        <f ca="1">'数据-取费表'!B39</f>
        <v>1.4999999999999999E-2</v>
      </c>
      <c r="G11" s="1849"/>
      <c r="H11" s="1299"/>
      <c r="I11" s="1823" t="s">
        <v>1603</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6" t="s">
        <v>1417</v>
      </c>
      <c r="C14" s="362">
        <f ca="1">ROUND(INDIRECT("'数据-取费表'!l"&amp;$G$1)*F43+'数据-取费表'!L14*INDIRECT("'数据-取费表'!S"&amp;$G$1),0)</f>
        <v>0</v>
      </c>
      <c r="D14" s="1798" t="s">
        <v>1418</v>
      </c>
      <c r="E14" s="1792"/>
      <c r="F14" s="363"/>
      <c r="G14" s="1849"/>
      <c r="H14" s="1201" t="s">
        <v>1035</v>
      </c>
      <c r="I14" s="346" t="s">
        <v>1419</v>
      </c>
      <c r="J14" s="23">
        <f ca="1">C29</f>
        <v>0</v>
      </c>
      <c r="K14" s="14"/>
      <c r="L14" s="981"/>
      <c r="M14" s="982"/>
    </row>
    <row r="15" spans="1:37" s="1856" customFormat="1" ht="18" customHeight="1" thickBot="1">
      <c r="A15" s="1201" t="s">
        <v>1036</v>
      </c>
      <c r="B15" s="346" t="s">
        <v>1420</v>
      </c>
      <c r="C15" s="23">
        <f ca="1">ROUND(C14*F15,0)</f>
        <v>0</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49"/>
      <c r="H16" s="1329" t="s">
        <v>1030</v>
      </c>
      <c r="I16" s="1330" t="s">
        <v>1424</v>
      </c>
      <c r="J16" s="354">
        <f ca="1">ROUND(J17+J22+J23+J24,0)</f>
        <v>0</v>
      </c>
      <c r="K16" s="1337" t="s">
        <v>1425</v>
      </c>
      <c r="L16" s="1338"/>
      <c r="M16" s="1294"/>
    </row>
    <row r="17" spans="1:37" s="1856" customFormat="1" ht="18" customHeight="1">
      <c r="A17" s="1201" t="s">
        <v>1390</v>
      </c>
      <c r="B17" s="346" t="s">
        <v>1426</v>
      </c>
      <c r="C17" s="23">
        <f ca="1">ROUND(F17*(F43+INDIRECT("'数据-取费表'!S"&amp;$G$1)),0)</f>
        <v>0</v>
      </c>
      <c r="D17" s="346" t="s">
        <v>1427</v>
      </c>
      <c r="E17" s="346" t="s">
        <v>1428</v>
      </c>
      <c r="F17" s="25">
        <f>'数据-取费表'!B35</f>
        <v>200</v>
      </c>
      <c r="G17" s="1852"/>
      <c r="H17" s="1201"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0</v>
      </c>
      <c r="D18" s="346" t="s">
        <v>1421</v>
      </c>
      <c r="E18" s="346" t="s">
        <v>1422</v>
      </c>
      <c r="F18" s="366">
        <f>'数据-取费表'!B36</f>
        <v>1.4999999999999999E-2</v>
      </c>
      <c r="G18" s="1852"/>
      <c r="H18" s="1201"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0</v>
      </c>
      <c r="D19" s="139" t="s">
        <v>1436</v>
      </c>
      <c r="E19" s="1816"/>
      <c r="F19" s="25"/>
      <c r="G19" s="1849"/>
      <c r="H19" s="1201"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201" t="s">
        <v>1039</v>
      </c>
      <c r="B20" s="346" t="s">
        <v>1439</v>
      </c>
      <c r="C20" s="23">
        <f ca="1">ROUND(C19*F20,0)</f>
        <v>0</v>
      </c>
      <c r="D20" s="368" t="s">
        <v>1440</v>
      </c>
      <c r="E20" s="346" t="s">
        <v>1422</v>
      </c>
      <c r="F20" s="366">
        <f>'数据-取费表'!B37</f>
        <v>0.02</v>
      </c>
      <c r="G20" s="1852"/>
      <c r="H20" s="1201" t="s">
        <v>1389</v>
      </c>
      <c r="I20" s="163" t="s">
        <v>1441</v>
      </c>
      <c r="J20" s="24">
        <f ca="1">ROUND(M20*M21,0)</f>
        <v>0</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v>
      </c>
      <c r="D21" s="368" t="s">
        <v>1445</v>
      </c>
      <c r="E21" s="346" t="s">
        <v>1446</v>
      </c>
      <c r="F21" s="366">
        <f>'数据-取费表'!B38</f>
        <v>0.02</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ROUND(J14*M22,0)</f>
        <v>0</v>
      </c>
      <c r="K22" s="1796" t="s">
        <v>1450</v>
      </c>
      <c r="L22" s="346" t="s">
        <v>1422</v>
      </c>
      <c r="M22" s="373">
        <f ca="1">INDIRECT("'数据-取费表'!Ak"&amp;$G$1)</f>
        <v>0</v>
      </c>
    </row>
    <row r="23" spans="1:37" s="1856"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6" t="s">
        <v>1461</v>
      </c>
      <c r="C25" s="23"/>
      <c r="D25" s="139" t="s">
        <v>1462</v>
      </c>
      <c r="E25" s="1816"/>
      <c r="F25" s="25"/>
      <c r="G25" s="1849"/>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0</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1" t="s">
        <v>1389</v>
      </c>
      <c r="B34" s="163" t="s">
        <v>1441</v>
      </c>
      <c r="C34" s="24">
        <f ca="1">IF(项目基本情况!B11="自然人","——",ROUND(F34*F35,))</f>
        <v>0</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0</v>
      </c>
      <c r="G35" s="1849"/>
      <c r="H35" s="744"/>
      <c r="I35" s="1858"/>
      <c r="J35" s="1859"/>
      <c r="K35" s="1860"/>
      <c r="L35" s="1857"/>
      <c r="M35" s="1857"/>
    </row>
    <row r="36" spans="1:18" ht="18" customHeight="1">
      <c r="A36" s="1352"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201"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4">
        <f ca="1">C5-C30</f>
        <v>0</v>
      </c>
      <c r="D39" s="1345" t="s">
        <v>1484</v>
      </c>
      <c r="E39" s="1346"/>
      <c r="F39" s="1347"/>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4"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8" t="s">
        <v>1409</v>
      </c>
      <c r="C53" s="360">
        <f ca="1">ROUND(IF(F53="押一",C49/12*F11,IF(F53="押二",C49/12*2*F11,IF(F53="押三",C49/12*3*F11,C54*F11))),0)</f>
        <v>0</v>
      </c>
      <c r="D53" s="1822" t="s">
        <v>3031</v>
      </c>
      <c r="E53" s="357"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74" t="s">
        <v>1548</v>
      </c>
      <c r="L53" s="3175"/>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7" t="s">
        <v>1424</v>
      </c>
      <c r="C58" s="360">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IF(项目基本情况!B11="自然人","——",IF(D61="按租金收入计税",ROUND(C48*F61,0),IF(D61="按房产原值计税",ROUND(C57*F61*0.7,0),INDIRECT("'数据-取费表'!Aj"&amp;$G$1))))</f>
        <v>0</v>
      </c>
      <c r="D61" s="1826" t="s">
        <v>1438</v>
      </c>
      <c r="E61" s="1169"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4">
        <f ca="1">IF(项目基本情况!B11="自然人","——",ROUND(F62*F63,0))</f>
        <v>0</v>
      </c>
      <c r="D62" s="1184" t="s">
        <v>1497</v>
      </c>
      <c r="E62" s="1169" t="s">
        <v>1498</v>
      </c>
      <c r="F62" s="370">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5"/>
      <c r="C63" s="28"/>
      <c r="D63" s="1185"/>
      <c r="E63" s="1169"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ROUND(C57*F64,0)</f>
        <v>0</v>
      </c>
      <c r="D64" s="1183" t="s">
        <v>1502</v>
      </c>
      <c r="E64" s="1169"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ROUND(C56*F65,0)</f>
        <v>0</v>
      </c>
      <c r="D65" s="1183" t="s">
        <v>1454</v>
      </c>
      <c r="E65" s="1169"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3">
        <f ca="1">ROUND(C48*F66,0)</f>
        <v>0</v>
      </c>
      <c r="D66" s="1183" t="s">
        <v>1505</v>
      </c>
      <c r="E66" s="1169" t="s">
        <v>1422</v>
      </c>
      <c r="F66" s="356">
        <f t="shared" ca="1" si="0"/>
        <v>0</v>
      </c>
      <c r="O66" s="1882" t="s">
        <v>1041</v>
      </c>
      <c r="P66" s="1883" t="s">
        <v>1558</v>
      </c>
      <c r="Q66" s="1884" t="e">
        <f ca="1">L60</f>
        <v>#DIV/0!</v>
      </c>
      <c r="R66" s="1884" t="s">
        <v>1581</v>
      </c>
    </row>
    <row r="67" spans="1:18" s="1840" customFormat="1" ht="16.5" thickBot="1">
      <c r="A67" s="1176" t="s">
        <v>1031</v>
      </c>
      <c r="B67" s="1186" t="s">
        <v>1463</v>
      </c>
      <c r="C67" s="360">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5" t="e">
        <f ca="1">ROUND(C67*(1-((1+F70)/(1+F68))^F69)/(F68-F70),0)</f>
        <v>#DIV/0!</v>
      </c>
      <c r="D68" s="1184" t="s">
        <v>1469</v>
      </c>
      <c r="E68" s="1169" t="s">
        <v>1470</v>
      </c>
      <c r="F68" s="356">
        <f ca="1">F40</f>
        <v>0</v>
      </c>
      <c r="O68" s="1892" t="s">
        <v>1043</v>
      </c>
      <c r="P68" s="1932" t="s">
        <v>1583</v>
      </c>
      <c r="Q68" s="1884">
        <f ca="1">ROUND(Q69-Q70*Q71,0)</f>
        <v>0</v>
      </c>
      <c r="R68" s="1884" t="s">
        <v>1051</v>
      </c>
    </row>
    <row r="69" spans="1:18" s="1840" customFormat="1" ht="13.5" thickBot="1">
      <c r="A69" s="1170"/>
      <c r="B69" s="1171"/>
      <c r="C69" s="350"/>
      <c r="D69" s="1189" t="s">
        <v>1473</v>
      </c>
      <c r="E69" s="1169" t="s">
        <v>1474</v>
      </c>
      <c r="F69" s="378">
        <f ca="1">F41</f>
        <v>0</v>
      </c>
      <c r="O69" s="1892" t="s">
        <v>1048</v>
      </c>
      <c r="P69" s="1932" t="s">
        <v>1584</v>
      </c>
      <c r="Q69" s="1884">
        <f ca="1">C39</f>
        <v>0</v>
      </c>
      <c r="R69" s="1884" t="s">
        <v>1529</v>
      </c>
    </row>
    <row r="70" spans="1:18" s="1840" customFormat="1" ht="13.5" thickBot="1">
      <c r="A70" s="1173"/>
      <c r="B70" s="1174"/>
      <c r="C70" s="354"/>
      <c r="D70" s="1185"/>
      <c r="E70" s="1169" t="s">
        <v>1477</v>
      </c>
      <c r="F70" s="1275">
        <f ca="1">F42</f>
        <v>0</v>
      </c>
      <c r="O70" s="1892" t="s">
        <v>1049</v>
      </c>
      <c r="P70" s="1932" t="s">
        <v>1585</v>
      </c>
      <c r="Q70" s="1884">
        <f ca="1">C13</f>
        <v>0</v>
      </c>
      <c r="R70" s="1884" t="s">
        <v>1529</v>
      </c>
    </row>
    <row r="71" spans="1:18" s="1840" customFormat="1" ht="13.5" thickBot="1">
      <c r="A71" s="1190" t="s">
        <v>1033</v>
      </c>
      <c r="B71" s="1191" t="s">
        <v>1487</v>
      </c>
      <c r="C71" s="381" t="e">
        <f ca="1">ROUND(C68/F71,0)</f>
        <v>#DIV/0!</v>
      </c>
      <c r="D71" s="1192" t="s">
        <v>1488</v>
      </c>
      <c r="E71" s="1193"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2515</v>
      </c>
      <c r="B1" s="2561"/>
      <c r="C1" s="2561"/>
      <c r="D1" s="2561"/>
      <c r="E1" s="2562"/>
    </row>
    <row r="2" spans="1:6" ht="15.75">
      <c r="A2" s="2563" t="s">
        <v>2316</v>
      </c>
      <c r="B2" s="2564">
        <f ca="1">SUMIF(B6:B13,"&lt;&gt;#ref!",B6:B13)</f>
        <v>23253</v>
      </c>
      <c r="C2" s="2565" t="s">
        <v>2508</v>
      </c>
      <c r="D2" s="2566" t="s">
        <v>2509</v>
      </c>
      <c r="E2" s="2567">
        <f>SUM(E6:E13)</f>
        <v>8276.64</v>
      </c>
    </row>
    <row r="3" spans="1:6" ht="15.75">
      <c r="A3" s="2563" t="s">
        <v>1395</v>
      </c>
      <c r="B3" s="2564">
        <f ca="1">ROUND(B2*10000/E2,0)</f>
        <v>28095</v>
      </c>
      <c r="C3" s="2565" t="s">
        <v>2516</v>
      </c>
      <c r="D3" s="2568"/>
      <c r="E3" s="2569"/>
    </row>
    <row r="4" spans="1:6" ht="15.75">
      <c r="A4" s="2570"/>
      <c r="B4" s="2568"/>
      <c r="C4" s="2568"/>
      <c r="D4" s="2568"/>
      <c r="E4" s="2569"/>
    </row>
    <row r="5" spans="1:6" ht="15">
      <c r="A5" s="2571" t="s">
        <v>2510</v>
      </c>
      <c r="B5" s="3179" t="s">
        <v>2511</v>
      </c>
      <c r="C5" s="3179"/>
      <c r="D5" s="2572"/>
      <c r="E5" s="2573" t="s">
        <v>2512</v>
      </c>
      <c r="F5" s="2574" t="s">
        <v>2513</v>
      </c>
    </row>
    <row r="6" spans="1:6">
      <c r="A6" s="2575" t="str">
        <f>'数据-取费表'!AN6</f>
        <v>收益法</v>
      </c>
      <c r="B6" s="2574">
        <f ca="1">IF(F6="是",'数据-取费表'!AO6,0)</f>
        <v>23253</v>
      </c>
      <c r="C6" s="2565" t="s">
        <v>2508</v>
      </c>
      <c r="D6" s="2568"/>
      <c r="E6" s="2576">
        <f>IF(OR(A6=0,F6="否"),0,'数据-取费表'!K6+'数据-取费表'!S6)</f>
        <v>8276.64</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180" t="s">
        <v>1076</v>
      </c>
      <c r="B1" s="3181"/>
      <c r="C1" s="3182"/>
      <c r="D1" s="3183">
        <f>SUM(I10,I15,I20,I21,I23)</f>
        <v>0</v>
      </c>
      <c r="E1" s="3183"/>
      <c r="F1" s="3183"/>
      <c r="G1" s="3183"/>
      <c r="H1" s="3183"/>
      <c r="I1" s="3184"/>
    </row>
    <row r="2" spans="1:9">
      <c r="A2" s="3185" t="s">
        <v>1077</v>
      </c>
      <c r="B2" s="3186" t="s">
        <v>1078</v>
      </c>
      <c r="C2" s="3186"/>
      <c r="D2" s="1301" t="s">
        <v>1079</v>
      </c>
      <c r="E2" s="1301" t="s">
        <v>1080</v>
      </c>
      <c r="F2" s="1301" t="s">
        <v>1081</v>
      </c>
      <c r="G2" s="1301" t="s">
        <v>1082</v>
      </c>
      <c r="H2" s="1301" t="s">
        <v>1083</v>
      </c>
      <c r="I2" s="1302" t="s">
        <v>1084</v>
      </c>
    </row>
    <row r="3" spans="1:9">
      <c r="A3" s="3185"/>
      <c r="B3" s="3186" t="s">
        <v>1085</v>
      </c>
      <c r="C3" s="3186"/>
      <c r="D3" s="1303"/>
      <c r="E3" s="1301"/>
      <c r="F3" s="1304"/>
      <c r="G3" s="1304"/>
      <c r="H3" s="1305"/>
      <c r="I3" s="1306">
        <f>ROUND(D3*E3*F3*G3*H3/10000,0)</f>
        <v>0</v>
      </c>
    </row>
    <row r="4" spans="1:9">
      <c r="A4" s="3185"/>
      <c r="B4" s="3186" t="s">
        <v>1086</v>
      </c>
      <c r="C4" s="3186"/>
      <c r="D4" s="1303"/>
      <c r="E4" s="1301"/>
      <c r="F4" s="1304"/>
      <c r="G4" s="1304"/>
      <c r="H4" s="1305"/>
      <c r="I4" s="1306">
        <f t="shared" ref="I4:I9" si="0">ROUND(D4*E4*F4*G4*H4/10000,0)</f>
        <v>0</v>
      </c>
    </row>
    <row r="5" spans="1:9">
      <c r="A5" s="3185"/>
      <c r="B5" s="3186" t="s">
        <v>1087</v>
      </c>
      <c r="C5" s="3186"/>
      <c r="D5" s="1303"/>
      <c r="E5" s="1301"/>
      <c r="F5" s="1304"/>
      <c r="G5" s="1304"/>
      <c r="H5" s="1305"/>
      <c r="I5" s="1306">
        <f t="shared" si="0"/>
        <v>0</v>
      </c>
    </row>
    <row r="6" spans="1:9">
      <c r="A6" s="3185"/>
      <c r="B6" s="3186" t="s">
        <v>1088</v>
      </c>
      <c r="C6" s="3186"/>
      <c r="D6" s="1303"/>
      <c r="E6" s="1301"/>
      <c r="F6" s="1304"/>
      <c r="G6" s="1304"/>
      <c r="H6" s="1305"/>
      <c r="I6" s="1306">
        <f t="shared" si="0"/>
        <v>0</v>
      </c>
    </row>
    <row r="7" spans="1:9">
      <c r="A7" s="3185"/>
      <c r="B7" s="3186" t="s">
        <v>1089</v>
      </c>
      <c r="C7" s="3186"/>
      <c r="D7" s="1303"/>
      <c r="E7" s="1301"/>
      <c r="F7" s="1304"/>
      <c r="G7" s="1304"/>
      <c r="H7" s="1305"/>
      <c r="I7" s="1306">
        <f t="shared" si="0"/>
        <v>0</v>
      </c>
    </row>
    <row r="8" spans="1:9">
      <c r="A8" s="3185"/>
      <c r="B8" s="3186" t="s">
        <v>1090</v>
      </c>
      <c r="C8" s="3186"/>
      <c r="D8" s="1303"/>
      <c r="E8" s="1301"/>
      <c r="F8" s="1304"/>
      <c r="G8" s="1304"/>
      <c r="H8" s="1305"/>
      <c r="I8" s="1306">
        <f t="shared" si="0"/>
        <v>0</v>
      </c>
    </row>
    <row r="9" spans="1:9">
      <c r="A9" s="3185"/>
      <c r="B9" s="3186" t="s">
        <v>1091</v>
      </c>
      <c r="C9" s="3186"/>
      <c r="D9" s="1303"/>
      <c r="E9" s="1301"/>
      <c r="F9" s="1304"/>
      <c r="G9" s="1304"/>
      <c r="H9" s="1305"/>
      <c r="I9" s="1306">
        <f t="shared" si="0"/>
        <v>0</v>
      </c>
    </row>
    <row r="10" spans="1:9">
      <c r="A10" s="3185"/>
      <c r="B10" s="3187" t="s">
        <v>1092</v>
      </c>
      <c r="C10" s="3187"/>
      <c r="D10" s="1307"/>
      <c r="E10" s="1307" t="e">
        <f>ROUND(D1*10000/D10/H9,0)</f>
        <v>#DIV/0!</v>
      </c>
      <c r="F10" s="1308"/>
      <c r="G10" s="1308"/>
      <c r="H10" s="1309"/>
      <c r="I10" s="1310">
        <f>SUM(I3:I9)</f>
        <v>0</v>
      </c>
    </row>
    <row r="11" spans="1:9" ht="14.25">
      <c r="A11" s="3185" t="s">
        <v>1093</v>
      </c>
      <c r="B11" s="3186" t="s">
        <v>1094</v>
      </c>
      <c r="C11" s="3186"/>
      <c r="D11" s="1303" t="s">
        <v>1095</v>
      </c>
      <c r="E11" s="1303" t="s">
        <v>1096</v>
      </c>
      <c r="F11" s="1304" t="s">
        <v>1097</v>
      </c>
      <c r="G11" s="1304" t="s">
        <v>1083</v>
      </c>
      <c r="H11" s="1311" t="s">
        <v>1098</v>
      </c>
      <c r="I11" s="1302" t="s">
        <v>1084</v>
      </c>
    </row>
    <row r="12" spans="1:9">
      <c r="A12" s="3185"/>
      <c r="B12" s="3186" t="s">
        <v>1099</v>
      </c>
      <c r="C12" s="3186"/>
      <c r="D12" s="1303"/>
      <c r="E12" s="1303"/>
      <c r="F12" s="1304"/>
      <c r="G12" s="1305"/>
      <c r="H12" s="1312"/>
      <c r="I12" s="1302">
        <f>ROUND(D12*E12*F12*G12/10000,0)</f>
        <v>0</v>
      </c>
    </row>
    <row r="13" spans="1:9">
      <c r="A13" s="3185"/>
      <c r="B13" s="3186" t="s">
        <v>1100</v>
      </c>
      <c r="C13" s="3186"/>
      <c r="D13" s="1303"/>
      <c r="E13" s="1303"/>
      <c r="F13" s="1304"/>
      <c r="G13" s="1305"/>
      <c r="H13" s="1312"/>
      <c r="I13" s="1302">
        <f>ROUND(D13*E13*F13*G13/10000,0)</f>
        <v>0</v>
      </c>
    </row>
    <row r="14" spans="1:9">
      <c r="A14" s="3185"/>
      <c r="B14" s="3186" t="s">
        <v>1101</v>
      </c>
      <c r="C14" s="3186"/>
      <c r="D14" s="1303"/>
      <c r="E14" s="1303"/>
      <c r="F14" s="1304"/>
      <c r="G14" s="1305"/>
      <c r="H14" s="1312"/>
      <c r="I14" s="1302">
        <f>ROUND(D14*E14*F14*G14/10000,0)</f>
        <v>0</v>
      </c>
    </row>
    <row r="15" spans="1:9">
      <c r="A15" s="3185"/>
      <c r="B15" s="3187" t="s">
        <v>1092</v>
      </c>
      <c r="C15" s="3187"/>
      <c r="D15" s="1307"/>
      <c r="E15" s="1307">
        <f>SUM(E12:E14)</f>
        <v>0</v>
      </c>
      <c r="F15" s="1308"/>
      <c r="G15" s="1305"/>
      <c r="H15" s="1312"/>
      <c r="I15" s="1313">
        <f>SUM(I12:I14)</f>
        <v>0</v>
      </c>
    </row>
    <row r="16" spans="1:9" ht="24">
      <c r="A16" s="3185" t="s">
        <v>1102</v>
      </c>
      <c r="B16" s="3186" t="s">
        <v>1103</v>
      </c>
      <c r="C16" s="3186"/>
      <c r="D16" s="1303" t="s">
        <v>1079</v>
      </c>
      <c r="E16" s="1314" t="s">
        <v>1104</v>
      </c>
      <c r="F16" s="1304" t="s">
        <v>1105</v>
      </c>
      <c r="G16" s="1305" t="s">
        <v>1083</v>
      </c>
      <c r="H16" s="1311" t="s">
        <v>1098</v>
      </c>
      <c r="I16" s="1302" t="s">
        <v>1084</v>
      </c>
    </row>
    <row r="17" spans="1:9" ht="14.25">
      <c r="A17" s="3185"/>
      <c r="B17" s="3186" t="s">
        <v>1106</v>
      </c>
      <c r="C17" s="3186"/>
      <c r="D17" s="1303"/>
      <c r="E17" s="1303"/>
      <c r="F17" s="1304"/>
      <c r="G17" s="1305"/>
      <c r="H17" s="1315"/>
      <c r="I17" s="1316">
        <f>ROUND(D17*E17*F17*G17/10000,0)</f>
        <v>0</v>
      </c>
    </row>
    <row r="18" spans="1:9" ht="14.25">
      <c r="A18" s="3185"/>
      <c r="B18" s="3186" t="s">
        <v>1107</v>
      </c>
      <c r="C18" s="3186"/>
      <c r="D18" s="1303"/>
      <c r="E18" s="1303"/>
      <c r="F18" s="1304"/>
      <c r="G18" s="1305"/>
      <c r="H18" s="1315"/>
      <c r="I18" s="1316">
        <f>ROUND(D18*E18*F18*G18/10000,0)</f>
        <v>0</v>
      </c>
    </row>
    <row r="19" spans="1:9" ht="14.25">
      <c r="A19" s="3185"/>
      <c r="B19" s="3186" t="s">
        <v>1108</v>
      </c>
      <c r="C19" s="3186"/>
      <c r="D19" s="1303"/>
      <c r="E19" s="1303"/>
      <c r="F19" s="1304"/>
      <c r="G19" s="1305"/>
      <c r="H19" s="1315"/>
      <c r="I19" s="1316">
        <f>ROUND(D19*E19*F19*G19/10000,0)</f>
        <v>0</v>
      </c>
    </row>
    <row r="20" spans="1:9">
      <c r="A20" s="3185"/>
      <c r="B20" s="3187" t="s">
        <v>1092</v>
      </c>
      <c r="C20" s="3187"/>
      <c r="D20" s="1307">
        <f>SUM(D17:D19)</f>
        <v>0</v>
      </c>
      <c r="E20" s="1307"/>
      <c r="F20" s="1308"/>
      <c r="G20" s="1305"/>
      <c r="H20" s="1312"/>
      <c r="I20" s="1313">
        <f>SUM(I17:I19)</f>
        <v>0</v>
      </c>
    </row>
    <row r="21" spans="1:9">
      <c r="A21" s="3185" t="s">
        <v>1109</v>
      </c>
      <c r="B21" s="3189"/>
      <c r="C21" s="3189"/>
      <c r="D21" s="3189"/>
      <c r="E21" s="3189"/>
      <c r="F21" s="3189"/>
      <c r="G21" s="3189"/>
      <c r="H21" s="1763">
        <v>0.1</v>
      </c>
      <c r="I21" s="1310">
        <f>ROUND(I10*H21,0)</f>
        <v>0</v>
      </c>
    </row>
    <row r="22" spans="1:9" ht="14.25">
      <c r="A22" s="3190" t="s">
        <v>1110</v>
      </c>
      <c r="B22" s="3191"/>
      <c r="C22" s="3192"/>
      <c r="D22" s="1317" t="s">
        <v>1111</v>
      </c>
      <c r="E22" s="1317" t="s">
        <v>1112</v>
      </c>
      <c r="F22" s="1318" t="s">
        <v>1113</v>
      </c>
      <c r="G22" s="1318" t="s">
        <v>1114</v>
      </c>
      <c r="H22" s="1311" t="s">
        <v>1115</v>
      </c>
      <c r="I22" s="1302" t="s">
        <v>1116</v>
      </c>
    </row>
    <row r="23" spans="1:9" ht="14.25" thickBot="1">
      <c r="A23" s="3193"/>
      <c r="B23" s="3194"/>
      <c r="C23" s="3195"/>
      <c r="D23" s="1319"/>
      <c r="E23" s="1319"/>
      <c r="F23" s="1319"/>
      <c r="G23" s="1320"/>
      <c r="H23" s="1321"/>
      <c r="I23" s="1322">
        <f>ROUND(E23*D23*F23*(1-G23)/10000,0)</f>
        <v>0</v>
      </c>
    </row>
    <row r="26" spans="1:9">
      <c r="A26" s="1323" t="s">
        <v>1117</v>
      </c>
      <c r="B26" s="1323"/>
      <c r="C26" s="1323"/>
      <c r="D26" s="1323"/>
      <c r="E26" s="3196">
        <f>C27-C30-C31-C32</f>
        <v>0</v>
      </c>
      <c r="F26" s="3196"/>
      <c r="G26" s="3196"/>
      <c r="H26" s="1735" t="s">
        <v>1340</v>
      </c>
    </row>
    <row r="27" spans="1:9">
      <c r="A27" s="1324">
        <v>1</v>
      </c>
      <c r="B27" s="1325" t="s">
        <v>1118</v>
      </c>
      <c r="C27" s="1325">
        <f>C28+C29</f>
        <v>0</v>
      </c>
      <c r="D27" s="1325"/>
      <c r="E27" s="3197"/>
      <c r="F27" s="3197"/>
      <c r="G27" s="3197"/>
    </row>
    <row r="28" spans="1:9">
      <c r="A28" s="1326" t="s">
        <v>1119</v>
      </c>
      <c r="B28" s="1325" t="s">
        <v>1120</v>
      </c>
      <c r="C28" s="1325"/>
      <c r="D28" s="1325"/>
      <c r="E28" s="3197"/>
      <c r="F28" s="3197"/>
      <c r="G28" s="3197"/>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188"/>
      <c r="F32" s="3188"/>
      <c r="G32" s="3188"/>
    </row>
    <row r="33" spans="1:7" hidden="1">
      <c r="A33" s="3198" t="s">
        <v>1129</v>
      </c>
      <c r="B33" s="3199"/>
      <c r="C33" s="3199"/>
      <c r="D33" s="3200"/>
      <c r="E33" s="3196"/>
      <c r="F33" s="3196"/>
      <c r="G33" s="3196"/>
    </row>
    <row r="34" spans="1:7" hidden="1">
      <c r="A34" s="1328">
        <v>1</v>
      </c>
      <c r="B34" s="1325" t="s">
        <v>1130</v>
      </c>
      <c r="C34" s="1325"/>
      <c r="D34" s="1325"/>
      <c r="E34" s="3197"/>
      <c r="F34" s="3197"/>
      <c r="G34" s="3197"/>
    </row>
    <row r="35" spans="1:7" hidden="1">
      <c r="A35" s="1328">
        <v>2</v>
      </c>
      <c r="B35" s="1325" t="s">
        <v>1131</v>
      </c>
      <c r="C35" s="1325"/>
      <c r="D35" s="1325"/>
      <c r="E35" s="3197"/>
      <c r="F35" s="3197"/>
      <c r="G35" s="3197"/>
    </row>
    <row r="36" spans="1:7" hidden="1">
      <c r="A36" s="1328">
        <v>3</v>
      </c>
      <c r="B36" s="1325" t="s">
        <v>1132</v>
      </c>
      <c r="C36" s="1325"/>
      <c r="D36" s="1325"/>
      <c r="E36" s="3197"/>
      <c r="F36" s="3197"/>
      <c r="G36" s="3197"/>
    </row>
    <row r="37" spans="1:7" hidden="1">
      <c r="A37" s="1328">
        <v>4</v>
      </c>
      <c r="B37" s="1325" t="s">
        <v>1133</v>
      </c>
      <c r="C37" s="1325"/>
      <c r="D37" s="1325"/>
      <c r="E37" s="3197"/>
      <c r="F37" s="3197"/>
      <c r="G37" s="3197"/>
    </row>
    <row r="38" spans="1:7" hidden="1">
      <c r="A38" s="3198" t="s">
        <v>1134</v>
      </c>
      <c r="B38" s="3199"/>
      <c r="C38" s="3199"/>
      <c r="D38" s="3200"/>
      <c r="E38" s="3196"/>
      <c r="F38" s="3196"/>
      <c r="G38" s="31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2518</v>
      </c>
      <c r="C1" s="1632" t="s">
        <v>2519</v>
      </c>
      <c r="D1" s="1619"/>
      <c r="E1" s="2582"/>
      <c r="F1" s="2583" t="s">
        <v>2520</v>
      </c>
      <c r="G1" s="1629" t="s">
        <v>2521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2523</v>
      </c>
      <c r="D3" s="398">
        <f>IF(D1="",'数据-汇总表'!E3,SUMIF('数据-汇总表'!$C19:$C33,D1,'数据-汇总表'!$E19:$E33))</f>
        <v>8276.64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2524</v>
      </c>
      <c r="B4" s="401"/>
      <c r="C4" s="3219" t="s">
        <v>2525</v>
      </c>
      <c r="D4" s="3220"/>
      <c r="E4" s="3221" t="s">
        <v>2526</v>
      </c>
      <c r="F4" s="3222"/>
      <c r="G4" s="3219" t="s">
        <v>2527</v>
      </c>
      <c r="H4" s="3220"/>
      <c r="I4" s="3219" t="s">
        <v>2528</v>
      </c>
      <c r="J4" s="3220"/>
      <c r="K4" s="2595" t="s">
        <v>2529</v>
      </c>
      <c r="L4" s="1130"/>
      <c r="M4" s="1131"/>
      <c r="N4" s="1131"/>
      <c r="O4" s="1131"/>
      <c r="P4" s="3223" t="s">
        <v>2530</v>
      </c>
      <c r="Q4" s="3224"/>
      <c r="R4" s="3206" t="s">
        <v>2526</v>
      </c>
      <c r="S4" s="3207"/>
      <c r="T4" s="3206" t="s">
        <v>2527</v>
      </c>
      <c r="U4" s="3207"/>
      <c r="V4" s="3231" t="s">
        <v>2528</v>
      </c>
      <c r="W4" s="3231"/>
      <c r="X4" s="1811"/>
      <c r="Y4" s="3206" t="s">
        <v>2530</v>
      </c>
      <c r="Z4" s="3207"/>
      <c r="AA4" s="3201" t="s">
        <v>2526</v>
      </c>
      <c r="AB4" s="3201" t="s">
        <v>2527</v>
      </c>
      <c r="AC4" s="3201" t="s">
        <v>2528</v>
      </c>
    </row>
    <row r="5" spans="1:29" ht="15">
      <c r="A5" s="403"/>
      <c r="B5" s="404"/>
      <c r="C5" s="3212" t="s">
        <v>2531</v>
      </c>
      <c r="D5" s="3213"/>
      <c r="E5" s="3210" t="s">
        <v>2532</v>
      </c>
      <c r="F5" s="3211"/>
      <c r="G5" s="3212" t="s">
        <v>2533</v>
      </c>
      <c r="H5" s="3213"/>
      <c r="I5" s="3212" t="s">
        <v>2534</v>
      </c>
      <c r="J5" s="3213"/>
      <c r="K5" s="2596"/>
      <c r="L5" s="1130"/>
      <c r="M5" s="1131"/>
      <c r="N5" s="1131"/>
      <c r="O5" s="1131"/>
      <c r="P5" s="3225"/>
      <c r="Q5" s="3226"/>
      <c r="R5" s="3208"/>
      <c r="S5" s="3209"/>
      <c r="T5" s="3208"/>
      <c r="U5" s="3209"/>
      <c r="V5" s="3231"/>
      <c r="W5" s="3231"/>
      <c r="X5" s="1811"/>
      <c r="Y5" s="3208"/>
      <c r="Z5" s="3209"/>
      <c r="AA5" s="3202"/>
      <c r="AB5" s="3202"/>
      <c r="AC5" s="3202"/>
    </row>
    <row r="6" spans="1:29" ht="15.75" thickBot="1">
      <c r="A6" s="405"/>
      <c r="B6" s="406"/>
      <c r="C6" s="3214" t="s">
        <v>2535</v>
      </c>
      <c r="D6" s="3215"/>
      <c r="E6" s="3216" t="s">
        <v>2535</v>
      </c>
      <c r="F6" s="3217"/>
      <c r="G6" s="3214" t="s">
        <v>2535</v>
      </c>
      <c r="H6" s="3215"/>
      <c r="I6" s="3214" t="s">
        <v>2535</v>
      </c>
      <c r="J6" s="3215"/>
      <c r="K6" s="2596" t="s">
        <v>2536</v>
      </c>
      <c r="L6" s="1130"/>
      <c r="M6" s="1131"/>
      <c r="N6" s="1131"/>
      <c r="O6" s="1131"/>
      <c r="P6" s="3227"/>
      <c r="Q6" s="3228"/>
      <c r="R6" s="3208"/>
      <c r="S6" s="3209"/>
      <c r="T6" s="3229"/>
      <c r="U6" s="3230"/>
      <c r="V6" s="3231"/>
      <c r="W6" s="3231"/>
      <c r="X6" s="1811"/>
      <c r="Y6" s="3229"/>
      <c r="Z6" s="3230"/>
      <c r="AA6" s="3203"/>
      <c r="AB6" s="3203"/>
      <c r="AC6" s="3203"/>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04" t="s">
        <v>2538</v>
      </c>
      <c r="Q7" s="3232"/>
      <c r="R7" s="769" t="s">
        <v>23</v>
      </c>
      <c r="S7" s="770">
        <f t="shared" ref="S7:S15" si="0">F7</f>
        <v>0</v>
      </c>
      <c r="T7" s="769" t="s">
        <v>23</v>
      </c>
      <c r="U7" s="770">
        <f t="shared" ref="U7:U15" si="1">H7</f>
        <v>0</v>
      </c>
      <c r="V7" s="769" t="s">
        <v>23</v>
      </c>
      <c r="W7" s="770">
        <f t="shared" ref="W7:W15" si="2">J7</f>
        <v>0</v>
      </c>
      <c r="X7" s="771"/>
      <c r="Y7" s="3204" t="s">
        <v>2538</v>
      </c>
      <c r="Z7" s="3205"/>
      <c r="AA7" s="772" t="e">
        <f>D7/F7</f>
        <v>#DIV/0!</v>
      </c>
      <c r="AB7" s="772" t="e">
        <f>D7/H7</f>
        <v>#DIV/0!</v>
      </c>
      <c r="AC7" s="772" t="e">
        <f>D7/J7</f>
        <v>#DIV/0!</v>
      </c>
    </row>
    <row r="8" spans="1:29" s="116" customFormat="1" ht="15.75" thickBot="1">
      <c r="A8" s="407" t="s">
        <v>2539</v>
      </c>
      <c r="B8" s="408"/>
      <c r="C8" s="413" t="s">
        <v>2540</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04" t="s">
        <v>2541</v>
      </c>
      <c r="Q8" s="3205"/>
      <c r="R8" s="769" t="s">
        <v>23</v>
      </c>
      <c r="S8" s="770">
        <f t="shared" si="0"/>
        <v>0</v>
      </c>
      <c r="T8" s="769" t="s">
        <v>23</v>
      </c>
      <c r="U8" s="770">
        <f t="shared" si="1"/>
        <v>0</v>
      </c>
      <c r="V8" s="769" t="s">
        <v>23</v>
      </c>
      <c r="W8" s="770">
        <f t="shared" si="2"/>
        <v>0</v>
      </c>
      <c r="X8" s="771"/>
      <c r="Y8" s="3204" t="s">
        <v>2541</v>
      </c>
      <c r="Z8" s="3205"/>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18"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18"/>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18"/>
      <c r="Q11" s="1793" t="str">
        <f t="shared" si="6"/>
        <v>容积率</v>
      </c>
      <c r="R11" s="769" t="s">
        <v>21</v>
      </c>
      <c r="S11" s="770" t="e">
        <f t="shared" si="0"/>
        <v>#N/A</v>
      </c>
      <c r="T11" s="769" t="s">
        <v>21</v>
      </c>
      <c r="U11" s="770" t="e">
        <f t="shared" si="1"/>
        <v>#N/A</v>
      </c>
      <c r="V11" s="769" t="s">
        <v>21</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18"/>
      <c r="Q12" s="1793">
        <f t="shared" si="6"/>
        <v>111</v>
      </c>
      <c r="R12" s="769" t="s">
        <v>21</v>
      </c>
      <c r="S12" s="770">
        <f t="shared" si="0"/>
        <v>100</v>
      </c>
      <c r="T12" s="769" t="s">
        <v>21</v>
      </c>
      <c r="U12" s="770">
        <f t="shared" si="1"/>
        <v>100</v>
      </c>
      <c r="V12" s="769" t="s">
        <v>21</v>
      </c>
      <c r="W12" s="770">
        <f t="shared" si="2"/>
        <v>100</v>
      </c>
      <c r="X12" s="771"/>
      <c r="Y12" s="3031"/>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18"/>
      <c r="Q13" s="1793">
        <f t="shared" si="6"/>
        <v>111</v>
      </c>
      <c r="R13" s="769" t="s">
        <v>21</v>
      </c>
      <c r="S13" s="770">
        <f t="shared" si="0"/>
        <v>100</v>
      </c>
      <c r="T13" s="769" t="s">
        <v>21</v>
      </c>
      <c r="U13" s="770">
        <f t="shared" si="1"/>
        <v>100</v>
      </c>
      <c r="V13" s="769" t="s">
        <v>21</v>
      </c>
      <c r="W13" s="770">
        <f t="shared" si="2"/>
        <v>100</v>
      </c>
      <c r="X13" s="771"/>
      <c r="Y13" s="3031"/>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18"/>
      <c r="Q14" s="1793">
        <f t="shared" si="6"/>
        <v>111</v>
      </c>
      <c r="R14" s="769" t="s">
        <v>21</v>
      </c>
      <c r="S14" s="770">
        <f t="shared" si="0"/>
        <v>100</v>
      </c>
      <c r="T14" s="769" t="s">
        <v>21</v>
      </c>
      <c r="U14" s="770">
        <f t="shared" si="1"/>
        <v>100</v>
      </c>
      <c r="V14" s="769" t="s">
        <v>21</v>
      </c>
      <c r="W14" s="770">
        <f t="shared" si="2"/>
        <v>100</v>
      </c>
      <c r="X14" s="771"/>
      <c r="Y14" s="3031"/>
      <c r="Z14" s="54">
        <f t="shared" si="7"/>
        <v>111</v>
      </c>
      <c r="AA14" s="772">
        <f t="shared" si="3"/>
        <v>1</v>
      </c>
      <c r="AB14" s="772">
        <f t="shared" si="4"/>
        <v>1</v>
      </c>
      <c r="AC14" s="772">
        <f t="shared" si="5"/>
        <v>1</v>
      </c>
    </row>
    <row r="15" spans="1:29" ht="15">
      <c r="A15" s="439" t="s">
        <v>2548</v>
      </c>
      <c r="B15" s="68" t="s">
        <v>2085</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45" t="s">
        <v>2549</v>
      </c>
      <c r="Q15" s="1808" t="str">
        <f t="shared" si="6"/>
        <v>居住社区成熟度</v>
      </c>
      <c r="R15" s="773" t="s">
        <v>21</v>
      </c>
      <c r="S15" s="774">
        <f t="shared" si="0"/>
        <v>100</v>
      </c>
      <c r="T15" s="773" t="s">
        <v>21</v>
      </c>
      <c r="U15" s="774">
        <f t="shared" si="1"/>
        <v>100</v>
      </c>
      <c r="V15" s="773" t="s">
        <v>21</v>
      </c>
      <c r="W15" s="774">
        <f t="shared" si="2"/>
        <v>100</v>
      </c>
      <c r="X15" s="1811"/>
      <c r="Y15" s="3238" t="s">
        <v>2549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40"/>
      <c r="M16" s="1131"/>
      <c r="N16" s="1131"/>
      <c r="O16" s="1131"/>
      <c r="P16" s="3246"/>
      <c r="Q16" s="1808"/>
      <c r="R16" s="773"/>
      <c r="S16" s="774"/>
      <c r="T16" s="773"/>
      <c r="U16" s="774"/>
      <c r="V16" s="773"/>
      <c r="W16" s="774"/>
      <c r="X16" s="1811"/>
      <c r="Y16" s="3239"/>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46"/>
      <c r="Q17" s="1808" t="str">
        <f>B17</f>
        <v>交通便捷度</v>
      </c>
      <c r="R17" s="773" t="s">
        <v>21</v>
      </c>
      <c r="S17" s="774">
        <f>F17</f>
        <v>100</v>
      </c>
      <c r="T17" s="773" t="s">
        <v>21</v>
      </c>
      <c r="U17" s="774">
        <f>H17</f>
        <v>100</v>
      </c>
      <c r="V17" s="773" t="s">
        <v>21</v>
      </c>
      <c r="W17" s="774">
        <f>J17</f>
        <v>100</v>
      </c>
      <c r="X17" s="1811"/>
      <c r="Y17" s="3239"/>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40"/>
      <c r="M18" s="1131"/>
      <c r="N18" s="1131"/>
      <c r="O18" s="1131"/>
      <c r="P18" s="3246"/>
      <c r="Q18" s="1808"/>
      <c r="R18" s="773"/>
      <c r="S18" s="774"/>
      <c r="T18" s="773"/>
      <c r="U18" s="774"/>
      <c r="V18" s="773"/>
      <c r="W18" s="774"/>
      <c r="X18" s="1811"/>
      <c r="Y18" s="3239"/>
      <c r="Z18" s="1812"/>
      <c r="AA18" s="1809">
        <v>1</v>
      </c>
      <c r="AB18" s="1809">
        <v>1</v>
      </c>
      <c r="AC18" s="1809">
        <v>1</v>
      </c>
    </row>
    <row r="19" spans="1:29" ht="71.25">
      <c r="A19" s="427"/>
      <c r="B19" s="450" t="s">
        <v>2090</v>
      </c>
      <c r="C19" s="2606" t="str">
        <f>估价对象房地状况!C7</f>
        <v>估价对象附近分布较多银行、医院、餐饮、购物中心等公共配套设施，程度较好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46"/>
      <c r="Q19" s="1808" t="str">
        <f>B19</f>
        <v>公共配套设施</v>
      </c>
      <c r="R19" s="773" t="s">
        <v>21</v>
      </c>
      <c r="S19" s="774">
        <f>F19</f>
        <v>100</v>
      </c>
      <c r="T19" s="773" t="s">
        <v>21</v>
      </c>
      <c r="U19" s="774">
        <f>H19</f>
        <v>100</v>
      </c>
      <c r="V19" s="773" t="s">
        <v>21</v>
      </c>
      <c r="W19" s="774">
        <f>J19</f>
        <v>100</v>
      </c>
      <c r="X19" s="1811"/>
      <c r="Y19" s="3239"/>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40"/>
      <c r="M20" s="1131"/>
      <c r="N20" s="1131"/>
      <c r="O20" s="1131"/>
      <c r="P20" s="3246"/>
      <c r="Q20" s="1808"/>
      <c r="R20" s="773"/>
      <c r="S20" s="774"/>
      <c r="T20" s="773"/>
      <c r="U20" s="774"/>
      <c r="V20" s="773"/>
      <c r="W20" s="774"/>
      <c r="X20" s="1811"/>
      <c r="Y20" s="3239"/>
      <c r="Z20" s="1812"/>
      <c r="AA20" s="1809">
        <v>1</v>
      </c>
      <c r="AB20" s="1809">
        <v>1</v>
      </c>
      <c r="AC20" s="1809">
        <v>1</v>
      </c>
    </row>
    <row r="21" spans="1:29" ht="15">
      <c r="A21" s="427"/>
      <c r="B21" s="1384" t="s">
        <v>2092</v>
      </c>
      <c r="C21" s="2606" t="str">
        <f>估价对象房地状况!C8</f>
        <v>七通一平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7"/>
      <c r="G22" s="2610"/>
      <c r="H22" s="447"/>
      <c r="I22" s="446"/>
      <c r="J22" s="447"/>
      <c r="K22" s="2611"/>
      <c r="L22" s="1140"/>
      <c r="M22" s="1131"/>
      <c r="N22" s="1131"/>
      <c r="O22" s="1131"/>
      <c r="P22" s="3246"/>
      <c r="Q22" s="1808"/>
      <c r="R22" s="773"/>
      <c r="S22" s="774"/>
      <c r="T22" s="773"/>
      <c r="U22" s="774"/>
      <c r="V22" s="773"/>
      <c r="W22" s="774"/>
      <c r="X22" s="1811"/>
      <c r="Y22" s="3239"/>
      <c r="Z22" s="1812"/>
      <c r="AA22" s="1809">
        <v>1</v>
      </c>
      <c r="AB22" s="1809">
        <v>1</v>
      </c>
      <c r="AC22" s="1809">
        <v>1</v>
      </c>
    </row>
    <row r="23" spans="1:29" ht="128.25">
      <c r="A23" s="427"/>
      <c r="B23" s="450" t="s">
        <v>2094</v>
      </c>
      <c r="C23" s="2606" t="str">
        <f>估价对象房地状况!C9</f>
        <v>区域自然环境：海淀公园、北京大学未名湖；人文环境：北京大学、北大附中、中关村中学、中国人民大学；综合评价环境状况较好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46"/>
      <c r="Q23" s="1808" t="str">
        <f>B23</f>
        <v>自然及人文环境</v>
      </c>
      <c r="R23" s="773" t="s">
        <v>21</v>
      </c>
      <c r="S23" s="774">
        <f>F23</f>
        <v>100</v>
      </c>
      <c r="T23" s="773" t="s">
        <v>21</v>
      </c>
      <c r="U23" s="774">
        <f>H23</f>
        <v>100</v>
      </c>
      <c r="V23" s="773" t="s">
        <v>21</v>
      </c>
      <c r="W23" s="774">
        <f>J23</f>
        <v>100</v>
      </c>
      <c r="X23" s="1811"/>
      <c r="Y23" s="3239"/>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40"/>
      <c r="M24" s="1131"/>
      <c r="N24" s="1131"/>
      <c r="O24" s="1131"/>
      <c r="P24" s="3246"/>
      <c r="Q24" s="1808"/>
      <c r="R24" s="773"/>
      <c r="S24" s="774"/>
      <c r="T24" s="773"/>
      <c r="U24" s="774"/>
      <c r="V24" s="773"/>
      <c r="W24" s="774"/>
      <c r="X24" s="1811"/>
      <c r="Y24" s="3239"/>
      <c r="Z24" s="1812"/>
      <c r="AA24" s="1809">
        <v>1</v>
      </c>
      <c r="AB24" s="1809">
        <v>1</v>
      </c>
      <c r="AC24" s="1809">
        <v>1</v>
      </c>
    </row>
    <row r="25" spans="1:29" ht="15">
      <c r="A25" s="427"/>
      <c r="B25" s="421" t="s">
        <v>2550</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46"/>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39"/>
      <c r="Z25" s="1812" t="str">
        <f>Q25</f>
        <v>楼层-1</v>
      </c>
      <c r="AA25" s="1809">
        <f t="shared" ref="AA25:AA46" si="15">D25/F25</f>
        <v>1</v>
      </c>
      <c r="AB25" s="1809">
        <f t="shared" ref="AB25:AB46" si="16">D25/H25</f>
        <v>1</v>
      </c>
      <c r="AC25" s="1809">
        <f t="shared" ref="AC25:AC46" si="17">D25/J25</f>
        <v>1</v>
      </c>
    </row>
    <row r="26" spans="1:29" ht="15">
      <c r="A26" s="427"/>
      <c r="B26" s="421" t="s">
        <v>2551</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46"/>
      <c r="Q26" s="1808" t="str">
        <f t="shared" si="11"/>
        <v>朝向</v>
      </c>
      <c r="R26" s="773" t="s">
        <v>21</v>
      </c>
      <c r="S26" s="774">
        <f t="shared" si="12"/>
        <v>100</v>
      </c>
      <c r="T26" s="773" t="s">
        <v>21</v>
      </c>
      <c r="U26" s="774">
        <f t="shared" si="13"/>
        <v>100</v>
      </c>
      <c r="V26" s="773" t="s">
        <v>21</v>
      </c>
      <c r="W26" s="774">
        <f t="shared" si="14"/>
        <v>100</v>
      </c>
      <c r="X26" s="1811"/>
      <c r="Y26" s="3239"/>
      <c r="Z26" s="1812" t="str">
        <f>Q26</f>
        <v>朝向</v>
      </c>
      <c r="AA26" s="1809">
        <f t="shared" si="15"/>
        <v>1</v>
      </c>
      <c r="AB26" s="1809">
        <f t="shared" si="16"/>
        <v>1</v>
      </c>
      <c r="AC26" s="1809">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46"/>
      <c r="Q27" s="1793">
        <f t="shared" si="11"/>
        <v>111</v>
      </c>
      <c r="R27" s="769" t="s">
        <v>21</v>
      </c>
      <c r="S27" s="770">
        <f t="shared" si="12"/>
        <v>100</v>
      </c>
      <c r="T27" s="769" t="s">
        <v>21</v>
      </c>
      <c r="U27" s="770">
        <f t="shared" si="13"/>
        <v>100</v>
      </c>
      <c r="V27" s="769" t="s">
        <v>21</v>
      </c>
      <c r="W27" s="770">
        <f t="shared" si="14"/>
        <v>100</v>
      </c>
      <c r="X27" s="771"/>
      <c r="Y27" s="3239"/>
      <c r="Z27" s="54">
        <f>Q27</f>
        <v>111</v>
      </c>
      <c r="AA27" s="1809">
        <f t="shared" si="15"/>
        <v>1</v>
      </c>
      <c r="AB27" s="1809">
        <f t="shared" si="16"/>
        <v>1</v>
      </c>
      <c r="AC27" s="1809">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46"/>
      <c r="Q28" s="1808">
        <f t="shared" si="11"/>
        <v>111</v>
      </c>
      <c r="R28" s="773" t="s">
        <v>21</v>
      </c>
      <c r="S28" s="774">
        <f t="shared" si="12"/>
        <v>100</v>
      </c>
      <c r="T28" s="773" t="s">
        <v>21</v>
      </c>
      <c r="U28" s="774">
        <f t="shared" si="13"/>
        <v>100</v>
      </c>
      <c r="V28" s="773" t="s">
        <v>21</v>
      </c>
      <c r="W28" s="774">
        <f t="shared" si="14"/>
        <v>100</v>
      </c>
      <c r="X28" s="1811"/>
      <c r="Y28" s="3239"/>
      <c r="Z28" s="1812">
        <f t="shared" ref="Z28:Z46" si="18">Q28</f>
        <v>111</v>
      </c>
      <c r="AA28" s="1809">
        <f t="shared" si="15"/>
        <v>1</v>
      </c>
      <c r="AB28" s="1809">
        <f t="shared" si="16"/>
        <v>1</v>
      </c>
      <c r="AC28" s="1809">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46"/>
      <c r="Q29" s="1808">
        <f t="shared" si="11"/>
        <v>111</v>
      </c>
      <c r="R29" s="773" t="s">
        <v>21</v>
      </c>
      <c r="S29" s="774">
        <f t="shared" si="12"/>
        <v>100</v>
      </c>
      <c r="T29" s="773" t="s">
        <v>21</v>
      </c>
      <c r="U29" s="774">
        <f t="shared" si="13"/>
        <v>100</v>
      </c>
      <c r="V29" s="773" t="s">
        <v>21</v>
      </c>
      <c r="W29" s="774">
        <f t="shared" si="14"/>
        <v>100</v>
      </c>
      <c r="X29" s="1811"/>
      <c r="Y29" s="3239"/>
      <c r="Z29" s="1812">
        <f t="shared" si="18"/>
        <v>111</v>
      </c>
      <c r="AA29" s="1809">
        <f t="shared" si="15"/>
        <v>1</v>
      </c>
      <c r="AB29" s="1809">
        <f t="shared" si="16"/>
        <v>1</v>
      </c>
      <c r="AC29" s="1809">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46"/>
      <c r="Q30" s="1808">
        <f t="shared" si="11"/>
        <v>111</v>
      </c>
      <c r="R30" s="773" t="s">
        <v>21</v>
      </c>
      <c r="S30" s="774">
        <f t="shared" si="12"/>
        <v>100</v>
      </c>
      <c r="T30" s="773" t="s">
        <v>21</v>
      </c>
      <c r="U30" s="774">
        <f t="shared" si="13"/>
        <v>100</v>
      </c>
      <c r="V30" s="773" t="s">
        <v>21</v>
      </c>
      <c r="W30" s="774">
        <f t="shared" si="14"/>
        <v>100</v>
      </c>
      <c r="X30" s="1811"/>
      <c r="Y30" s="3239"/>
      <c r="Z30" s="1812">
        <f t="shared" si="18"/>
        <v>111</v>
      </c>
      <c r="AA30" s="1809">
        <f t="shared" si="15"/>
        <v>1</v>
      </c>
      <c r="AB30" s="1809">
        <f t="shared" si="16"/>
        <v>1</v>
      </c>
      <c r="AC30" s="1809">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46"/>
      <c r="Q31" s="1808">
        <f t="shared" si="11"/>
        <v>111</v>
      </c>
      <c r="R31" s="773" t="s">
        <v>21</v>
      </c>
      <c r="S31" s="774">
        <f t="shared" si="12"/>
        <v>100</v>
      </c>
      <c r="T31" s="773" t="s">
        <v>21</v>
      </c>
      <c r="U31" s="774">
        <f t="shared" si="13"/>
        <v>100</v>
      </c>
      <c r="V31" s="773" t="s">
        <v>21</v>
      </c>
      <c r="W31" s="774">
        <f t="shared" si="14"/>
        <v>100</v>
      </c>
      <c r="X31" s="1811"/>
      <c r="Y31" s="3239"/>
      <c r="Z31" s="1812">
        <f t="shared" si="18"/>
        <v>111</v>
      </c>
      <c r="AA31" s="1809">
        <f t="shared" si="15"/>
        <v>1</v>
      </c>
      <c r="AB31" s="1809">
        <f t="shared" si="16"/>
        <v>1</v>
      </c>
      <c r="AC31" s="1809">
        <f t="shared" si="17"/>
        <v>1</v>
      </c>
    </row>
    <row r="32" spans="1:29" ht="15">
      <c r="A32" s="439" t="s">
        <v>2552</v>
      </c>
      <c r="B32" s="70" t="s">
        <v>2553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40" t="s">
        <v>2554</v>
      </c>
      <c r="Q32" s="1808" t="str">
        <f t="shared" si="11"/>
        <v>建筑类型</v>
      </c>
      <c r="R32" s="773" t="s">
        <v>21</v>
      </c>
      <c r="S32" s="774">
        <f t="shared" si="12"/>
        <v>100</v>
      </c>
      <c r="T32" s="773" t="s">
        <v>21</v>
      </c>
      <c r="U32" s="774">
        <f t="shared" si="13"/>
        <v>100</v>
      </c>
      <c r="V32" s="773" t="s">
        <v>21</v>
      </c>
      <c r="W32" s="774">
        <f t="shared" si="14"/>
        <v>100</v>
      </c>
      <c r="X32" s="1811"/>
      <c r="Y32" s="3243" t="s">
        <v>2554</v>
      </c>
      <c r="Z32" s="1812" t="str">
        <f t="shared" si="18"/>
        <v>建筑类型</v>
      </c>
      <c r="AA32" s="1809">
        <f t="shared" si="15"/>
        <v>1</v>
      </c>
      <c r="AB32" s="1809">
        <f t="shared" si="16"/>
        <v>1</v>
      </c>
      <c r="AC32" s="1809">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41"/>
      <c r="Q33" s="775" t="str">
        <f t="shared" si="11"/>
        <v>项目建筑规模</v>
      </c>
      <c r="R33" s="776" t="s">
        <v>21</v>
      </c>
      <c r="S33" s="777" t="e">
        <f t="shared" si="12"/>
        <v>#N/A</v>
      </c>
      <c r="T33" s="776" t="s">
        <v>21</v>
      </c>
      <c r="U33" s="777" t="e">
        <f t="shared" si="13"/>
        <v>#N/A</v>
      </c>
      <c r="V33" s="776" t="s">
        <v>21</v>
      </c>
      <c r="W33" s="777" t="e">
        <f t="shared" si="14"/>
        <v>#N/A</v>
      </c>
      <c r="X33" s="778"/>
      <c r="Y33" s="3243"/>
      <c r="Z33" s="779" t="str">
        <f t="shared" si="18"/>
        <v>项目建筑规模</v>
      </c>
      <c r="AA33" s="1809" t="e">
        <f t="shared" si="15"/>
        <v>#N/A</v>
      </c>
      <c r="AB33" s="1809" t="e">
        <f t="shared" si="16"/>
        <v>#N/A</v>
      </c>
      <c r="AC33" s="1809" t="e">
        <f t="shared" si="17"/>
        <v>#N/A</v>
      </c>
    </row>
    <row r="34" spans="1:29" ht="15">
      <c r="A34" s="471"/>
      <c r="B34" s="421" t="s">
        <v>2556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41"/>
      <c r="Q34" s="1808" t="str">
        <f t="shared" si="11"/>
        <v>建筑结构</v>
      </c>
      <c r="R34" s="773" t="s">
        <v>21</v>
      </c>
      <c r="S34" s="774">
        <f t="shared" si="12"/>
        <v>100</v>
      </c>
      <c r="T34" s="773" t="s">
        <v>21</v>
      </c>
      <c r="U34" s="774">
        <f t="shared" si="13"/>
        <v>100</v>
      </c>
      <c r="V34" s="773" t="s">
        <v>21</v>
      </c>
      <c r="W34" s="774">
        <f t="shared" si="14"/>
        <v>100</v>
      </c>
      <c r="X34" s="1811"/>
      <c r="Y34" s="3243"/>
      <c r="Z34" s="1812" t="str">
        <f t="shared" si="18"/>
        <v>建筑结构</v>
      </c>
      <c r="AA34" s="1809">
        <f t="shared" si="15"/>
        <v>1</v>
      </c>
      <c r="AB34" s="1809">
        <f t="shared" si="16"/>
        <v>1</v>
      </c>
      <c r="AC34" s="1809">
        <f t="shared" si="17"/>
        <v>1</v>
      </c>
    </row>
    <row r="35" spans="1:29" ht="15">
      <c r="A35" s="471"/>
      <c r="B35" s="421" t="s">
        <v>2557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41"/>
      <c r="Q35" s="1808" t="str">
        <f t="shared" si="11"/>
        <v>建筑品质</v>
      </c>
      <c r="R35" s="773" t="s">
        <v>21</v>
      </c>
      <c r="S35" s="774">
        <f t="shared" si="12"/>
        <v>100</v>
      </c>
      <c r="T35" s="773" t="s">
        <v>21</v>
      </c>
      <c r="U35" s="774">
        <f t="shared" si="13"/>
        <v>100</v>
      </c>
      <c r="V35" s="773" t="s">
        <v>21</v>
      </c>
      <c r="W35" s="774">
        <f t="shared" si="14"/>
        <v>100</v>
      </c>
      <c r="X35" s="1811"/>
      <c r="Y35" s="3243"/>
      <c r="Z35" s="1812" t="str">
        <f t="shared" si="18"/>
        <v>建筑品质</v>
      </c>
      <c r="AA35" s="1809">
        <f t="shared" si="15"/>
        <v>1</v>
      </c>
      <c r="AB35" s="1809">
        <f t="shared" si="16"/>
        <v>1</v>
      </c>
      <c r="AC35" s="1809">
        <f t="shared" si="17"/>
        <v>1</v>
      </c>
    </row>
    <row r="36" spans="1:29" ht="15">
      <c r="A36" s="471"/>
      <c r="B36" s="421" t="s">
        <v>2558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41"/>
      <c r="Q36" s="1808" t="str">
        <f t="shared" si="11"/>
        <v>公共部分装修</v>
      </c>
      <c r="R36" s="773" t="s">
        <v>21</v>
      </c>
      <c r="S36" s="774">
        <f t="shared" si="12"/>
        <v>100</v>
      </c>
      <c r="T36" s="773" t="s">
        <v>21</v>
      </c>
      <c r="U36" s="774">
        <f t="shared" si="13"/>
        <v>100</v>
      </c>
      <c r="V36" s="773" t="s">
        <v>21</v>
      </c>
      <c r="W36" s="774">
        <f t="shared" si="14"/>
        <v>100</v>
      </c>
      <c r="X36" s="1811"/>
      <c r="Y36" s="3243"/>
      <c r="Z36" s="1812" t="str">
        <f t="shared" si="18"/>
        <v>公共部分装修</v>
      </c>
      <c r="AA36" s="1809">
        <f t="shared" si="15"/>
        <v>1</v>
      </c>
      <c r="AB36" s="1809">
        <f t="shared" si="16"/>
        <v>1</v>
      </c>
      <c r="AC36" s="1809">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41"/>
      <c r="Q37" s="1793" t="str">
        <f t="shared" si="11"/>
        <v>成新度</v>
      </c>
      <c r="R37" s="769" t="s">
        <v>21</v>
      </c>
      <c r="S37" s="770" t="e">
        <f t="shared" si="12"/>
        <v>#N/A</v>
      </c>
      <c r="T37" s="769" t="s">
        <v>21</v>
      </c>
      <c r="U37" s="770" t="e">
        <f t="shared" si="13"/>
        <v>#N/A</v>
      </c>
      <c r="V37" s="769" t="s">
        <v>21</v>
      </c>
      <c r="W37" s="770" t="e">
        <f t="shared" si="14"/>
        <v>#N/A</v>
      </c>
      <c r="X37" s="771"/>
      <c r="Y37" s="3243"/>
      <c r="Z37" s="54" t="str">
        <f t="shared" si="18"/>
        <v>成新度</v>
      </c>
      <c r="AA37" s="772" t="e">
        <f t="shared" si="15"/>
        <v>#N/A</v>
      </c>
      <c r="AB37" s="772" t="e">
        <f t="shared" si="16"/>
        <v>#N/A</v>
      </c>
      <c r="AC37" s="772" t="e">
        <f t="shared" si="17"/>
        <v>#N/A</v>
      </c>
    </row>
    <row r="38" spans="1:29" ht="15">
      <c r="A38" s="471"/>
      <c r="B38" s="421" t="s">
        <v>2560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41" t="s">
        <v>2554</v>
      </c>
      <c r="Q38" s="1808" t="str">
        <f t="shared" si="11"/>
        <v>物业管理</v>
      </c>
      <c r="R38" s="773" t="s">
        <v>21</v>
      </c>
      <c r="S38" s="774">
        <f t="shared" si="12"/>
        <v>100</v>
      </c>
      <c r="T38" s="773" t="s">
        <v>21</v>
      </c>
      <c r="U38" s="774">
        <f t="shared" si="13"/>
        <v>100</v>
      </c>
      <c r="V38" s="773" t="s">
        <v>21</v>
      </c>
      <c r="W38" s="774">
        <f t="shared" si="14"/>
        <v>100</v>
      </c>
      <c r="X38" s="1811"/>
      <c r="Y38" s="3243" t="s">
        <v>2554</v>
      </c>
      <c r="Z38" s="1812" t="str">
        <f t="shared" si="18"/>
        <v>物业管理</v>
      </c>
      <c r="AA38" s="1809">
        <f t="shared" si="15"/>
        <v>1</v>
      </c>
      <c r="AB38" s="1809">
        <f t="shared" si="16"/>
        <v>1</v>
      </c>
      <c r="AC38" s="1809">
        <f t="shared" si="17"/>
        <v>1</v>
      </c>
    </row>
    <row r="39" spans="1:29" ht="15">
      <c r="A39" s="471"/>
      <c r="B39" s="421" t="s">
        <v>2561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41"/>
      <c r="Q39" s="1808" t="str">
        <f t="shared" si="11"/>
        <v>市政基础设施</v>
      </c>
      <c r="R39" s="773" t="s">
        <v>21</v>
      </c>
      <c r="S39" s="774">
        <f t="shared" si="12"/>
        <v>100</v>
      </c>
      <c r="T39" s="773" t="s">
        <v>21</v>
      </c>
      <c r="U39" s="774">
        <f t="shared" si="13"/>
        <v>100</v>
      </c>
      <c r="V39" s="773" t="s">
        <v>21</v>
      </c>
      <c r="W39" s="774">
        <f t="shared" si="14"/>
        <v>100</v>
      </c>
      <c r="X39" s="1811"/>
      <c r="Y39" s="3243"/>
      <c r="Z39" s="1812" t="str">
        <f t="shared" si="18"/>
        <v>市政基础设施</v>
      </c>
      <c r="AA39" s="1809">
        <f t="shared" si="15"/>
        <v>1</v>
      </c>
      <c r="AB39" s="1809">
        <f t="shared" si="16"/>
        <v>1</v>
      </c>
      <c r="AC39" s="1809">
        <f t="shared" si="17"/>
        <v>1</v>
      </c>
    </row>
    <row r="40" spans="1:29" ht="15">
      <c r="A40" s="471"/>
      <c r="B40" s="421" t="s">
        <v>2562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41"/>
      <c r="Q40" s="1808" t="str">
        <f t="shared" si="11"/>
        <v>房型</v>
      </c>
      <c r="R40" s="773" t="s">
        <v>21</v>
      </c>
      <c r="S40" s="774">
        <f t="shared" si="12"/>
        <v>100</v>
      </c>
      <c r="T40" s="773" t="s">
        <v>21</v>
      </c>
      <c r="U40" s="774">
        <f t="shared" si="13"/>
        <v>100</v>
      </c>
      <c r="V40" s="773" t="s">
        <v>21</v>
      </c>
      <c r="W40" s="774">
        <f t="shared" si="14"/>
        <v>100</v>
      </c>
      <c r="X40" s="1811"/>
      <c r="Y40" s="3243"/>
      <c r="Z40" s="1812" t="str">
        <f t="shared" si="18"/>
        <v>房型</v>
      </c>
      <c r="AA40" s="1809">
        <f t="shared" si="15"/>
        <v>1</v>
      </c>
      <c r="AB40" s="1809">
        <f t="shared" si="16"/>
        <v>1</v>
      </c>
      <c r="AC40" s="1809">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41"/>
      <c r="Q41" s="775" t="str">
        <f t="shared" si="11"/>
        <v>单套/主力户型建筑面积</v>
      </c>
      <c r="R41" s="776" t="s">
        <v>21</v>
      </c>
      <c r="S41" s="777">
        <f t="shared" si="12"/>
        <v>100</v>
      </c>
      <c r="T41" s="776" t="s">
        <v>21</v>
      </c>
      <c r="U41" s="777">
        <f t="shared" si="13"/>
        <v>100</v>
      </c>
      <c r="V41" s="776" t="s">
        <v>21</v>
      </c>
      <c r="W41" s="777">
        <f t="shared" si="14"/>
        <v>100</v>
      </c>
      <c r="X41" s="778"/>
      <c r="Y41" s="3243"/>
      <c r="Z41" s="779" t="str">
        <f t="shared" si="18"/>
        <v>单套/主力户型建筑面积</v>
      </c>
      <c r="AA41" s="1809">
        <f t="shared" si="15"/>
        <v>1</v>
      </c>
      <c r="AB41" s="1809">
        <f t="shared" si="16"/>
        <v>1</v>
      </c>
      <c r="AC41" s="1809">
        <f t="shared" si="17"/>
        <v>1</v>
      </c>
    </row>
    <row r="42" spans="1:29" ht="15">
      <c r="A42" s="471"/>
      <c r="B42" s="421" t="s">
        <v>2564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41"/>
      <c r="Q42" s="1808" t="str">
        <f t="shared" si="11"/>
        <v>内部装修</v>
      </c>
      <c r="R42" s="773" t="s">
        <v>21</v>
      </c>
      <c r="S42" s="774">
        <f t="shared" si="12"/>
        <v>100</v>
      </c>
      <c r="T42" s="773" t="s">
        <v>21</v>
      </c>
      <c r="U42" s="774">
        <f t="shared" si="13"/>
        <v>100</v>
      </c>
      <c r="V42" s="773" t="s">
        <v>21</v>
      </c>
      <c r="W42" s="774">
        <f t="shared" si="14"/>
        <v>100</v>
      </c>
      <c r="X42" s="1811"/>
      <c r="Y42" s="3243"/>
      <c r="Z42" s="1812" t="str">
        <f t="shared" si="18"/>
        <v>内部装修</v>
      </c>
      <c r="AA42" s="1809">
        <f t="shared" si="15"/>
        <v>1</v>
      </c>
      <c r="AB42" s="1809">
        <f t="shared" si="16"/>
        <v>1</v>
      </c>
      <c r="AC42" s="1809">
        <f t="shared" si="17"/>
        <v>1</v>
      </c>
    </row>
    <row r="43" spans="1:29" ht="15">
      <c r="A43" s="471"/>
      <c r="B43" s="421" t="s">
        <v>2565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41"/>
      <c r="Q43" s="1808" t="str">
        <f t="shared" si="11"/>
        <v>内部装修维护情况</v>
      </c>
      <c r="R43" s="773" t="s">
        <v>21</v>
      </c>
      <c r="S43" s="774">
        <f t="shared" si="12"/>
        <v>100</v>
      </c>
      <c r="T43" s="773" t="s">
        <v>21</v>
      </c>
      <c r="U43" s="774">
        <f t="shared" si="13"/>
        <v>100</v>
      </c>
      <c r="V43" s="773" t="s">
        <v>21</v>
      </c>
      <c r="W43" s="774">
        <f t="shared" si="14"/>
        <v>100</v>
      </c>
      <c r="X43" s="1811"/>
      <c r="Y43" s="3243"/>
      <c r="Z43" s="1812" t="str">
        <f t="shared" si="18"/>
        <v>内部装修维护情况</v>
      </c>
      <c r="AA43" s="1809">
        <f t="shared" si="15"/>
        <v>1</v>
      </c>
      <c r="AB43" s="1809">
        <f t="shared" si="16"/>
        <v>1</v>
      </c>
      <c r="AC43" s="1809">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41"/>
      <c r="Q44" s="1793">
        <f t="shared" si="11"/>
        <v>111</v>
      </c>
      <c r="R44" s="769" t="s">
        <v>21</v>
      </c>
      <c r="S44" s="770">
        <f t="shared" si="12"/>
        <v>100</v>
      </c>
      <c r="T44" s="769" t="s">
        <v>21</v>
      </c>
      <c r="U44" s="770">
        <f t="shared" si="13"/>
        <v>100</v>
      </c>
      <c r="V44" s="769" t="s">
        <v>21</v>
      </c>
      <c r="W44" s="770">
        <f t="shared" si="14"/>
        <v>100</v>
      </c>
      <c r="X44" s="771"/>
      <c r="Y44" s="3243"/>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41"/>
      <c r="Q45" s="1808">
        <f t="shared" si="11"/>
        <v>111</v>
      </c>
      <c r="R45" s="773" t="s">
        <v>21</v>
      </c>
      <c r="S45" s="774">
        <f t="shared" si="12"/>
        <v>100</v>
      </c>
      <c r="T45" s="773" t="s">
        <v>21</v>
      </c>
      <c r="U45" s="774">
        <f t="shared" si="13"/>
        <v>100</v>
      </c>
      <c r="V45" s="773" t="s">
        <v>21</v>
      </c>
      <c r="W45" s="774">
        <f t="shared" si="14"/>
        <v>100</v>
      </c>
      <c r="X45" s="1811"/>
      <c r="Y45" s="3243"/>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42"/>
      <c r="Q46" s="1808">
        <f t="shared" si="11"/>
        <v>111</v>
      </c>
      <c r="R46" s="773" t="s">
        <v>20</v>
      </c>
      <c r="S46" s="774">
        <f t="shared" si="12"/>
        <v>100</v>
      </c>
      <c r="T46" s="773" t="s">
        <v>20</v>
      </c>
      <c r="U46" s="774">
        <f t="shared" si="13"/>
        <v>100</v>
      </c>
      <c r="V46" s="773" t="s">
        <v>20</v>
      </c>
      <c r="W46" s="774">
        <f t="shared" si="14"/>
        <v>100</v>
      </c>
      <c r="X46" s="1811"/>
      <c r="Y46" s="3244"/>
      <c r="Z46" s="1812">
        <f t="shared" si="18"/>
        <v>111</v>
      </c>
      <c r="AA46" s="1809">
        <f t="shared" si="15"/>
        <v>1</v>
      </c>
      <c r="AB46" s="1809">
        <f t="shared" si="16"/>
        <v>1</v>
      </c>
      <c r="AC46" s="1809">
        <f t="shared" si="17"/>
        <v>1</v>
      </c>
    </row>
    <row r="47" spans="1:29" ht="15">
      <c r="A47" s="478" t="s">
        <v>2566</v>
      </c>
      <c r="B47" s="479"/>
      <c r="C47" s="1406" t="s">
        <v>19</v>
      </c>
      <c r="D47" s="1407"/>
      <c r="E47" s="1408"/>
      <c r="F47" s="1409"/>
      <c r="G47" s="1410"/>
      <c r="H47" s="1411"/>
      <c r="I47" s="1408"/>
      <c r="J47" s="1411"/>
      <c r="K47" s="2620"/>
      <c r="L47" s="1143"/>
      <c r="M47" s="1144"/>
      <c r="N47" s="1131"/>
      <c r="O47" s="1144"/>
      <c r="P47" s="3236" t="str">
        <f>A47</f>
        <v>成交单价（元/平方米）</v>
      </c>
      <c r="Q47" s="3236"/>
      <c r="R47" s="3237">
        <f>E47</f>
        <v>0</v>
      </c>
      <c r="S47" s="3237"/>
      <c r="T47" s="3237">
        <f>G47</f>
        <v>0</v>
      </c>
      <c r="U47" s="3237"/>
      <c r="V47" s="3237">
        <f>I47</f>
        <v>0</v>
      </c>
      <c r="W47" s="3237"/>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21"/>
      <c r="L48" s="1143"/>
      <c r="M48" s="1144"/>
      <c r="N48" s="1144"/>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22"/>
      <c r="L49" s="1143"/>
      <c r="M49" s="1144"/>
      <c r="N49" s="1144"/>
      <c r="O49" s="1144"/>
      <c r="P49" s="3233" t="str">
        <f>A49</f>
        <v>估价对象XX用房的比较价值（楼面单价，元/平方米）</v>
      </c>
      <c r="Q49" s="3234"/>
      <c r="R49" s="3235" t="e">
        <f>IF(F1="售价",ROUND(AVERAGE(R48:V48),0),ROUND(AVERAGE(R48:V48),1))</f>
        <v>#DIV/0!</v>
      </c>
      <c r="S49" s="3235"/>
      <c r="T49" s="3235"/>
      <c r="U49" s="3235"/>
      <c r="V49" s="3235"/>
      <c r="W49" s="3235"/>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2" t="s">
        <v>2572</v>
      </c>
      <c r="B57" s="758"/>
      <c r="C57" s="763"/>
      <c r="D57" s="763"/>
      <c r="E57" s="763"/>
      <c r="F57" s="764"/>
      <c r="G57" s="764"/>
      <c r="H57" s="763"/>
      <c r="I57" s="763"/>
      <c r="J57" s="763"/>
      <c r="K57" s="1160"/>
      <c r="L57" s="1161"/>
      <c r="M57" s="1159"/>
      <c r="N57" s="1159"/>
      <c r="O57" s="1159"/>
      <c r="P57" s="2625"/>
      <c r="Q57" s="503"/>
    </row>
    <row r="58" spans="1:29" s="507" customFormat="1" ht="15">
      <c r="A58" s="504" t="s">
        <v>2573</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2575</v>
      </c>
      <c r="B61" s="509"/>
      <c r="C61" s="521" t="s">
        <v>2576</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2092</v>
      </c>
      <c r="C82" s="538" t="s">
        <v>2593</v>
      </c>
      <c r="D82" s="538" t="s">
        <v>2594</v>
      </c>
      <c r="E82" s="538" t="s">
        <v>2595</v>
      </c>
      <c r="F82" s="538" t="s">
        <v>2596</v>
      </c>
      <c r="G82" s="538" t="s">
        <v>2597</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2599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2600</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2552</v>
      </c>
      <c r="B100" s="527" t="s">
        <v>2601</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2604</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2605</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2606</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2607</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2608</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2563</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5" t="s">
        <v>2614</v>
      </c>
      <c r="D138" s="145" t="s">
        <v>2615</v>
      </c>
      <c r="E138" s="2644" t="s">
        <v>2616</v>
      </c>
      <c r="F138" s="2645" t="s">
        <v>2617</v>
      </c>
      <c r="G138" s="145" t="s">
        <v>2615</v>
      </c>
      <c r="H138" s="146" t="s">
        <v>2616</v>
      </c>
      <c r="I138" s="2646"/>
      <c r="J138" s="145" t="s">
        <v>2618</v>
      </c>
      <c r="K138" s="146"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4">
        <f>ROUNDUP((J139-1)/2,0)</f>
        <v>10</v>
      </c>
      <c r="K140" s="1095">
        <v>100</v>
      </c>
    </row>
    <row r="141" spans="1:17" ht="15">
      <c r="B141" s="1090">
        <v>4</v>
      </c>
      <c r="C141" s="1091">
        <v>102</v>
      </c>
      <c r="D141" s="1091"/>
      <c r="E141" s="1092"/>
      <c r="F141" s="1093">
        <v>101.5</v>
      </c>
      <c r="G141" s="1091"/>
      <c r="H141" s="1094"/>
      <c r="I141" s="2649" t="s">
        <v>2623</v>
      </c>
      <c r="J141" s="314">
        <v>1</v>
      </c>
      <c r="K141" s="1096">
        <f>ROUND(100+(J141-J140)*K139*100,1)</f>
        <v>96.4</v>
      </c>
    </row>
    <row r="142" spans="1:17" ht="15">
      <c r="B142" s="1090">
        <v>3</v>
      </c>
      <c r="C142" s="1091">
        <v>103</v>
      </c>
      <c r="D142" s="1091"/>
      <c r="E142" s="1092"/>
      <c r="F142" s="1093">
        <v>101</v>
      </c>
      <c r="G142" s="1091"/>
      <c r="H142" s="1094"/>
      <c r="I142" s="2649" t="s">
        <v>2624</v>
      </c>
      <c r="J142" s="314">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2631</v>
      </c>
      <c r="C1" s="1632" t="s">
        <v>2519</v>
      </c>
      <c r="D1" s="1619"/>
      <c r="E1" s="2656"/>
      <c r="F1" s="2583"/>
      <c r="G1" s="1629" t="s">
        <v>2632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2316</v>
      </c>
      <c r="B2" s="1417" t="e">
        <f ca="1">IF(C2="——",ROUND(C49*D3/10000,0),ROUND(C49*D3/10000,0)-D2)</f>
        <v>#DIV/0!</v>
      </c>
      <c r="C2" s="2585"/>
      <c r="D2" s="1365" t="e">
        <f ca="1">SUMIF(INDIRECT("'"&amp;F2&amp;"'"&amp;"!A:A"),"承租人权益价值",INDIRECT("'"&amp;F2&amp;"'"&amp;"!c:c"))</f>
        <v>#REF!</v>
      </c>
      <c r="E2" s="2586" t="s">
        <v>2317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2318</v>
      </c>
      <c r="B3" s="608" t="e">
        <f ca="1">IF(C2="——",C49,ROUND(B2*10000/D3,0))</f>
        <v>#DIV/0!</v>
      </c>
      <c r="C3" s="399" t="s">
        <v>2633</v>
      </c>
      <c r="D3" s="398">
        <f>IF(D1="",'数据-汇总表'!E3,SUMIF('数据-汇总表'!$C19:$C33,D1,'数据-汇总表'!$E19:$E33))</f>
        <v>8276.64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31" t="s">
        <v>2637</v>
      </c>
      <c r="AC4" s="3201" t="s">
        <v>2638</v>
      </c>
    </row>
    <row r="5" spans="1:29"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31"/>
      <c r="AC5" s="3202"/>
    </row>
    <row r="6" spans="1:29" ht="15.75" thickBot="1">
      <c r="A6" s="405"/>
      <c r="B6" s="406"/>
      <c r="C6" s="3214" t="s">
        <v>2535</v>
      </c>
      <c r="D6" s="3215"/>
      <c r="E6" s="3216" t="s">
        <v>2535</v>
      </c>
      <c r="F6" s="3217"/>
      <c r="G6" s="3214" t="s">
        <v>2535</v>
      </c>
      <c r="H6" s="3215"/>
      <c r="I6" s="3214" t="s">
        <v>2535</v>
      </c>
      <c r="J6" s="3215"/>
      <c r="K6" s="609" t="s">
        <v>2536</v>
      </c>
      <c r="L6" s="1130"/>
      <c r="M6" s="1131"/>
      <c r="N6" s="1131"/>
      <c r="O6" s="1131"/>
      <c r="P6" s="3227"/>
      <c r="Q6" s="3228"/>
      <c r="R6" s="3208"/>
      <c r="S6" s="3209"/>
      <c r="T6" s="3229"/>
      <c r="U6" s="3230"/>
      <c r="V6" s="3231"/>
      <c r="W6" s="3231"/>
      <c r="X6" s="1811"/>
      <c r="Y6" s="3229"/>
      <c r="Z6" s="3230"/>
      <c r="AA6" s="3203"/>
      <c r="AB6" s="3231"/>
      <c r="AC6" s="3203"/>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04" t="s">
        <v>2538</v>
      </c>
      <c r="Q7" s="3232"/>
      <c r="R7" s="769" t="s">
        <v>17</v>
      </c>
      <c r="S7" s="770">
        <f t="shared" ref="S7:S15" si="0">F7</f>
        <v>0</v>
      </c>
      <c r="T7" s="769" t="s">
        <v>17</v>
      </c>
      <c r="U7" s="770">
        <f t="shared" ref="U7:U15" si="1">H7</f>
        <v>0</v>
      </c>
      <c r="V7" s="769" t="s">
        <v>17</v>
      </c>
      <c r="W7" s="770">
        <f t="shared" ref="W7:W15" si="2">J7</f>
        <v>0</v>
      </c>
      <c r="X7" s="771"/>
      <c r="Y7" s="3204" t="s">
        <v>2538</v>
      </c>
      <c r="Z7" s="3205"/>
      <c r="AA7" s="772" t="e">
        <f>D7/F7</f>
        <v>#DIV/0!</v>
      </c>
      <c r="AB7" s="772" t="e">
        <f>D7/H7</f>
        <v>#DIV/0!</v>
      </c>
      <c r="AC7" s="772"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46" si="3">D8/F8</f>
        <v>#DIV/0!</v>
      </c>
      <c r="AB8" s="772" t="e">
        <f t="shared" ref="AB8:AB46" si="4">D8/H8</f>
        <v>#DIV/0!</v>
      </c>
      <c r="AC8" s="772" t="e">
        <f t="shared" ref="AC8:AC46" si="5">D8/J8</f>
        <v>#DIV/0!</v>
      </c>
    </row>
    <row r="9" spans="1:29" s="116" customFormat="1">
      <c r="A9" s="414" t="s">
        <v>2542</v>
      </c>
      <c r="B9" s="70" t="s">
        <v>2543</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18"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18"/>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18"/>
      <c r="Q11" s="1793"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18"/>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18"/>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18"/>
      <c r="Q14" s="1793">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15">
      <c r="A15" s="439" t="s">
        <v>2548</v>
      </c>
      <c r="B15" s="68" t="s">
        <v>2642</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45" t="s">
        <v>2549</v>
      </c>
      <c r="Q15" s="1808" t="str">
        <f t="shared" si="6"/>
        <v>商业繁华度</v>
      </c>
      <c r="R15" s="773" t="s">
        <v>17</v>
      </c>
      <c r="S15" s="774">
        <f t="shared" si="0"/>
        <v>100</v>
      </c>
      <c r="T15" s="773" t="s">
        <v>17</v>
      </c>
      <c r="U15" s="774">
        <f t="shared" si="1"/>
        <v>100</v>
      </c>
      <c r="V15" s="773" t="s">
        <v>17</v>
      </c>
      <c r="W15" s="774">
        <f t="shared" si="2"/>
        <v>100</v>
      </c>
      <c r="X15" s="1811"/>
      <c r="Y15" s="3238" t="s">
        <v>2549</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1"/>
      <c r="P16" s="3246"/>
      <c r="Q16" s="1808"/>
      <c r="R16" s="773"/>
      <c r="S16" s="774"/>
      <c r="T16" s="773"/>
      <c r="U16" s="774"/>
      <c r="V16" s="773"/>
      <c r="W16" s="774"/>
      <c r="X16" s="1811"/>
      <c r="Y16" s="3239"/>
      <c r="Z16" s="1812"/>
      <c r="AA16" s="1809">
        <v>1</v>
      </c>
      <c r="AB16" s="1809">
        <v>1</v>
      </c>
      <c r="AC16" s="1809">
        <v>1</v>
      </c>
    </row>
    <row r="17" spans="1:29" ht="156.75">
      <c r="A17" s="427"/>
      <c r="B17" s="450" t="s">
        <v>2091</v>
      </c>
      <c r="C17" s="2606" t="str">
        <f>估价对象房地状况!C6</f>
        <v>估价对象紧邻中关村大街，紧挨地铁4号线中关村站，附近有302、307、320、332等多条公交线路，估价对象有地下停车场，路边停车位，停车较便捷，综合评价交通便捷度好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46"/>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1"/>
      <c r="P18" s="3246"/>
      <c r="Q18" s="1808"/>
      <c r="R18" s="773"/>
      <c r="S18" s="774"/>
      <c r="T18" s="773"/>
      <c r="U18" s="774"/>
      <c r="V18" s="773"/>
      <c r="W18" s="774"/>
      <c r="X18" s="1811"/>
      <c r="Y18" s="3239"/>
      <c r="Z18" s="1812"/>
      <c r="AA18" s="1809">
        <v>1</v>
      </c>
      <c r="AB18" s="1809">
        <v>1</v>
      </c>
      <c r="AC18" s="1809">
        <v>1</v>
      </c>
    </row>
    <row r="19" spans="1:29" ht="71.25">
      <c r="A19" s="427"/>
      <c r="B19" s="450" t="s">
        <v>2643</v>
      </c>
      <c r="C19" s="2606" t="str">
        <f>估价对象房地状况!C7</f>
        <v>估价对象附近分布较多银行、医院、餐饮、购物中心等公共配套设施，程度较好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46"/>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1"/>
      <c r="P20" s="3246"/>
      <c r="Q20" s="1808"/>
      <c r="R20" s="773"/>
      <c r="S20" s="774"/>
      <c r="T20" s="773"/>
      <c r="U20" s="774"/>
      <c r="V20" s="773"/>
      <c r="W20" s="774"/>
      <c r="X20" s="1811"/>
      <c r="Y20" s="3239"/>
      <c r="Z20" s="1812"/>
      <c r="AA20" s="1809">
        <v>1</v>
      </c>
      <c r="AB20" s="1809">
        <v>1</v>
      </c>
      <c r="AC20" s="1809">
        <v>1</v>
      </c>
    </row>
    <row r="21" spans="1:29" ht="15">
      <c r="A21" s="427"/>
      <c r="B21" s="1384" t="s">
        <v>2644</v>
      </c>
      <c r="C21" s="2606" t="str">
        <f>估价对象房地状况!C8</f>
        <v>七通一平</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1"/>
      <c r="P22" s="3246"/>
      <c r="Q22" s="1808"/>
      <c r="R22" s="773"/>
      <c r="S22" s="774"/>
      <c r="T22" s="773"/>
      <c r="U22" s="774"/>
      <c r="V22" s="773"/>
      <c r="W22" s="774"/>
      <c r="X22" s="1811"/>
      <c r="Y22" s="3239"/>
      <c r="Z22" s="1812"/>
      <c r="AA22" s="1809">
        <v>1</v>
      </c>
      <c r="AB22" s="1809">
        <v>1</v>
      </c>
      <c r="AC22" s="1809">
        <v>1</v>
      </c>
    </row>
    <row r="23" spans="1:29" ht="128.25">
      <c r="A23" s="427"/>
      <c r="B23" s="450" t="s">
        <v>2094</v>
      </c>
      <c r="C23" s="2663" t="str">
        <f>估价对象房地状况!C9</f>
        <v>区域自然环境：海淀公园、北京大学未名湖；人文环境：北京大学、北大附中、中关村中学、中国人民大学；综合评价环境状况较好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46"/>
      <c r="Q23" s="1808" t="str">
        <f>B23</f>
        <v>自然及人文环境</v>
      </c>
      <c r="R23" s="773" t="s">
        <v>17</v>
      </c>
      <c r="S23" s="774">
        <f>F23</f>
        <v>100</v>
      </c>
      <c r="T23" s="773" t="s">
        <v>17</v>
      </c>
      <c r="U23" s="774">
        <f>H23</f>
        <v>100</v>
      </c>
      <c r="V23" s="773" t="s">
        <v>17</v>
      </c>
      <c r="W23" s="774">
        <f>J23</f>
        <v>100</v>
      </c>
      <c r="X23" s="1811"/>
      <c r="Y23" s="3239"/>
      <c r="Z23" s="1812" t="str">
        <f>Q23</f>
        <v>自然及人文环境</v>
      </c>
      <c r="AA23" s="1809">
        <f t="shared" si="3"/>
        <v>1</v>
      </c>
      <c r="AB23" s="1809">
        <f t="shared" si="4"/>
        <v>1</v>
      </c>
      <c r="AC23" s="1809">
        <f t="shared" si="5"/>
        <v>1</v>
      </c>
    </row>
    <row r="24" spans="1:29" ht="15">
      <c r="A24" s="427"/>
      <c r="B24" s="455"/>
      <c r="C24" s="446"/>
      <c r="D24" s="447"/>
      <c r="E24" s="2604"/>
      <c r="F24" s="448"/>
      <c r="G24" s="2603"/>
      <c r="H24" s="447"/>
      <c r="I24" s="2604"/>
      <c r="J24" s="447"/>
      <c r="K24" s="614"/>
      <c r="L24" s="1140"/>
      <c r="M24" s="1131"/>
      <c r="N24" s="1131"/>
      <c r="O24" s="1131"/>
      <c r="P24" s="3246"/>
      <c r="Q24" s="1808"/>
      <c r="R24" s="773"/>
      <c r="S24" s="774"/>
      <c r="T24" s="773"/>
      <c r="U24" s="774"/>
      <c r="V24" s="773"/>
      <c r="W24" s="774"/>
      <c r="X24" s="1811"/>
      <c r="Y24" s="3239"/>
      <c r="Z24" s="1812"/>
      <c r="AA24" s="1809">
        <v>1</v>
      </c>
      <c r="AB24" s="1809">
        <v>1</v>
      </c>
      <c r="AC24" s="1809">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46"/>
      <c r="Q25" s="1808" t="str">
        <f t="shared" ref="Q25:Q46" si="11">B25</f>
        <v>临街状况</v>
      </c>
      <c r="R25" s="773" t="s">
        <v>17</v>
      </c>
      <c r="S25" s="774">
        <f>F25</f>
        <v>100</v>
      </c>
      <c r="T25" s="773" t="s">
        <v>17</v>
      </c>
      <c r="U25" s="774">
        <f>H25</f>
        <v>100</v>
      </c>
      <c r="V25" s="773" t="s">
        <v>17</v>
      </c>
      <c r="W25" s="774">
        <f>J25</f>
        <v>100</v>
      </c>
      <c r="X25" s="1811"/>
      <c r="Y25" s="3239"/>
      <c r="Z25" s="1812" t="str">
        <f>Q25</f>
        <v>临街状况</v>
      </c>
      <c r="AA25" s="1809">
        <f t="shared" si="3"/>
        <v>1</v>
      </c>
      <c r="AB25" s="1809">
        <f t="shared" si="4"/>
        <v>1</v>
      </c>
      <c r="AC25" s="1809">
        <f t="shared" si="5"/>
        <v>1</v>
      </c>
    </row>
    <row r="26" spans="1:29" ht="15">
      <c r="A26" s="427"/>
      <c r="B26" s="1386" t="s">
        <v>2646</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46"/>
      <c r="Q26" s="1808" t="str">
        <f t="shared" si="11"/>
        <v>平面位置/可视性</v>
      </c>
      <c r="R26" s="773" t="s">
        <v>17</v>
      </c>
      <c r="S26" s="774">
        <f>F26</f>
        <v>100</v>
      </c>
      <c r="T26" s="773" t="s">
        <v>17</v>
      </c>
      <c r="U26" s="774">
        <f>H26</f>
        <v>100</v>
      </c>
      <c r="V26" s="773" t="s">
        <v>17</v>
      </c>
      <c r="W26" s="774">
        <f>J26</f>
        <v>100</v>
      </c>
      <c r="X26" s="1811"/>
      <c r="Y26" s="3239"/>
      <c r="Z26" s="1812" t="str">
        <f>Q26</f>
        <v>平面位置/可视性</v>
      </c>
      <c r="AA26" s="1809">
        <f t="shared" si="3"/>
        <v>1</v>
      </c>
      <c r="AB26" s="1809">
        <f t="shared" si="4"/>
        <v>1</v>
      </c>
      <c r="AC26" s="1809">
        <f t="shared" si="5"/>
        <v>1</v>
      </c>
    </row>
    <row r="27" spans="1:29" s="116" customFormat="1" ht="15">
      <c r="A27" s="430"/>
      <c r="B27" s="450" t="s">
        <v>2647</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246"/>
      <c r="Q27" s="1793" t="str">
        <f t="shared" si="11"/>
        <v>人流量</v>
      </c>
      <c r="R27" s="769" t="s">
        <v>17</v>
      </c>
      <c r="S27" s="770">
        <f>F27</f>
        <v>100</v>
      </c>
      <c r="T27" s="769" t="s">
        <v>17</v>
      </c>
      <c r="U27" s="770">
        <f>H27</f>
        <v>100</v>
      </c>
      <c r="V27" s="769" t="s">
        <v>17</v>
      </c>
      <c r="W27" s="770">
        <f>J27</f>
        <v>100</v>
      </c>
      <c r="X27" s="771"/>
      <c r="Y27" s="3239"/>
      <c r="Z27" s="54" t="str">
        <f>Q27</f>
        <v>人流量</v>
      </c>
      <c r="AA27" s="1809">
        <f>D27/F27</f>
        <v>1</v>
      </c>
      <c r="AB27" s="1809">
        <f>D27/H27</f>
        <v>1</v>
      </c>
      <c r="AC27" s="1809">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46"/>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39"/>
      <c r="Z28" s="1812" t="str">
        <f t="shared" ref="Z28:Z46" si="15">Q28</f>
        <v>楼层</v>
      </c>
      <c r="AA28" s="1809">
        <f t="shared" si="3"/>
        <v>1</v>
      </c>
      <c r="AB28" s="1809">
        <f t="shared" si="4"/>
        <v>1</v>
      </c>
      <c r="AC28" s="1809">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46"/>
      <c r="Q29" s="1808">
        <f t="shared" si="11"/>
        <v>111</v>
      </c>
      <c r="R29" s="773" t="s">
        <v>17</v>
      </c>
      <c r="S29" s="774">
        <f t="shared" si="12"/>
        <v>100</v>
      </c>
      <c r="T29" s="773" t="s">
        <v>17</v>
      </c>
      <c r="U29" s="774">
        <f t="shared" si="13"/>
        <v>100</v>
      </c>
      <c r="V29" s="773" t="s">
        <v>17</v>
      </c>
      <c r="W29" s="774">
        <f t="shared" si="14"/>
        <v>100</v>
      </c>
      <c r="X29" s="1811"/>
      <c r="Y29" s="3239"/>
      <c r="Z29" s="1812">
        <f t="shared" si="15"/>
        <v>111</v>
      </c>
      <c r="AA29" s="1809">
        <f t="shared" si="3"/>
        <v>1</v>
      </c>
      <c r="AB29" s="1809">
        <f t="shared" si="4"/>
        <v>1</v>
      </c>
      <c r="AC29" s="1809">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46"/>
      <c r="Q30" s="1808">
        <f t="shared" si="11"/>
        <v>111</v>
      </c>
      <c r="R30" s="773" t="s">
        <v>17</v>
      </c>
      <c r="S30" s="774">
        <f t="shared" si="12"/>
        <v>100</v>
      </c>
      <c r="T30" s="773" t="s">
        <v>17</v>
      </c>
      <c r="U30" s="774">
        <f t="shared" si="13"/>
        <v>100</v>
      </c>
      <c r="V30" s="773" t="s">
        <v>17</v>
      </c>
      <c r="W30" s="774">
        <f t="shared" si="14"/>
        <v>100</v>
      </c>
      <c r="X30" s="1811"/>
      <c r="Y30" s="3239"/>
      <c r="Z30" s="1812">
        <f t="shared" si="15"/>
        <v>111</v>
      </c>
      <c r="AA30" s="1809">
        <f t="shared" si="3"/>
        <v>1</v>
      </c>
      <c r="AB30" s="1809">
        <f t="shared" si="4"/>
        <v>1</v>
      </c>
      <c r="AC30" s="1809">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46"/>
      <c r="Q31" s="1808">
        <f t="shared" si="11"/>
        <v>111</v>
      </c>
      <c r="R31" s="773" t="s">
        <v>17</v>
      </c>
      <c r="S31" s="774">
        <f t="shared" si="12"/>
        <v>100</v>
      </c>
      <c r="T31" s="773" t="s">
        <v>17</v>
      </c>
      <c r="U31" s="774">
        <f t="shared" si="13"/>
        <v>100</v>
      </c>
      <c r="V31" s="773" t="s">
        <v>17</v>
      </c>
      <c r="W31" s="774">
        <f t="shared" si="14"/>
        <v>100</v>
      </c>
      <c r="X31" s="1811"/>
      <c r="Y31" s="3239"/>
      <c r="Z31" s="1812">
        <f t="shared" si="15"/>
        <v>111</v>
      </c>
      <c r="AA31" s="1809">
        <f t="shared" si="3"/>
        <v>1</v>
      </c>
      <c r="AB31" s="1809">
        <f t="shared" si="4"/>
        <v>1</v>
      </c>
      <c r="AC31" s="1809">
        <f t="shared" si="5"/>
        <v>1</v>
      </c>
    </row>
    <row r="32" spans="1:29" ht="15">
      <c r="A32" s="439" t="s">
        <v>2552</v>
      </c>
      <c r="B32" s="70" t="s">
        <v>2649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0"/>
      <c r="M32" s="1131"/>
      <c r="N32" s="1131"/>
      <c r="O32" s="1131"/>
      <c r="P32" s="3240" t="s">
        <v>2554</v>
      </c>
      <c r="Q32" s="1808" t="str">
        <f t="shared" si="11"/>
        <v>商业类型</v>
      </c>
      <c r="R32" s="773" t="s">
        <v>17</v>
      </c>
      <c r="S32" s="774">
        <f t="shared" si="12"/>
        <v>100</v>
      </c>
      <c r="T32" s="773" t="s">
        <v>17</v>
      </c>
      <c r="U32" s="774">
        <f t="shared" si="13"/>
        <v>100</v>
      </c>
      <c r="V32" s="773" t="s">
        <v>17</v>
      </c>
      <c r="W32" s="774">
        <f t="shared" si="14"/>
        <v>100</v>
      </c>
      <c r="X32" s="1811"/>
      <c r="Y32" s="3243" t="s">
        <v>2554</v>
      </c>
      <c r="Z32" s="1812" t="str">
        <f t="shared" si="15"/>
        <v>商业类型</v>
      </c>
      <c r="AA32" s="1809">
        <f t="shared" si="3"/>
        <v>1</v>
      </c>
      <c r="AB32" s="1809">
        <f t="shared" si="4"/>
        <v>1</v>
      </c>
      <c r="AC32" s="1809">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41"/>
      <c r="Q33" s="775" t="str">
        <f t="shared" si="11"/>
        <v>项目建筑规模</v>
      </c>
      <c r="R33" s="776" t="s">
        <v>17</v>
      </c>
      <c r="S33" s="777" t="e">
        <f t="shared" si="12"/>
        <v>#N/A</v>
      </c>
      <c r="T33" s="776" t="s">
        <v>17</v>
      </c>
      <c r="U33" s="777" t="e">
        <f t="shared" si="13"/>
        <v>#N/A</v>
      </c>
      <c r="V33" s="776" t="s">
        <v>17</v>
      </c>
      <c r="W33" s="777" t="e">
        <f t="shared" si="14"/>
        <v>#N/A</v>
      </c>
      <c r="X33" s="778"/>
      <c r="Y33" s="3243"/>
      <c r="Z33" s="779" t="str">
        <f t="shared" si="15"/>
        <v>项目建筑规模</v>
      </c>
      <c r="AA33" s="1809" t="e">
        <f t="shared" si="3"/>
        <v>#N/A</v>
      </c>
      <c r="AB33" s="1809" t="e">
        <f t="shared" si="4"/>
        <v>#N/A</v>
      </c>
      <c r="AC33" s="1809" t="e">
        <f t="shared" si="5"/>
        <v>#N/A</v>
      </c>
    </row>
    <row r="34" spans="1:29" ht="15">
      <c r="A34" s="471"/>
      <c r="B34" s="421" t="s">
        <v>2556</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241"/>
      <c r="Q34" s="1808" t="str">
        <f t="shared" si="11"/>
        <v>建筑结构</v>
      </c>
      <c r="R34" s="773" t="s">
        <v>17</v>
      </c>
      <c r="S34" s="774">
        <f t="shared" si="12"/>
        <v>100</v>
      </c>
      <c r="T34" s="773" t="s">
        <v>17</v>
      </c>
      <c r="U34" s="774">
        <f t="shared" si="13"/>
        <v>100</v>
      </c>
      <c r="V34" s="773" t="s">
        <v>17</v>
      </c>
      <c r="W34" s="774">
        <f t="shared" si="14"/>
        <v>100</v>
      </c>
      <c r="X34" s="1811"/>
      <c r="Y34" s="3243"/>
      <c r="Z34" s="1812" t="str">
        <f t="shared" si="15"/>
        <v>建筑结构</v>
      </c>
      <c r="AA34" s="1809">
        <f t="shared" si="3"/>
        <v>1</v>
      </c>
      <c r="AB34" s="1809">
        <f t="shared" si="4"/>
        <v>1</v>
      </c>
      <c r="AC34" s="1809">
        <f t="shared" si="5"/>
        <v>1</v>
      </c>
    </row>
    <row r="35" spans="1:29" ht="15">
      <c r="A35" s="471"/>
      <c r="B35" s="421" t="s">
        <v>2650</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241"/>
      <c r="Q35" s="1808" t="str">
        <f t="shared" si="11"/>
        <v>公共部分装修</v>
      </c>
      <c r="R35" s="773" t="s">
        <v>17</v>
      </c>
      <c r="S35" s="774">
        <f t="shared" si="12"/>
        <v>100</v>
      </c>
      <c r="T35" s="773" t="s">
        <v>17</v>
      </c>
      <c r="U35" s="774">
        <f t="shared" si="13"/>
        <v>100</v>
      </c>
      <c r="V35" s="773" t="s">
        <v>17</v>
      </c>
      <c r="W35" s="774">
        <f t="shared" si="14"/>
        <v>100</v>
      </c>
      <c r="X35" s="1811"/>
      <c r="Y35" s="3243"/>
      <c r="Z35" s="1812" t="str">
        <f t="shared" si="15"/>
        <v>公共部分装修</v>
      </c>
      <c r="AA35" s="1809">
        <f t="shared" si="3"/>
        <v>1</v>
      </c>
      <c r="AB35" s="1809">
        <f t="shared" si="4"/>
        <v>1</v>
      </c>
      <c r="AC35" s="1809">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41"/>
      <c r="Q36" s="1808" t="str">
        <f t="shared" si="11"/>
        <v>成新度</v>
      </c>
      <c r="R36" s="773" t="s">
        <v>17</v>
      </c>
      <c r="S36" s="774" t="e">
        <f t="shared" si="12"/>
        <v>#N/A</v>
      </c>
      <c r="T36" s="773" t="s">
        <v>17</v>
      </c>
      <c r="U36" s="774" t="e">
        <f t="shared" si="13"/>
        <v>#N/A</v>
      </c>
      <c r="V36" s="773" t="s">
        <v>17</v>
      </c>
      <c r="W36" s="774" t="e">
        <f t="shared" si="14"/>
        <v>#N/A</v>
      </c>
      <c r="X36" s="1811"/>
      <c r="Y36" s="3243"/>
      <c r="Z36" s="1812" t="str">
        <f t="shared" si="15"/>
        <v>成新度</v>
      </c>
      <c r="AA36" s="1809" t="e">
        <f t="shared" si="3"/>
        <v>#N/A</v>
      </c>
      <c r="AB36" s="1809" t="e">
        <f t="shared" si="4"/>
        <v>#N/A</v>
      </c>
      <c r="AC36" s="1809" t="e">
        <f t="shared" si="5"/>
        <v>#N/A</v>
      </c>
    </row>
    <row r="37" spans="1:29" s="116" customFormat="1" ht="15">
      <c r="A37" s="472"/>
      <c r="B37" s="421" t="s">
        <v>2652</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241"/>
      <c r="Q37" s="1793" t="str">
        <f t="shared" si="11"/>
        <v>市政基础设施</v>
      </c>
      <c r="R37" s="769" t="s">
        <v>17</v>
      </c>
      <c r="S37" s="770">
        <f t="shared" si="12"/>
        <v>100</v>
      </c>
      <c r="T37" s="769" t="s">
        <v>17</v>
      </c>
      <c r="U37" s="770">
        <f t="shared" si="13"/>
        <v>100</v>
      </c>
      <c r="V37" s="769" t="s">
        <v>17</v>
      </c>
      <c r="W37" s="770">
        <f t="shared" si="14"/>
        <v>100</v>
      </c>
      <c r="X37" s="771"/>
      <c r="Y37" s="3243"/>
      <c r="Z37" s="54" t="str">
        <f t="shared" si="15"/>
        <v>市政基础设施</v>
      </c>
      <c r="AA37" s="772">
        <f t="shared" si="3"/>
        <v>1</v>
      </c>
      <c r="AB37" s="772">
        <f t="shared" si="4"/>
        <v>1</v>
      </c>
      <c r="AC37" s="772">
        <f t="shared" si="5"/>
        <v>1</v>
      </c>
    </row>
    <row r="38" spans="1:29" ht="15">
      <c r="A38" s="471"/>
      <c r="B38" s="421" t="s">
        <v>2653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241" t="s">
        <v>2554</v>
      </c>
      <c r="Q38" s="1808" t="str">
        <f t="shared" si="11"/>
        <v>业态</v>
      </c>
      <c r="R38" s="773" t="s">
        <v>17</v>
      </c>
      <c r="S38" s="774">
        <f t="shared" si="12"/>
        <v>100</v>
      </c>
      <c r="T38" s="773" t="s">
        <v>17</v>
      </c>
      <c r="U38" s="774">
        <f t="shared" si="13"/>
        <v>100</v>
      </c>
      <c r="V38" s="773" t="s">
        <v>17</v>
      </c>
      <c r="W38" s="774">
        <f t="shared" si="14"/>
        <v>100</v>
      </c>
      <c r="X38" s="1811"/>
      <c r="Y38" s="3243" t="s">
        <v>2554</v>
      </c>
      <c r="Z38" s="1812" t="str">
        <f t="shared" si="15"/>
        <v>业态</v>
      </c>
      <c r="AA38" s="1809">
        <f t="shared" si="3"/>
        <v>1</v>
      </c>
      <c r="AB38" s="1809">
        <f t="shared" si="4"/>
        <v>1</v>
      </c>
      <c r="AC38" s="1809">
        <f t="shared" si="5"/>
        <v>1</v>
      </c>
    </row>
    <row r="39" spans="1:29" ht="15">
      <c r="A39" s="471"/>
      <c r="B39" s="421" t="s">
        <v>2654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241"/>
      <c r="Q39" s="1808" t="str">
        <f t="shared" si="11"/>
        <v>层高</v>
      </c>
      <c r="R39" s="773" t="s">
        <v>17</v>
      </c>
      <c r="S39" s="774">
        <f t="shared" si="12"/>
        <v>100</v>
      </c>
      <c r="T39" s="773" t="s">
        <v>17</v>
      </c>
      <c r="U39" s="774">
        <f t="shared" si="13"/>
        <v>100</v>
      </c>
      <c r="V39" s="773" t="s">
        <v>17</v>
      </c>
      <c r="W39" s="774">
        <f t="shared" si="14"/>
        <v>100</v>
      </c>
      <c r="X39" s="1811"/>
      <c r="Y39" s="3243"/>
      <c r="Z39" s="1812" t="str">
        <f t="shared" si="15"/>
        <v>层高</v>
      </c>
      <c r="AA39" s="1809">
        <f t="shared" si="3"/>
        <v>1</v>
      </c>
      <c r="AB39" s="1809">
        <f t="shared" si="4"/>
        <v>1</v>
      </c>
      <c r="AC39" s="1809">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41"/>
      <c r="Q40" s="1808" t="str">
        <f t="shared" si="11"/>
        <v>单套建筑面积</v>
      </c>
      <c r="R40" s="773" t="s">
        <v>17</v>
      </c>
      <c r="S40" s="774">
        <f t="shared" si="12"/>
        <v>100</v>
      </c>
      <c r="T40" s="773" t="s">
        <v>17</v>
      </c>
      <c r="U40" s="774">
        <f t="shared" si="13"/>
        <v>100</v>
      </c>
      <c r="V40" s="773" t="s">
        <v>17</v>
      </c>
      <c r="W40" s="774">
        <f t="shared" si="14"/>
        <v>100</v>
      </c>
      <c r="X40" s="1811"/>
      <c r="Y40" s="3243"/>
      <c r="Z40" s="1812" t="str">
        <f t="shared" si="15"/>
        <v>单套建筑面积</v>
      </c>
      <c r="AA40" s="1809">
        <f t="shared" si="3"/>
        <v>1</v>
      </c>
      <c r="AB40" s="1809">
        <f t="shared" si="4"/>
        <v>1</v>
      </c>
      <c r="AC40" s="1809">
        <f t="shared" si="5"/>
        <v>1</v>
      </c>
    </row>
    <row r="41" spans="1:29" s="470" customFormat="1" ht="15">
      <c r="A41" s="467"/>
      <c r="B41" s="1810"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41"/>
      <c r="Q41" s="775" t="str">
        <f t="shared" si="11"/>
        <v>进深比</v>
      </c>
      <c r="R41" s="776" t="s">
        <v>17</v>
      </c>
      <c r="S41" s="777">
        <f t="shared" si="12"/>
        <v>100</v>
      </c>
      <c r="T41" s="776" t="s">
        <v>17</v>
      </c>
      <c r="U41" s="777">
        <f t="shared" si="13"/>
        <v>100</v>
      </c>
      <c r="V41" s="776" t="s">
        <v>17</v>
      </c>
      <c r="W41" s="777">
        <f t="shared" si="14"/>
        <v>100</v>
      </c>
      <c r="X41" s="778"/>
      <c r="Y41" s="3243"/>
      <c r="Z41" s="779" t="str">
        <f t="shared" si="15"/>
        <v>进深比</v>
      </c>
      <c r="AA41" s="1809">
        <f t="shared" si="3"/>
        <v>1</v>
      </c>
      <c r="AB41" s="1809">
        <f t="shared" si="4"/>
        <v>1</v>
      </c>
      <c r="AC41" s="1809">
        <f t="shared" si="5"/>
        <v>1</v>
      </c>
    </row>
    <row r="42" spans="1:29" ht="15">
      <c r="A42" s="471"/>
      <c r="B42" s="421" t="s">
        <v>2657</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241"/>
      <c r="Q42" s="1808" t="str">
        <f t="shared" si="11"/>
        <v>内部装修</v>
      </c>
      <c r="R42" s="773" t="s">
        <v>17</v>
      </c>
      <c r="S42" s="774">
        <f t="shared" si="12"/>
        <v>100</v>
      </c>
      <c r="T42" s="773" t="s">
        <v>17</v>
      </c>
      <c r="U42" s="774">
        <f t="shared" si="13"/>
        <v>100</v>
      </c>
      <c r="V42" s="773" t="s">
        <v>17</v>
      </c>
      <c r="W42" s="774">
        <f t="shared" si="14"/>
        <v>100</v>
      </c>
      <c r="X42" s="1811"/>
      <c r="Y42" s="3243"/>
      <c r="Z42" s="1812" t="str">
        <f t="shared" si="15"/>
        <v>内部装修</v>
      </c>
      <c r="AA42" s="1809">
        <f t="shared" si="3"/>
        <v>1</v>
      </c>
      <c r="AB42" s="1809">
        <f t="shared" si="4"/>
        <v>1</v>
      </c>
      <c r="AC42" s="1809">
        <f t="shared" si="5"/>
        <v>1</v>
      </c>
    </row>
    <row r="43" spans="1:29" ht="15">
      <c r="A43" s="471"/>
      <c r="B43" s="421" t="s">
        <v>2565</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241"/>
      <c r="Q43" s="1808" t="str">
        <f t="shared" si="11"/>
        <v>内部装修维护情况</v>
      </c>
      <c r="R43" s="773" t="s">
        <v>17</v>
      </c>
      <c r="S43" s="774">
        <f t="shared" si="12"/>
        <v>100</v>
      </c>
      <c r="T43" s="773" t="s">
        <v>17</v>
      </c>
      <c r="U43" s="774">
        <f t="shared" si="13"/>
        <v>100</v>
      </c>
      <c r="V43" s="773" t="s">
        <v>17</v>
      </c>
      <c r="W43" s="774">
        <f t="shared" si="14"/>
        <v>100</v>
      </c>
      <c r="X43" s="1811"/>
      <c r="Y43" s="3243"/>
      <c r="Z43" s="1812" t="str">
        <f t="shared" si="15"/>
        <v>内部装修维护情况</v>
      </c>
      <c r="AA43" s="1809">
        <f t="shared" si="3"/>
        <v>1</v>
      </c>
      <c r="AB43" s="1809">
        <f t="shared" si="4"/>
        <v>1</v>
      </c>
      <c r="AC43" s="1809">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41"/>
      <c r="Q44" s="1793">
        <f t="shared" si="11"/>
        <v>111</v>
      </c>
      <c r="R44" s="769" t="s">
        <v>17</v>
      </c>
      <c r="S44" s="770">
        <f t="shared" si="12"/>
        <v>100</v>
      </c>
      <c r="T44" s="769" t="s">
        <v>17</v>
      </c>
      <c r="U44" s="770">
        <f t="shared" si="13"/>
        <v>100</v>
      </c>
      <c r="V44" s="769" t="s">
        <v>17</v>
      </c>
      <c r="W44" s="770">
        <f t="shared" si="14"/>
        <v>100</v>
      </c>
      <c r="X44" s="771"/>
      <c r="Y44" s="3243"/>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41"/>
      <c r="Q45" s="1808">
        <f t="shared" si="11"/>
        <v>111</v>
      </c>
      <c r="R45" s="773" t="s">
        <v>17</v>
      </c>
      <c r="S45" s="774">
        <f t="shared" si="12"/>
        <v>100</v>
      </c>
      <c r="T45" s="773" t="s">
        <v>17</v>
      </c>
      <c r="U45" s="774">
        <f t="shared" si="13"/>
        <v>100</v>
      </c>
      <c r="V45" s="773" t="s">
        <v>17</v>
      </c>
      <c r="W45" s="774">
        <f t="shared" si="14"/>
        <v>100</v>
      </c>
      <c r="X45" s="1811"/>
      <c r="Y45" s="3243"/>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42"/>
      <c r="Q46" s="1808">
        <f t="shared" si="11"/>
        <v>111</v>
      </c>
      <c r="R46" s="773" t="s">
        <v>17</v>
      </c>
      <c r="S46" s="774">
        <f t="shared" si="12"/>
        <v>100</v>
      </c>
      <c r="T46" s="773" t="s">
        <v>17</v>
      </c>
      <c r="U46" s="774">
        <f t="shared" si="13"/>
        <v>100</v>
      </c>
      <c r="V46" s="773" t="s">
        <v>17</v>
      </c>
      <c r="W46" s="774">
        <f t="shared" si="14"/>
        <v>100</v>
      </c>
      <c r="X46" s="1811"/>
      <c r="Y46" s="3244"/>
      <c r="Z46" s="1812">
        <f t="shared" si="15"/>
        <v>111</v>
      </c>
      <c r="AA46" s="1809">
        <f t="shared" si="3"/>
        <v>1</v>
      </c>
      <c r="AB46" s="1809">
        <f t="shared" si="4"/>
        <v>1</v>
      </c>
      <c r="AC46" s="1809">
        <f t="shared" si="5"/>
        <v>1</v>
      </c>
    </row>
    <row r="47" spans="1:29" ht="15">
      <c r="A47" s="478" t="s">
        <v>2566</v>
      </c>
      <c r="B47" s="479"/>
      <c r="C47" s="1406" t="s">
        <v>1</v>
      </c>
      <c r="D47" s="1407"/>
      <c r="E47" s="1408"/>
      <c r="F47" s="1409"/>
      <c r="G47" s="1410"/>
      <c r="H47" s="1411"/>
      <c r="I47" s="1408"/>
      <c r="J47" s="1411"/>
      <c r="K47" s="782"/>
      <c r="L47" s="1143"/>
      <c r="M47" s="1144"/>
      <c r="N47" s="1131"/>
      <c r="O47" s="1144"/>
      <c r="P47" s="3236" t="str">
        <f>A47</f>
        <v>成交单价（元/平方米）</v>
      </c>
      <c r="Q47" s="3236"/>
      <c r="R47" s="3231">
        <f>E47</f>
        <v>0</v>
      </c>
      <c r="S47" s="3231"/>
      <c r="T47" s="3231">
        <f>G47</f>
        <v>0</v>
      </c>
      <c r="U47" s="3231"/>
      <c r="V47" s="3231">
        <f>I47</f>
        <v>0</v>
      </c>
      <c r="W47" s="3231"/>
      <c r="X47" s="758"/>
      <c r="Y47" s="780"/>
      <c r="Z47" s="758"/>
      <c r="AA47" s="758"/>
      <c r="AB47" s="758"/>
      <c r="AC47" s="758"/>
    </row>
    <row r="48" spans="1:29" ht="15.75" thickBot="1">
      <c r="A48" s="485" t="s">
        <v>2658</v>
      </c>
      <c r="B48" s="486"/>
      <c r="C48" s="1412" t="e">
        <f>R49</f>
        <v>#DIV/0!</v>
      </c>
      <c r="D48" s="1413"/>
      <c r="E48" s="1414" t="e">
        <f>R48</f>
        <v>#DIV/0!</v>
      </c>
      <c r="F48" s="1414"/>
      <c r="G48" s="1412" t="e">
        <f>T48</f>
        <v>#DIV/0!</v>
      </c>
      <c r="H48" s="1413"/>
      <c r="I48" s="1414" t="e">
        <f>V48</f>
        <v>#DIV/0!</v>
      </c>
      <c r="J48" s="1413"/>
      <c r="K48" s="783"/>
      <c r="L48" s="1143"/>
      <c r="M48" s="1144"/>
      <c r="N48" s="1131"/>
      <c r="O48" s="1144"/>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8"/>
      <c r="Y48" s="758"/>
      <c r="Z48" s="758"/>
      <c r="AA48" s="758"/>
      <c r="AB48" s="758"/>
      <c r="AC48" s="758"/>
    </row>
    <row r="49" spans="1:29" ht="15.75" thickBot="1">
      <c r="A49" s="491" t="s">
        <v>2659</v>
      </c>
      <c r="B49" s="492"/>
      <c r="C49" s="1416" t="e">
        <f>R49</f>
        <v>#DIV/0!</v>
      </c>
      <c r="D49" s="1416"/>
      <c r="E49" s="1416"/>
      <c r="F49" s="1416"/>
      <c r="G49" s="1416"/>
      <c r="H49" s="1416"/>
      <c r="I49" s="1416"/>
      <c r="J49" s="1416"/>
      <c r="K49" s="784"/>
      <c r="L49" s="1143"/>
      <c r="M49" s="1144"/>
      <c r="N49" s="1131"/>
      <c r="O49" s="1144"/>
      <c r="P49" s="3233" t="str">
        <f>A49</f>
        <v>估价对象XX用房的比较价值（楼面单价，元/平方米）</v>
      </c>
      <c r="Q49" s="3234"/>
      <c r="R49" s="3235" t="e">
        <f>IF(F1="售价",ROUND(AVERAGE(R48:V48),0),ROUND(AVERAGE(R48:V48),1))</f>
        <v>#DIV/0!</v>
      </c>
      <c r="S49" s="3235"/>
      <c r="T49" s="3235"/>
      <c r="U49" s="3235"/>
      <c r="V49" s="3235"/>
      <c r="W49" s="3235"/>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7" customFormat="1" ht="15">
      <c r="A58" s="504" t="s">
        <v>2537</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6" customFormat="1" ht="15">
      <c r="A59" s="508"/>
      <c r="B59" s="509"/>
      <c r="C59" s="1571">
        <v>100</v>
      </c>
      <c r="D59" s="511"/>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2539</v>
      </c>
      <c r="B61" s="509"/>
      <c r="C61" s="521" t="s">
        <v>2641</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2644</v>
      </c>
      <c r="C82" s="659" t="s">
        <v>2664</v>
      </c>
      <c r="D82" s="659" t="s">
        <v>2665</v>
      </c>
      <c r="E82" s="659" t="s">
        <v>2666</v>
      </c>
      <c r="F82" s="659" t="s">
        <v>2667</v>
      </c>
      <c r="G82" s="659" t="s">
        <v>2668</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2669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2552</v>
      </c>
      <c r="B100" s="527" t="s">
        <v>2670</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9"/>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2605</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2607</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2671</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2672</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2673</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2674</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J48" sqref="J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3120</v>
      </c>
      <c r="E1" s="1628"/>
      <c r="F1" s="2583" t="s">
        <v>3118</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f>IF(C2="——",ROUND(C50*D3/10000,0),ROUND(C50*D3/10000,0)-D2)</f>
        <v>4</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2958">
        <f>IF(C2="——",C50,ROUND(B2*10000/D3,0))</f>
        <v>5.2</v>
      </c>
      <c r="C3" s="399" t="s">
        <v>2633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54" t="s">
        <v>2640</v>
      </c>
      <c r="Q4" s="3255"/>
      <c r="R4" s="3248" t="s">
        <v>2636</v>
      </c>
      <c r="S4" s="3249"/>
      <c r="T4" s="3248" t="s">
        <v>2637</v>
      </c>
      <c r="U4" s="3249"/>
      <c r="V4" s="3258" t="s">
        <v>2638</v>
      </c>
      <c r="W4" s="3258"/>
      <c r="X4" s="2669"/>
      <c r="Y4" s="3248" t="s">
        <v>2640</v>
      </c>
      <c r="Z4" s="3249"/>
      <c r="AA4" s="3247" t="s">
        <v>2636</v>
      </c>
      <c r="AB4" s="3247" t="s">
        <v>2637</v>
      </c>
      <c r="AC4" s="3251" t="s">
        <v>2638</v>
      </c>
    </row>
    <row r="5" spans="1:29" ht="15">
      <c r="A5" s="403"/>
      <c r="B5" s="404"/>
      <c r="C5" s="3250" t="s">
        <v>3136</v>
      </c>
      <c r="D5" s="3213"/>
      <c r="E5" s="3250" t="s">
        <v>3136</v>
      </c>
      <c r="F5" s="3213"/>
      <c r="G5" s="3250" t="s">
        <v>3136</v>
      </c>
      <c r="H5" s="3213"/>
      <c r="I5" s="3250" t="s">
        <v>3134</v>
      </c>
      <c r="J5" s="3213"/>
      <c r="K5" s="609"/>
      <c r="L5" s="1130"/>
      <c r="M5" s="1131"/>
      <c r="N5" s="1131"/>
      <c r="O5" s="1131"/>
      <c r="P5" s="3256"/>
      <c r="Q5" s="3226"/>
      <c r="R5" s="3208"/>
      <c r="S5" s="3209"/>
      <c r="T5" s="3208"/>
      <c r="U5" s="3209"/>
      <c r="V5" s="3231"/>
      <c r="W5" s="3231"/>
      <c r="X5" s="1811"/>
      <c r="Y5" s="3208"/>
      <c r="Z5" s="3209"/>
      <c r="AA5" s="3202"/>
      <c r="AB5" s="3202"/>
      <c r="AC5" s="3252"/>
    </row>
    <row r="6" spans="1:29" ht="15.75" thickBot="1">
      <c r="A6" s="405"/>
      <c r="B6" s="406"/>
      <c r="C6" s="3214" t="s">
        <v>3123</v>
      </c>
      <c r="D6" s="3215"/>
      <c r="E6" s="3216" t="s">
        <v>3123</v>
      </c>
      <c r="F6" s="3217"/>
      <c r="G6" s="3214" t="s">
        <v>3123</v>
      </c>
      <c r="H6" s="3215"/>
      <c r="I6" s="3214" t="s">
        <v>3135</v>
      </c>
      <c r="J6" s="3215"/>
      <c r="K6" s="609" t="s">
        <v>2536</v>
      </c>
      <c r="L6" s="1130"/>
      <c r="M6" s="1131"/>
      <c r="N6" s="1131"/>
      <c r="O6" s="1131"/>
      <c r="P6" s="3257"/>
      <c r="Q6" s="3228"/>
      <c r="R6" s="3208"/>
      <c r="S6" s="3209"/>
      <c r="T6" s="3229"/>
      <c r="U6" s="3230"/>
      <c r="V6" s="3231"/>
      <c r="W6" s="3231"/>
      <c r="X6" s="1811"/>
      <c r="Y6" s="3229"/>
      <c r="Z6" s="3230"/>
      <c r="AA6" s="3203"/>
      <c r="AB6" s="3203"/>
      <c r="AC6" s="3253"/>
    </row>
    <row r="7" spans="1:29" s="116" customFormat="1" ht="15.75" thickBot="1">
      <c r="A7" s="407" t="s">
        <v>2537</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59" t="s">
        <v>2538</v>
      </c>
      <c r="Q7" s="3232"/>
      <c r="R7" s="769" t="s">
        <v>17</v>
      </c>
      <c r="S7" s="770">
        <f t="shared" ref="S7:S15" si="0">F7</f>
        <v>100</v>
      </c>
      <c r="T7" s="769" t="s">
        <v>17</v>
      </c>
      <c r="U7" s="770">
        <f t="shared" ref="U7:U15" si="1">H7</f>
        <v>100</v>
      </c>
      <c r="V7" s="769" t="s">
        <v>17</v>
      </c>
      <c r="W7" s="770">
        <f t="shared" ref="W7:W15" si="2">J7</f>
        <v>100</v>
      </c>
      <c r="X7" s="771"/>
      <c r="Y7" s="3204" t="s">
        <v>2538</v>
      </c>
      <c r="Z7" s="3205"/>
      <c r="AA7" s="772">
        <f>D7/F7</f>
        <v>1</v>
      </c>
      <c r="AB7" s="772">
        <f>D7/H7</f>
        <v>1</v>
      </c>
      <c r="AC7" s="2670">
        <f>D7/J7</f>
        <v>1</v>
      </c>
    </row>
    <row r="8" spans="1:29" s="116" customFormat="1" ht="15.75" thickBot="1">
      <c r="A8" s="407" t="s">
        <v>2539</v>
      </c>
      <c r="B8" s="408"/>
      <c r="C8" s="413" t="s">
        <v>2641</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59" t="s">
        <v>2541</v>
      </c>
      <c r="Q8" s="3205"/>
      <c r="R8" s="769" t="s">
        <v>17</v>
      </c>
      <c r="S8" s="770">
        <f t="shared" si="0"/>
        <v>100</v>
      </c>
      <c r="T8" s="769" t="s">
        <v>17</v>
      </c>
      <c r="U8" s="770">
        <f t="shared" si="1"/>
        <v>100</v>
      </c>
      <c r="V8" s="769" t="s">
        <v>17</v>
      </c>
      <c r="W8" s="770">
        <f t="shared" si="2"/>
        <v>100</v>
      </c>
      <c r="X8" s="771"/>
      <c r="Y8" s="3204" t="s">
        <v>2541</v>
      </c>
      <c r="Z8" s="3205"/>
      <c r="AA8" s="772">
        <f t="shared" ref="AA8:AA47" si="3">D8/F8</f>
        <v>1</v>
      </c>
      <c r="AB8" s="772">
        <f t="shared" ref="AB8:AB47" si="4">D8/H8</f>
        <v>1</v>
      </c>
      <c r="AC8" s="2670">
        <f t="shared" ref="AC8:AC47" si="5">D8/J8</f>
        <v>1</v>
      </c>
    </row>
    <row r="9" spans="1:29" s="116" customFormat="1">
      <c r="A9" s="414" t="s">
        <v>2542</v>
      </c>
      <c r="B9" s="70" t="s">
        <v>2543</v>
      </c>
      <c r="C9" s="2954" t="s">
        <v>3116</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18"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2670">
        <f t="shared" si="5"/>
        <v>1</v>
      </c>
    </row>
    <row r="10" spans="1:29" s="426" customFormat="1" ht="27">
      <c r="A10" s="420"/>
      <c r="B10" s="421" t="s">
        <v>2546</v>
      </c>
      <c r="C10" s="422" t="s">
        <v>3090</v>
      </c>
      <c r="D10" s="135">
        <v>100</v>
      </c>
      <c r="E10" s="422" t="s">
        <v>3090</v>
      </c>
      <c r="F10" s="135">
        <f>SUMIF(66:66,E10,67:67)-SUMIF(66:66,C10,67:67)+100</f>
        <v>100</v>
      </c>
      <c r="G10" s="422" t="s">
        <v>3090</v>
      </c>
      <c r="H10" s="135">
        <f>SUMIF(66:66,G10,67:67)-SUMIF(66:66,C10,67:67)+100</f>
        <v>100</v>
      </c>
      <c r="I10" s="422" t="s">
        <v>3090</v>
      </c>
      <c r="J10" s="135">
        <f>SUMIF(66:66,I10,67:67)-SUMIF(66:66,C10,67:67)+100</f>
        <v>100</v>
      </c>
      <c r="K10" s="611">
        <v>1</v>
      </c>
      <c r="L10" s="1135"/>
      <c r="M10" s="1136"/>
      <c r="N10" s="1136"/>
      <c r="O10" s="1136"/>
      <c r="P10" s="3218"/>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2670">
        <f t="shared" si="5"/>
        <v>1</v>
      </c>
    </row>
    <row r="11" spans="1:29" ht="15">
      <c r="A11" s="427"/>
      <c r="B11" s="421"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18"/>
      <c r="Q11" s="1793" t="str">
        <f t="shared" si="6"/>
        <v>容积率</v>
      </c>
      <c r="R11" s="769" t="s">
        <v>17</v>
      </c>
      <c r="S11" s="770">
        <f t="shared" si="0"/>
        <v>100</v>
      </c>
      <c r="T11" s="769" t="s">
        <v>17</v>
      </c>
      <c r="U11" s="770">
        <f t="shared" si="1"/>
        <v>100</v>
      </c>
      <c r="V11" s="769" t="s">
        <v>17</v>
      </c>
      <c r="W11" s="770">
        <f t="shared" si="2"/>
        <v>100</v>
      </c>
      <c r="X11" s="771"/>
      <c r="Y11" s="3031"/>
      <c r="Z11" s="54"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18"/>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18"/>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18"/>
      <c r="Q14" s="1793">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2670">
        <f t="shared" si="5"/>
        <v>1</v>
      </c>
    </row>
    <row r="15" spans="1:29" ht="99.75">
      <c r="A15" s="439" t="s">
        <v>2548</v>
      </c>
      <c r="B15" s="628" t="s">
        <v>2676</v>
      </c>
      <c r="C15" s="2672" t="str">
        <f>估价对象房地状况!C5</f>
        <v>估价对象位于中关村商圈，周边有鼎好电子大厦、海龙大厦写字楼等写字楼，办公项目较多，入驻率高，办公集聚程度好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45" t="s">
        <v>2549</v>
      </c>
      <c r="Q15" s="1808" t="str">
        <f t="shared" si="6"/>
        <v>办公集聚程度</v>
      </c>
      <c r="R15" s="773" t="s">
        <v>17</v>
      </c>
      <c r="S15" s="774">
        <f t="shared" si="0"/>
        <v>100</v>
      </c>
      <c r="T15" s="773" t="s">
        <v>17</v>
      </c>
      <c r="U15" s="774">
        <f t="shared" si="1"/>
        <v>100</v>
      </c>
      <c r="V15" s="773" t="s">
        <v>17</v>
      </c>
      <c r="W15" s="774">
        <f t="shared" si="2"/>
        <v>100</v>
      </c>
      <c r="X15" s="1811"/>
      <c r="Y15" s="3238" t="s">
        <v>2549</v>
      </c>
      <c r="Z15" s="1812" t="str">
        <f t="shared" si="7"/>
        <v>办公集聚程度</v>
      </c>
      <c r="AA15" s="1809">
        <f t="shared" si="3"/>
        <v>1</v>
      </c>
      <c r="AB15" s="1809">
        <f t="shared" si="4"/>
        <v>1</v>
      </c>
      <c r="AC15" s="2673">
        <f t="shared" si="5"/>
        <v>1</v>
      </c>
    </row>
    <row r="16" spans="1:29" ht="15">
      <c r="A16" s="427"/>
      <c r="B16" s="629"/>
      <c r="C16" s="2610" t="s">
        <v>3083</v>
      </c>
      <c r="D16" s="447"/>
      <c r="E16" s="446" t="s">
        <v>3083</v>
      </c>
      <c r="F16" s="447"/>
      <c r="G16" s="2610" t="s">
        <v>3083</v>
      </c>
      <c r="H16" s="449"/>
      <c r="I16" s="446" t="s">
        <v>3083</v>
      </c>
      <c r="J16" s="447"/>
      <c r="K16" s="614"/>
      <c r="L16" s="1140"/>
      <c r="M16" s="1131"/>
      <c r="N16" s="1131"/>
      <c r="O16" s="1131"/>
      <c r="P16" s="3246"/>
      <c r="Q16" s="1808"/>
      <c r="R16" s="773"/>
      <c r="S16" s="774"/>
      <c r="T16" s="773"/>
      <c r="U16" s="774"/>
      <c r="V16" s="773"/>
      <c r="W16" s="774"/>
      <c r="X16" s="1811"/>
      <c r="Y16" s="3239"/>
      <c r="Z16" s="1812"/>
      <c r="AA16" s="1809">
        <v>1</v>
      </c>
      <c r="AB16" s="1809">
        <v>1</v>
      </c>
      <c r="AC16" s="2673">
        <v>1</v>
      </c>
    </row>
    <row r="17" spans="1:29" ht="142.5">
      <c r="A17" s="427"/>
      <c r="B17" s="630" t="s">
        <v>2091</v>
      </c>
      <c r="C17" s="2674" t="str">
        <f>估价对象房地状况!C6</f>
        <v>估价对象紧邻中关村大街，紧挨地铁4号线中关村站，附近有302、307、320、332等多条公交线路，估价对象有地下停车场，路边停车位，停车较便捷，综合评价交通便捷度好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46"/>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2673">
        <f t="shared" si="5"/>
        <v>1</v>
      </c>
    </row>
    <row r="18" spans="1:29" ht="15">
      <c r="A18" s="427"/>
      <c r="B18" s="631"/>
      <c r="C18" s="2675" t="s">
        <v>3083</v>
      </c>
      <c r="D18" s="449"/>
      <c r="E18" s="2608" t="s">
        <v>3083</v>
      </c>
      <c r="F18" s="449"/>
      <c r="G18" s="2609" t="s">
        <v>3083</v>
      </c>
      <c r="H18" s="447"/>
      <c r="I18" s="2609" t="s">
        <v>3083</v>
      </c>
      <c r="J18" s="447"/>
      <c r="K18" s="614"/>
      <c r="L18" s="1140"/>
      <c r="M18" s="1131"/>
      <c r="N18" s="1131"/>
      <c r="O18" s="1131"/>
      <c r="P18" s="3246"/>
      <c r="Q18" s="1808"/>
      <c r="R18" s="773"/>
      <c r="S18" s="774"/>
      <c r="T18" s="773"/>
      <c r="U18" s="774"/>
      <c r="V18" s="773"/>
      <c r="W18" s="774"/>
      <c r="X18" s="1811"/>
      <c r="Y18" s="3239"/>
      <c r="Z18" s="1812"/>
      <c r="AA18" s="1809">
        <v>1</v>
      </c>
      <c r="AB18" s="1809">
        <v>1</v>
      </c>
      <c r="AC18" s="2673">
        <v>1</v>
      </c>
    </row>
    <row r="19" spans="1:29" ht="71.25">
      <c r="A19" s="427"/>
      <c r="B19" s="630" t="s">
        <v>2677</v>
      </c>
      <c r="C19" s="2674" t="str">
        <f>估价对象房地状况!C7</f>
        <v>估价对象附近分布较多银行、医院、餐饮、购物中心等公共配套设施，程度较好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46"/>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2673">
        <f t="shared" si="5"/>
        <v>1</v>
      </c>
    </row>
    <row r="20" spans="1:29" ht="15">
      <c r="A20" s="427"/>
      <c r="B20" s="631"/>
      <c r="C20" s="2610" t="s">
        <v>3081</v>
      </c>
      <c r="D20" s="447"/>
      <c r="E20" s="2603" t="s">
        <v>3081</v>
      </c>
      <c r="F20" s="447"/>
      <c r="G20" s="2604" t="s">
        <v>3081</v>
      </c>
      <c r="H20" s="447"/>
      <c r="I20" s="2604" t="s">
        <v>3081</v>
      </c>
      <c r="J20" s="447"/>
      <c r="K20" s="614"/>
      <c r="L20" s="1140"/>
      <c r="M20" s="1131"/>
      <c r="N20" s="1131"/>
      <c r="O20" s="1131"/>
      <c r="P20" s="3246"/>
      <c r="Q20" s="1808"/>
      <c r="R20" s="773"/>
      <c r="S20" s="774"/>
      <c r="T20" s="773"/>
      <c r="U20" s="774"/>
      <c r="V20" s="773"/>
      <c r="W20" s="774"/>
      <c r="X20" s="1811"/>
      <c r="Y20" s="3239"/>
      <c r="Z20" s="1812"/>
      <c r="AA20" s="1809">
        <v>1</v>
      </c>
      <c r="AB20" s="1809">
        <v>1</v>
      </c>
      <c r="AC20" s="2673">
        <v>1</v>
      </c>
    </row>
    <row r="21" spans="1:29" ht="15">
      <c r="A21" s="427"/>
      <c r="B21" s="632" t="s">
        <v>2678</v>
      </c>
      <c r="C21" s="2674" t="str">
        <f>估价对象房地状况!C8</f>
        <v>七通一平</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46"/>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2673">
        <f t="shared" ref="AC21" si="10">D21/J21</f>
        <v>1</v>
      </c>
    </row>
    <row r="22" spans="1:29" ht="15">
      <c r="A22" s="427"/>
      <c r="B22" s="632"/>
      <c r="C22" s="2675" t="s">
        <v>3091</v>
      </c>
      <c r="D22" s="447"/>
      <c r="E22" s="446" t="s">
        <v>3091</v>
      </c>
      <c r="F22" s="447"/>
      <c r="G22" s="2610" t="s">
        <v>3091</v>
      </c>
      <c r="H22" s="447"/>
      <c r="I22" s="2610" t="s">
        <v>3091</v>
      </c>
      <c r="J22" s="447"/>
      <c r="K22" s="1383"/>
      <c r="L22" s="1140"/>
      <c r="M22" s="1131"/>
      <c r="N22" s="1131"/>
      <c r="O22" s="1131"/>
      <c r="P22" s="3246"/>
      <c r="Q22" s="1808"/>
      <c r="R22" s="773"/>
      <c r="S22" s="774"/>
      <c r="T22" s="773"/>
      <c r="U22" s="774"/>
      <c r="V22" s="773"/>
      <c r="W22" s="774"/>
      <c r="X22" s="1811"/>
      <c r="Y22" s="3239"/>
      <c r="Z22" s="1812"/>
      <c r="AA22" s="1809">
        <v>1</v>
      </c>
      <c r="AB22" s="1809">
        <v>1</v>
      </c>
      <c r="AC22" s="2673">
        <v>1</v>
      </c>
    </row>
    <row r="23" spans="1:29" ht="114">
      <c r="A23" s="427"/>
      <c r="B23" s="630" t="s">
        <v>2679</v>
      </c>
      <c r="C23" s="2674" t="str">
        <f>估价对象房地状况!C9</f>
        <v>区域自然环境：海淀公园、北京大学未名湖；人文环境：北京大学、北大附中、中关村中学、中国人民大学；综合评价环境状况较好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46"/>
      <c r="Q23" s="1808" t="str">
        <f>B23</f>
        <v>环境质量</v>
      </c>
      <c r="R23" s="773" t="s">
        <v>17</v>
      </c>
      <c r="S23" s="774">
        <f>F23</f>
        <v>100</v>
      </c>
      <c r="T23" s="773" t="s">
        <v>17</v>
      </c>
      <c r="U23" s="774">
        <f>H23</f>
        <v>100</v>
      </c>
      <c r="V23" s="773" t="s">
        <v>17</v>
      </c>
      <c r="W23" s="774">
        <f>J23</f>
        <v>100</v>
      </c>
      <c r="X23" s="1811"/>
      <c r="Y23" s="3239"/>
      <c r="Z23" s="1812" t="str">
        <f>Q23</f>
        <v>环境质量</v>
      </c>
      <c r="AA23" s="1809">
        <f t="shared" si="3"/>
        <v>1</v>
      </c>
      <c r="AB23" s="1809">
        <f t="shared" si="4"/>
        <v>1</v>
      </c>
      <c r="AC23" s="2673">
        <f t="shared" si="5"/>
        <v>1</v>
      </c>
    </row>
    <row r="24" spans="1:29" ht="15">
      <c r="A24" s="427"/>
      <c r="B24" s="632"/>
      <c r="C24" s="2610" t="s">
        <v>3081</v>
      </c>
      <c r="D24" s="447"/>
      <c r="E24" s="2603" t="s">
        <v>3081</v>
      </c>
      <c r="F24" s="447"/>
      <c r="G24" s="2604" t="s">
        <v>3081</v>
      </c>
      <c r="H24" s="447"/>
      <c r="I24" s="2604" t="s">
        <v>3081</v>
      </c>
      <c r="J24" s="447"/>
      <c r="K24" s="614"/>
      <c r="L24" s="1140"/>
      <c r="M24" s="1131"/>
      <c r="N24" s="1131"/>
      <c r="O24" s="1131"/>
      <c r="P24" s="3246"/>
      <c r="Q24" s="1808"/>
      <c r="R24" s="773"/>
      <c r="S24" s="774"/>
      <c r="T24" s="773"/>
      <c r="U24" s="774"/>
      <c r="V24" s="773"/>
      <c r="W24" s="774"/>
      <c r="X24" s="1811"/>
      <c r="Y24" s="3239"/>
      <c r="Z24" s="1812"/>
      <c r="AA24" s="1809">
        <v>1</v>
      </c>
      <c r="AB24" s="1809">
        <v>1</v>
      </c>
      <c r="AC24" s="2673">
        <v>1</v>
      </c>
    </row>
    <row r="25" spans="1:29" ht="27.75">
      <c r="A25" s="403"/>
      <c r="B25" s="630" t="s">
        <v>2680</v>
      </c>
      <c r="C25" s="2614" t="s">
        <v>3128</v>
      </c>
      <c r="D25" s="434">
        <v>100</v>
      </c>
      <c r="E25" s="2614" t="s">
        <v>3128</v>
      </c>
      <c r="F25" s="434">
        <f>SUMIF(87:87,E26,88:88)-SUMIF(87:87,C26,88:88)+100</f>
        <v>100</v>
      </c>
      <c r="G25" s="2614" t="s">
        <v>3128</v>
      </c>
      <c r="H25" s="434">
        <f>SUMIF(87:87,G26,88:88)-SUMIF(87:87,C26,88:88)+100</f>
        <v>100</v>
      </c>
      <c r="I25" s="2614" t="s">
        <v>3137</v>
      </c>
      <c r="J25" s="434">
        <f>SUMIF(87:87,I26,88:88)-SUMIF(87:87,C26,88:88)+100</f>
        <v>100</v>
      </c>
      <c r="K25" s="613">
        <v>2</v>
      </c>
      <c r="L25" s="1140"/>
      <c r="M25" s="1131"/>
      <c r="N25" s="1131"/>
      <c r="O25" s="1131"/>
      <c r="P25" s="3246"/>
      <c r="Q25" s="1808" t="str">
        <f>B25</f>
        <v>毗邻道路的类型与等级</v>
      </c>
      <c r="R25" s="773" t="s">
        <v>17</v>
      </c>
      <c r="S25" s="774">
        <f>F25</f>
        <v>100</v>
      </c>
      <c r="T25" s="773" t="s">
        <v>17</v>
      </c>
      <c r="U25" s="774">
        <f>H25</f>
        <v>100</v>
      </c>
      <c r="V25" s="773" t="s">
        <v>17</v>
      </c>
      <c r="W25" s="774">
        <f>J25</f>
        <v>100</v>
      </c>
      <c r="X25" s="1811"/>
      <c r="Y25" s="3239"/>
      <c r="Z25" s="1812" t="str">
        <f>Q25</f>
        <v>毗邻道路的类型与等级</v>
      </c>
      <c r="AA25" s="1809">
        <f t="shared" si="3"/>
        <v>1</v>
      </c>
      <c r="AB25" s="1809">
        <f t="shared" si="4"/>
        <v>1</v>
      </c>
      <c r="AC25" s="2673">
        <f t="shared" si="5"/>
        <v>1</v>
      </c>
    </row>
    <row r="26" spans="1:29" ht="15">
      <c r="A26" s="403"/>
      <c r="B26" s="631"/>
      <c r="C26" s="633" t="s">
        <v>3092</v>
      </c>
      <c r="D26" s="434"/>
      <c r="E26" s="615" t="s">
        <v>3092</v>
      </c>
      <c r="F26" s="434"/>
      <c r="G26" s="633" t="s">
        <v>3092</v>
      </c>
      <c r="H26" s="434"/>
      <c r="I26" s="615" t="s">
        <v>3092</v>
      </c>
      <c r="J26" s="434"/>
      <c r="K26" s="614"/>
      <c r="L26" s="1140"/>
      <c r="M26" s="1131"/>
      <c r="N26" s="1131"/>
      <c r="O26" s="1131"/>
      <c r="P26" s="3246"/>
      <c r="Q26" s="1808"/>
      <c r="R26" s="773"/>
      <c r="S26" s="774"/>
      <c r="T26" s="773"/>
      <c r="U26" s="774"/>
      <c r="V26" s="773"/>
      <c r="W26" s="774"/>
      <c r="X26" s="1811"/>
      <c r="Y26" s="3239"/>
      <c r="Z26" s="1812"/>
      <c r="AA26" s="1809">
        <v>1</v>
      </c>
      <c r="AB26" s="1809">
        <v>1</v>
      </c>
      <c r="AC26" s="2673">
        <v>1</v>
      </c>
    </row>
    <row r="27" spans="1:29" ht="15">
      <c r="A27" s="427"/>
      <c r="B27" s="631" t="s">
        <v>2648</v>
      </c>
      <c r="C27" s="633" t="s">
        <v>3117</v>
      </c>
      <c r="D27" s="434">
        <v>100</v>
      </c>
      <c r="E27" s="615" t="s">
        <v>3093</v>
      </c>
      <c r="F27" s="434">
        <f>SUMIF(89:89,E27,90:90)-SUMIF(89:89,C27,90:90)+100</f>
        <v>102</v>
      </c>
      <c r="G27" s="633" t="s">
        <v>3093</v>
      </c>
      <c r="H27" s="434">
        <f>SUMIF(89:89,G27,90:90)-SUMIF(89:89,C27,90:90)+100</f>
        <v>102</v>
      </c>
      <c r="I27" s="615" t="s">
        <v>3133</v>
      </c>
      <c r="J27" s="434">
        <f>SUMIF(89:89,I27,90:90)-SUMIF(89:89,C27,90:90)+100</f>
        <v>104</v>
      </c>
      <c r="K27" s="611">
        <v>2</v>
      </c>
      <c r="L27" s="1140"/>
      <c r="M27" s="1131"/>
      <c r="N27" s="1131"/>
      <c r="O27" s="1131"/>
      <c r="P27" s="3246"/>
      <c r="Q27" s="1808" t="str">
        <f t="shared" ref="Q27:Q47" si="11">B27</f>
        <v>楼层</v>
      </c>
      <c r="R27" s="773" t="s">
        <v>17</v>
      </c>
      <c r="S27" s="774">
        <f>F27</f>
        <v>102</v>
      </c>
      <c r="T27" s="773" t="s">
        <v>17</v>
      </c>
      <c r="U27" s="774">
        <f>H27</f>
        <v>102</v>
      </c>
      <c r="V27" s="773" t="s">
        <v>17</v>
      </c>
      <c r="W27" s="774">
        <f>J27</f>
        <v>104</v>
      </c>
      <c r="X27" s="1811"/>
      <c r="Y27" s="3239"/>
      <c r="Z27" s="1812" t="str">
        <f>Q27</f>
        <v>楼层</v>
      </c>
      <c r="AA27" s="1809">
        <f t="shared" si="3"/>
        <v>0.98039215686274506</v>
      </c>
      <c r="AB27" s="1809">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46"/>
      <c r="Q28" s="1793" t="str">
        <f t="shared" si="11"/>
        <v>朝向</v>
      </c>
      <c r="R28" s="769" t="s">
        <v>17</v>
      </c>
      <c r="S28" s="770">
        <f>F28</f>
        <v>100</v>
      </c>
      <c r="T28" s="769" t="s">
        <v>17</v>
      </c>
      <c r="U28" s="770">
        <f>H28</f>
        <v>100</v>
      </c>
      <c r="V28" s="769" t="s">
        <v>17</v>
      </c>
      <c r="W28" s="770">
        <f>J28</f>
        <v>100</v>
      </c>
      <c r="X28" s="771"/>
      <c r="Y28" s="3239"/>
      <c r="Z28" s="54"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46"/>
      <c r="Q29" s="1808">
        <f t="shared" si="11"/>
        <v>111</v>
      </c>
      <c r="R29" s="773" t="s">
        <v>17</v>
      </c>
      <c r="S29" s="774">
        <f t="shared" ref="S29:S47" si="12">F29</f>
        <v>100</v>
      </c>
      <c r="T29" s="773" t="s">
        <v>17</v>
      </c>
      <c r="U29" s="774">
        <f t="shared" ref="U29:U47" si="13">H29</f>
        <v>100</v>
      </c>
      <c r="V29" s="773" t="s">
        <v>17</v>
      </c>
      <c r="W29" s="774">
        <f t="shared" ref="W29:W47" si="14">J29</f>
        <v>100</v>
      </c>
      <c r="X29" s="1811"/>
      <c r="Y29" s="3239"/>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46"/>
      <c r="Q30" s="1808">
        <f t="shared" si="11"/>
        <v>111</v>
      </c>
      <c r="R30" s="773" t="s">
        <v>17</v>
      </c>
      <c r="S30" s="774">
        <f t="shared" si="12"/>
        <v>100</v>
      </c>
      <c r="T30" s="773" t="s">
        <v>17</v>
      </c>
      <c r="U30" s="774">
        <f t="shared" si="13"/>
        <v>100</v>
      </c>
      <c r="V30" s="773" t="s">
        <v>17</v>
      </c>
      <c r="W30" s="774">
        <f t="shared" si="14"/>
        <v>100</v>
      </c>
      <c r="X30" s="1811"/>
      <c r="Y30" s="3239"/>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46"/>
      <c r="Q31" s="1808">
        <f t="shared" si="11"/>
        <v>111</v>
      </c>
      <c r="R31" s="773" t="s">
        <v>17</v>
      </c>
      <c r="S31" s="774">
        <f t="shared" si="12"/>
        <v>100</v>
      </c>
      <c r="T31" s="773" t="s">
        <v>17</v>
      </c>
      <c r="U31" s="774">
        <f t="shared" si="13"/>
        <v>100</v>
      </c>
      <c r="V31" s="773" t="s">
        <v>17</v>
      </c>
      <c r="W31" s="774">
        <f t="shared" si="14"/>
        <v>100</v>
      </c>
      <c r="X31" s="1811"/>
      <c r="Y31" s="3239"/>
      <c r="Z31" s="1812">
        <f t="shared" si="15"/>
        <v>111</v>
      </c>
      <c r="AA31" s="1809">
        <f t="shared" si="3"/>
        <v>1</v>
      </c>
      <c r="AB31" s="1809">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46"/>
      <c r="Q32" s="1808">
        <f t="shared" si="11"/>
        <v>111</v>
      </c>
      <c r="R32" s="773" t="s">
        <v>17</v>
      </c>
      <c r="S32" s="774">
        <f t="shared" si="12"/>
        <v>100</v>
      </c>
      <c r="T32" s="773" t="s">
        <v>17</v>
      </c>
      <c r="U32" s="774">
        <f t="shared" si="13"/>
        <v>100</v>
      </c>
      <c r="V32" s="773" t="s">
        <v>17</v>
      </c>
      <c r="W32" s="774">
        <f t="shared" si="14"/>
        <v>100</v>
      </c>
      <c r="X32" s="1811"/>
      <c r="Y32" s="3239"/>
      <c r="Z32" s="1812">
        <f t="shared" si="15"/>
        <v>111</v>
      </c>
      <c r="AA32" s="1809">
        <f t="shared" si="3"/>
        <v>1</v>
      </c>
      <c r="AB32" s="1809">
        <f t="shared" si="4"/>
        <v>1</v>
      </c>
      <c r="AC32" s="2673">
        <f t="shared" si="5"/>
        <v>1</v>
      </c>
    </row>
    <row r="33" spans="1:29" ht="15">
      <c r="A33" s="439" t="s">
        <v>2552</v>
      </c>
      <c r="B33" s="70" t="s">
        <v>2682</v>
      </c>
      <c r="C33" s="2678" t="s">
        <v>3094</v>
      </c>
      <c r="D33" s="466">
        <v>100</v>
      </c>
      <c r="E33" s="2678" t="s">
        <v>3094</v>
      </c>
      <c r="F33" s="460">
        <f>SUMIF(101:101,E33,102:102)-SUMIF(101:101,C33,102:102)+100</f>
        <v>100</v>
      </c>
      <c r="G33" s="2678" t="s">
        <v>3094</v>
      </c>
      <c r="H33" s="434">
        <f>SUMIF(101:101,G33,102:102)-SUMIF(101:101,C33,102:102)+100</f>
        <v>100</v>
      </c>
      <c r="I33" s="2678" t="s">
        <v>3094</v>
      </c>
      <c r="J33" s="466">
        <f>SUMIF(101:101,I33,102:102)-SUMIF(101:101,C33,102:102)+100</f>
        <v>100</v>
      </c>
      <c r="K33" s="611">
        <v>2</v>
      </c>
      <c r="L33" s="1140"/>
      <c r="M33" s="1131"/>
      <c r="N33" s="1131"/>
      <c r="O33" s="1131"/>
      <c r="P33" s="3240" t="s">
        <v>2554</v>
      </c>
      <c r="Q33" s="1808" t="str">
        <f t="shared" si="11"/>
        <v>建筑类型</v>
      </c>
      <c r="R33" s="773" t="s">
        <v>17</v>
      </c>
      <c r="S33" s="774">
        <f t="shared" si="12"/>
        <v>100</v>
      </c>
      <c r="T33" s="773" t="s">
        <v>17</v>
      </c>
      <c r="U33" s="774">
        <f t="shared" si="13"/>
        <v>100</v>
      </c>
      <c r="V33" s="773" t="s">
        <v>17</v>
      </c>
      <c r="W33" s="774">
        <f t="shared" si="14"/>
        <v>100</v>
      </c>
      <c r="X33" s="1811"/>
      <c r="Y33" s="3243" t="s">
        <v>2554</v>
      </c>
      <c r="Z33" s="1812" t="str">
        <f t="shared" si="15"/>
        <v>建筑类型</v>
      </c>
      <c r="AA33" s="1809">
        <f t="shared" si="3"/>
        <v>1</v>
      </c>
      <c r="AB33" s="1809">
        <f t="shared" si="4"/>
        <v>1</v>
      </c>
      <c r="AC33" s="2673">
        <f t="shared" si="5"/>
        <v>1</v>
      </c>
    </row>
    <row r="34" spans="1:29" s="470" customFormat="1" ht="15">
      <c r="A34" s="467"/>
      <c r="B34" s="421" t="s">
        <v>2555</v>
      </c>
      <c r="C34" s="468">
        <f>'数据-汇总表'!E19</f>
        <v>8276.64</v>
      </c>
      <c r="D34" s="135">
        <v>100</v>
      </c>
      <c r="E34" s="429">
        <v>1200</v>
      </c>
      <c r="F34" s="424">
        <f>LOOKUP(E34,104:104,105:105)-LOOKUP(C34,104:104,105:105)+100</f>
        <v>108</v>
      </c>
      <c r="G34" s="429">
        <v>1000</v>
      </c>
      <c r="H34" s="135">
        <f>LOOKUP(G34,104:104,105:105)-LOOKUP(C34,104:104,105:105)+100</f>
        <v>108</v>
      </c>
      <c r="I34" s="428">
        <v>1300</v>
      </c>
      <c r="J34" s="135">
        <f>LOOKUP(I34,104:104,105:105)-LOOKUP(C34,104:104,105:105)+100</f>
        <v>108</v>
      </c>
      <c r="K34" s="612"/>
      <c r="L34" s="1138"/>
      <c r="M34" s="1141"/>
      <c r="N34" s="1141"/>
      <c r="O34" s="1141"/>
      <c r="P34" s="3241"/>
      <c r="Q34" s="775" t="str">
        <f t="shared" si="11"/>
        <v>项目建筑规模</v>
      </c>
      <c r="R34" s="776" t="s">
        <v>17</v>
      </c>
      <c r="S34" s="777">
        <f t="shared" si="12"/>
        <v>108</v>
      </c>
      <c r="T34" s="776" t="s">
        <v>17</v>
      </c>
      <c r="U34" s="777">
        <f t="shared" si="13"/>
        <v>108</v>
      </c>
      <c r="V34" s="776" t="s">
        <v>17</v>
      </c>
      <c r="W34" s="777">
        <f t="shared" si="14"/>
        <v>108</v>
      </c>
      <c r="X34" s="778"/>
      <c r="Y34" s="3243"/>
      <c r="Z34" s="779" t="str">
        <f t="shared" si="15"/>
        <v>项目建筑规模</v>
      </c>
      <c r="AA34" s="1809">
        <f t="shared" si="3"/>
        <v>0.92592592592592593</v>
      </c>
      <c r="AB34" s="1809">
        <f t="shared" si="4"/>
        <v>0.92592592592592593</v>
      </c>
      <c r="AC34" s="2673">
        <f t="shared" si="5"/>
        <v>0.92592592592592593</v>
      </c>
    </row>
    <row r="35" spans="1:29" ht="15">
      <c r="A35" s="471"/>
      <c r="B35" s="421" t="s">
        <v>2556</v>
      </c>
      <c r="C35" s="459" t="s">
        <v>3088</v>
      </c>
      <c r="D35" s="434">
        <v>100</v>
      </c>
      <c r="E35" s="459" t="s">
        <v>3088</v>
      </c>
      <c r="F35" s="460">
        <f>SUMIF(106:106,E35,107:107)-SUMIF(106:106,C35,107:107)+100</f>
        <v>100</v>
      </c>
      <c r="G35" s="459" t="s">
        <v>3088</v>
      </c>
      <c r="H35" s="434">
        <f>SUMIF(106:106,G35,107:107)-SUMIF(106:106,C35,107:107)+100</f>
        <v>100</v>
      </c>
      <c r="I35" s="459" t="s">
        <v>3088</v>
      </c>
      <c r="J35" s="434">
        <f>SUMIF(106:106,I35,107:107)-SUMIF(106:106,C35,107:107)+100</f>
        <v>100</v>
      </c>
      <c r="K35" s="611">
        <v>3</v>
      </c>
      <c r="L35" s="1140"/>
      <c r="M35" s="1131"/>
      <c r="N35" s="1131"/>
      <c r="O35" s="1131"/>
      <c r="P35" s="3241"/>
      <c r="Q35" s="1808" t="str">
        <f t="shared" si="11"/>
        <v>建筑结构</v>
      </c>
      <c r="R35" s="773" t="s">
        <v>17</v>
      </c>
      <c r="S35" s="774">
        <f t="shared" si="12"/>
        <v>100</v>
      </c>
      <c r="T35" s="773" t="s">
        <v>17</v>
      </c>
      <c r="U35" s="774">
        <f t="shared" si="13"/>
        <v>100</v>
      </c>
      <c r="V35" s="773" t="s">
        <v>17</v>
      </c>
      <c r="W35" s="774">
        <f t="shared" si="14"/>
        <v>100</v>
      </c>
      <c r="X35" s="1811"/>
      <c r="Y35" s="3243"/>
      <c r="Z35" s="1812" t="str">
        <f t="shared" si="15"/>
        <v>建筑结构</v>
      </c>
      <c r="AA35" s="1809">
        <f t="shared" si="3"/>
        <v>1</v>
      </c>
      <c r="AB35" s="1809">
        <f t="shared" si="4"/>
        <v>1</v>
      </c>
      <c r="AC35" s="2673">
        <f t="shared" si="5"/>
        <v>1</v>
      </c>
    </row>
    <row r="36" spans="1:29" ht="15">
      <c r="A36" s="471"/>
      <c r="B36" s="421" t="s">
        <v>2650</v>
      </c>
      <c r="C36" s="459" t="s">
        <v>3129</v>
      </c>
      <c r="D36" s="434">
        <v>100</v>
      </c>
      <c r="E36" s="459" t="s">
        <v>3129</v>
      </c>
      <c r="F36" s="460">
        <f>SUMIF(108:108,E36,109:109)-SUMIF(108:108,C36,109:109)+100</f>
        <v>100</v>
      </c>
      <c r="G36" s="459" t="s">
        <v>3129</v>
      </c>
      <c r="H36" s="434">
        <f>SUMIF(108:108,G36,109:109)-SUMIF(108:108,C36,109:109)+100</f>
        <v>100</v>
      </c>
      <c r="I36" s="459" t="s">
        <v>3095</v>
      </c>
      <c r="J36" s="434">
        <f>SUMIF(108:108,I36,109:109)-SUMIF(108:108,C36,109:109)+100</f>
        <v>102</v>
      </c>
      <c r="K36" s="611">
        <v>2</v>
      </c>
      <c r="L36" s="1140"/>
      <c r="M36" s="1131"/>
      <c r="N36" s="1131"/>
      <c r="O36" s="1131"/>
      <c r="P36" s="3241"/>
      <c r="Q36" s="1808" t="str">
        <f t="shared" si="11"/>
        <v>公共部分装修</v>
      </c>
      <c r="R36" s="773" t="s">
        <v>17</v>
      </c>
      <c r="S36" s="774">
        <f t="shared" si="12"/>
        <v>100</v>
      </c>
      <c r="T36" s="773" t="s">
        <v>17</v>
      </c>
      <c r="U36" s="774">
        <f t="shared" si="13"/>
        <v>100</v>
      </c>
      <c r="V36" s="773" t="s">
        <v>17</v>
      </c>
      <c r="W36" s="774">
        <f t="shared" si="14"/>
        <v>102</v>
      </c>
      <c r="X36" s="1811"/>
      <c r="Y36" s="3243"/>
      <c r="Z36" s="1812" t="str">
        <f t="shared" si="15"/>
        <v>公共部分装修</v>
      </c>
      <c r="AA36" s="1809">
        <f t="shared" si="3"/>
        <v>1</v>
      </c>
      <c r="AB36" s="1809">
        <f t="shared" si="4"/>
        <v>1</v>
      </c>
      <c r="AC36" s="2673">
        <f t="shared" si="5"/>
        <v>0.98039215686274506</v>
      </c>
    </row>
    <row r="37" spans="1:29" ht="15">
      <c r="A37" s="471"/>
      <c r="B37" s="421" t="s">
        <v>2651</v>
      </c>
      <c r="C37" s="473">
        <v>0.77500000000000002</v>
      </c>
      <c r="D37" s="434">
        <v>100</v>
      </c>
      <c r="E37" s="473">
        <v>0.77500000000000002</v>
      </c>
      <c r="F37" s="460">
        <f>LOOKUP(E37,111:111,112:112)-LOOKUP(C37,111:111,112:112)+100</f>
        <v>100</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41"/>
      <c r="Q37" s="1808" t="str">
        <f t="shared" si="11"/>
        <v>成新度</v>
      </c>
      <c r="R37" s="773" t="s">
        <v>17</v>
      </c>
      <c r="S37" s="774">
        <f t="shared" si="12"/>
        <v>100</v>
      </c>
      <c r="T37" s="773" t="s">
        <v>17</v>
      </c>
      <c r="U37" s="774">
        <f t="shared" si="13"/>
        <v>100</v>
      </c>
      <c r="V37" s="773" t="s">
        <v>17</v>
      </c>
      <c r="W37" s="774">
        <f t="shared" si="14"/>
        <v>101</v>
      </c>
      <c r="X37" s="1811"/>
      <c r="Y37" s="3243"/>
      <c r="Z37" s="1812" t="str">
        <f t="shared" si="15"/>
        <v>成新度</v>
      </c>
      <c r="AA37" s="1809">
        <f t="shared" si="3"/>
        <v>1</v>
      </c>
      <c r="AB37" s="1809">
        <f t="shared" si="4"/>
        <v>1</v>
      </c>
      <c r="AC37" s="2673">
        <f t="shared" si="5"/>
        <v>0.99009900990099009</v>
      </c>
    </row>
    <row r="38" spans="1:29" s="116" customFormat="1" ht="15">
      <c r="A38" s="472"/>
      <c r="B38" s="421" t="s">
        <v>2683</v>
      </c>
      <c r="C38" s="459" t="s">
        <v>3096</v>
      </c>
      <c r="D38" s="135">
        <v>100</v>
      </c>
      <c r="E38" s="459" t="s">
        <v>3096</v>
      </c>
      <c r="F38" s="460">
        <f>SUMIF(113:113,E38,114:114)-SUMIF(113:113,C38,114:114)+100</f>
        <v>100</v>
      </c>
      <c r="G38" s="459" t="s">
        <v>3096</v>
      </c>
      <c r="H38" s="434">
        <f>SUMIF(113:113,G38,114:114)-SUMIF(113:113,C38,114:114)+100</f>
        <v>100</v>
      </c>
      <c r="I38" s="459" t="s">
        <v>3096</v>
      </c>
      <c r="J38" s="434">
        <f>SUMIF(113:113,I38,114:114)-SUMIF(113:113,C38,114:114)+100</f>
        <v>100</v>
      </c>
      <c r="K38" s="611">
        <v>2</v>
      </c>
      <c r="L38" s="1132"/>
      <c r="M38" s="1133"/>
      <c r="N38" s="1133"/>
      <c r="O38" s="1133"/>
      <c r="P38" s="3241"/>
      <c r="Q38" s="1793" t="str">
        <f t="shared" si="11"/>
        <v>写字楼等级</v>
      </c>
      <c r="R38" s="769" t="s">
        <v>17</v>
      </c>
      <c r="S38" s="770">
        <f t="shared" si="12"/>
        <v>100</v>
      </c>
      <c r="T38" s="769" t="s">
        <v>17</v>
      </c>
      <c r="U38" s="770">
        <f t="shared" si="13"/>
        <v>100</v>
      </c>
      <c r="V38" s="769" t="s">
        <v>17</v>
      </c>
      <c r="W38" s="770">
        <f t="shared" si="14"/>
        <v>100</v>
      </c>
      <c r="X38" s="771"/>
      <c r="Y38" s="3243"/>
      <c r="Z38" s="54" t="str">
        <f t="shared" si="15"/>
        <v>写字楼等级</v>
      </c>
      <c r="AA38" s="772">
        <f t="shared" si="3"/>
        <v>1</v>
      </c>
      <c r="AB38" s="772">
        <f t="shared" si="4"/>
        <v>1</v>
      </c>
      <c r="AC38" s="2670">
        <f t="shared" si="5"/>
        <v>1</v>
      </c>
    </row>
    <row r="39" spans="1:29" ht="15">
      <c r="A39" s="471"/>
      <c r="B39" s="421" t="s">
        <v>2684</v>
      </c>
      <c r="C39" s="459" t="s">
        <v>3097</v>
      </c>
      <c r="D39" s="434">
        <v>100</v>
      </c>
      <c r="E39" s="459" t="s">
        <v>3097</v>
      </c>
      <c r="F39" s="460">
        <f>SUMIF(115:115,E39,116:116)-SUMIF(115:115,C39,116:116)+100</f>
        <v>100</v>
      </c>
      <c r="G39" s="459" t="s">
        <v>3097</v>
      </c>
      <c r="H39" s="434">
        <f>SUMIF(115:115,G39,116:116)-SUMIF(115:115,C39,116:116)+100</f>
        <v>100</v>
      </c>
      <c r="I39" s="459" t="s">
        <v>3097</v>
      </c>
      <c r="J39" s="434">
        <f>SUMIF(115:115,I39,116:116)-SUMIF(115:115,C39,116:116)+100</f>
        <v>100</v>
      </c>
      <c r="K39" s="611">
        <v>1</v>
      </c>
      <c r="L39" s="1140"/>
      <c r="M39" s="1131"/>
      <c r="N39" s="1131"/>
      <c r="O39" s="1131"/>
      <c r="P39" s="3241" t="s">
        <v>2554</v>
      </c>
      <c r="Q39" s="1808" t="str">
        <f t="shared" si="11"/>
        <v>物业管理</v>
      </c>
      <c r="R39" s="773" t="s">
        <v>17</v>
      </c>
      <c r="S39" s="774">
        <f t="shared" si="12"/>
        <v>100</v>
      </c>
      <c r="T39" s="773" t="s">
        <v>17</v>
      </c>
      <c r="U39" s="774">
        <f t="shared" si="13"/>
        <v>100</v>
      </c>
      <c r="V39" s="773" t="s">
        <v>17</v>
      </c>
      <c r="W39" s="774">
        <f t="shared" si="14"/>
        <v>100</v>
      </c>
      <c r="X39" s="1811"/>
      <c r="Y39" s="3243" t="s">
        <v>2554</v>
      </c>
      <c r="Z39" s="1812" t="str">
        <f t="shared" si="15"/>
        <v>物业管理</v>
      </c>
      <c r="AA39" s="1809">
        <f t="shared" si="3"/>
        <v>1</v>
      </c>
      <c r="AB39" s="1809">
        <f t="shared" si="4"/>
        <v>1</v>
      </c>
      <c r="AC39" s="2673">
        <f t="shared" si="5"/>
        <v>1</v>
      </c>
    </row>
    <row r="40" spans="1:29" ht="15">
      <c r="A40" s="471"/>
      <c r="B40" s="421" t="s">
        <v>2652</v>
      </c>
      <c r="C40" s="459" t="s">
        <v>3098</v>
      </c>
      <c r="D40" s="434">
        <v>100</v>
      </c>
      <c r="E40" s="459" t="s">
        <v>3098</v>
      </c>
      <c r="F40" s="460">
        <f>SUMIF(117:117,E40,118:118)-SUMIF(117:117,C40,118:118)+100</f>
        <v>100</v>
      </c>
      <c r="G40" s="459" t="s">
        <v>3098</v>
      </c>
      <c r="H40" s="434">
        <f>SUMIF(117:117,G40,118:118)-SUMIF(117:117,C40,118:118)+100</f>
        <v>100</v>
      </c>
      <c r="I40" s="459" t="s">
        <v>3124</v>
      </c>
      <c r="J40" s="434">
        <f>SUMIF(117:117,I40,118:118)-SUMIF(117:117,C40,118:118)+100</f>
        <v>98</v>
      </c>
      <c r="K40" s="611">
        <v>2</v>
      </c>
      <c r="L40" s="1140"/>
      <c r="M40" s="1131"/>
      <c r="N40" s="1131"/>
      <c r="O40" s="1131"/>
      <c r="P40" s="3241"/>
      <c r="Q40" s="1808" t="str">
        <f t="shared" si="11"/>
        <v>市政基础设施</v>
      </c>
      <c r="R40" s="773" t="s">
        <v>17</v>
      </c>
      <c r="S40" s="774">
        <f t="shared" si="12"/>
        <v>100</v>
      </c>
      <c r="T40" s="773" t="s">
        <v>17</v>
      </c>
      <c r="U40" s="774">
        <f t="shared" si="13"/>
        <v>100</v>
      </c>
      <c r="V40" s="773" t="s">
        <v>17</v>
      </c>
      <c r="W40" s="774">
        <f t="shared" si="14"/>
        <v>98</v>
      </c>
      <c r="X40" s="1811"/>
      <c r="Y40" s="3243"/>
      <c r="Z40" s="1812" t="str">
        <f t="shared" si="15"/>
        <v>市政基础设施</v>
      </c>
      <c r="AA40" s="1809">
        <f t="shared" si="3"/>
        <v>1</v>
      </c>
      <c r="AB40" s="1809">
        <f t="shared" si="4"/>
        <v>1</v>
      </c>
      <c r="AC40" s="2673">
        <f t="shared" si="5"/>
        <v>1.0204081632653061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41"/>
      <c r="Q41" s="1808" t="str">
        <f t="shared" si="11"/>
        <v>层高</v>
      </c>
      <c r="R41" s="773" t="s">
        <v>17</v>
      </c>
      <c r="S41" s="774">
        <f t="shared" si="12"/>
        <v>100</v>
      </c>
      <c r="T41" s="773" t="s">
        <v>17</v>
      </c>
      <c r="U41" s="774">
        <f t="shared" si="13"/>
        <v>100</v>
      </c>
      <c r="V41" s="773" t="s">
        <v>17</v>
      </c>
      <c r="W41" s="774">
        <f t="shared" si="14"/>
        <v>100</v>
      </c>
      <c r="X41" s="1811"/>
      <c r="Y41" s="3243"/>
      <c r="Z41" s="1812" t="str">
        <f t="shared" si="15"/>
        <v>层高</v>
      </c>
      <c r="AA41" s="1809">
        <f t="shared" si="3"/>
        <v>1</v>
      </c>
      <c r="AB41" s="1809">
        <f t="shared" si="4"/>
        <v>1</v>
      </c>
      <c r="AC41" s="2673">
        <f t="shared" si="5"/>
        <v>1</v>
      </c>
    </row>
    <row r="42" spans="1:29" s="470" customFormat="1" ht="15">
      <c r="A42" s="467"/>
      <c r="B42" s="181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41"/>
      <c r="Q42" s="775" t="str">
        <f t="shared" si="11"/>
        <v>单套建筑面积</v>
      </c>
      <c r="R42" s="776" t="s">
        <v>17</v>
      </c>
      <c r="S42" s="777">
        <f t="shared" si="12"/>
        <v>100</v>
      </c>
      <c r="T42" s="776" t="s">
        <v>17</v>
      </c>
      <c r="U42" s="777">
        <f t="shared" si="13"/>
        <v>100</v>
      </c>
      <c r="V42" s="776" t="s">
        <v>17</v>
      </c>
      <c r="W42" s="777">
        <f t="shared" si="14"/>
        <v>100</v>
      </c>
      <c r="X42" s="778"/>
      <c r="Y42" s="3243"/>
      <c r="Z42" s="779" t="str">
        <f t="shared" si="15"/>
        <v>单套建筑面积</v>
      </c>
      <c r="AA42" s="1809">
        <f t="shared" si="3"/>
        <v>1</v>
      </c>
      <c r="AB42" s="1809">
        <f t="shared" si="4"/>
        <v>1</v>
      </c>
      <c r="AC42" s="2673">
        <f t="shared" si="5"/>
        <v>1</v>
      </c>
    </row>
    <row r="43" spans="1:29" ht="15">
      <c r="A43" s="471"/>
      <c r="B43" s="421" t="s">
        <v>2657</v>
      </c>
      <c r="C43" s="459" t="s">
        <v>3095</v>
      </c>
      <c r="D43" s="434">
        <v>100</v>
      </c>
      <c r="E43" s="459" t="s">
        <v>3095</v>
      </c>
      <c r="F43" s="460">
        <f>SUMIF(123:123,E43,124:124)-SUMIF(123:123,C43,124:124)+100</f>
        <v>100</v>
      </c>
      <c r="G43" s="459" t="s">
        <v>3095</v>
      </c>
      <c r="H43" s="434">
        <f>SUMIF(123:123,G43,124:124)-SUMIF(123:123,C43,124:124)+100</f>
        <v>100</v>
      </c>
      <c r="I43" s="459" t="s">
        <v>3095</v>
      </c>
      <c r="J43" s="434">
        <f>SUMIF(123:123,I43,124:124)-SUMIF(123:123,C43,124:124)+100</f>
        <v>100</v>
      </c>
      <c r="K43" s="611">
        <v>2</v>
      </c>
      <c r="L43" s="1140"/>
      <c r="M43" s="1131"/>
      <c r="N43" s="1131"/>
      <c r="O43" s="1131"/>
      <c r="P43" s="3241"/>
      <c r="Q43" s="1808" t="str">
        <f t="shared" si="11"/>
        <v>内部装修</v>
      </c>
      <c r="R43" s="773" t="s">
        <v>17</v>
      </c>
      <c r="S43" s="774">
        <f t="shared" si="12"/>
        <v>100</v>
      </c>
      <c r="T43" s="773" t="s">
        <v>17</v>
      </c>
      <c r="U43" s="774">
        <f t="shared" si="13"/>
        <v>100</v>
      </c>
      <c r="V43" s="773" t="s">
        <v>17</v>
      </c>
      <c r="W43" s="774">
        <f t="shared" si="14"/>
        <v>100</v>
      </c>
      <c r="X43" s="1811"/>
      <c r="Y43" s="3243"/>
      <c r="Z43" s="1812" t="str">
        <f t="shared" si="15"/>
        <v>内部装修</v>
      </c>
      <c r="AA43" s="1809">
        <f t="shared" si="3"/>
        <v>1</v>
      </c>
      <c r="AB43" s="1809">
        <f t="shared" si="4"/>
        <v>1</v>
      </c>
      <c r="AC43" s="2673">
        <f t="shared" si="5"/>
        <v>1</v>
      </c>
    </row>
    <row r="44" spans="1:29" ht="15">
      <c r="A44" s="471"/>
      <c r="B44" s="421" t="s">
        <v>2565</v>
      </c>
      <c r="C44" s="2612" t="s">
        <v>3081</v>
      </c>
      <c r="D44" s="434">
        <v>100</v>
      </c>
      <c r="E44" s="2612" t="s">
        <v>3081</v>
      </c>
      <c r="F44" s="460">
        <f>SUMIF(125:125,E44,126:126)-SUMIF(125:125,C44,126:126)+100</f>
        <v>100</v>
      </c>
      <c r="G44" s="2612" t="s">
        <v>3081</v>
      </c>
      <c r="H44" s="434">
        <f>SUMIF(125:125,G44,126:126)-SUMIF(125:125,C44,126:126)+100</f>
        <v>100</v>
      </c>
      <c r="I44" s="2612" t="s">
        <v>3081</v>
      </c>
      <c r="J44" s="434">
        <f>SUMIF(125:125,I44,126:126)-SUMIF(125:125,C44,126:126)+100</f>
        <v>100</v>
      </c>
      <c r="K44" s="611">
        <v>1</v>
      </c>
      <c r="L44" s="1140"/>
      <c r="M44" s="1131"/>
      <c r="N44" s="1131"/>
      <c r="O44" s="1131"/>
      <c r="P44" s="3241"/>
      <c r="Q44" s="1808" t="str">
        <f t="shared" si="11"/>
        <v>内部装修维护情况</v>
      </c>
      <c r="R44" s="773" t="s">
        <v>17</v>
      </c>
      <c r="S44" s="774">
        <f t="shared" si="12"/>
        <v>100</v>
      </c>
      <c r="T44" s="773" t="s">
        <v>17</v>
      </c>
      <c r="U44" s="774">
        <f t="shared" si="13"/>
        <v>100</v>
      </c>
      <c r="V44" s="773" t="s">
        <v>17</v>
      </c>
      <c r="W44" s="774">
        <f t="shared" si="14"/>
        <v>100</v>
      </c>
      <c r="X44" s="1811"/>
      <c r="Y44" s="3243"/>
      <c r="Z44" s="1812" t="str">
        <f t="shared" si="15"/>
        <v>内部装修维护情况</v>
      </c>
      <c r="AA44" s="1809">
        <f t="shared" si="3"/>
        <v>1</v>
      </c>
      <c r="AB44" s="1809">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41"/>
      <c r="Q45" s="1793">
        <f t="shared" si="11"/>
        <v>111</v>
      </c>
      <c r="R45" s="769" t="s">
        <v>17</v>
      </c>
      <c r="S45" s="770">
        <f t="shared" si="12"/>
        <v>100</v>
      </c>
      <c r="T45" s="769" t="s">
        <v>17</v>
      </c>
      <c r="U45" s="770">
        <f t="shared" si="13"/>
        <v>100</v>
      </c>
      <c r="V45" s="769" t="s">
        <v>17</v>
      </c>
      <c r="W45" s="770">
        <f t="shared" si="14"/>
        <v>100</v>
      </c>
      <c r="X45" s="771"/>
      <c r="Y45" s="3243"/>
      <c r="Z45" s="54">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41"/>
      <c r="Q46" s="1808">
        <f t="shared" si="11"/>
        <v>111</v>
      </c>
      <c r="R46" s="773" t="s">
        <v>17</v>
      </c>
      <c r="S46" s="774">
        <f t="shared" si="12"/>
        <v>100</v>
      </c>
      <c r="T46" s="773" t="s">
        <v>17</v>
      </c>
      <c r="U46" s="774">
        <f t="shared" si="13"/>
        <v>100</v>
      </c>
      <c r="V46" s="773" t="s">
        <v>17</v>
      </c>
      <c r="W46" s="774">
        <f t="shared" si="14"/>
        <v>100</v>
      </c>
      <c r="X46" s="1811"/>
      <c r="Y46" s="3243"/>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42"/>
      <c r="Q47" s="1808">
        <f t="shared" si="11"/>
        <v>111</v>
      </c>
      <c r="R47" s="773" t="s">
        <v>17</v>
      </c>
      <c r="S47" s="774">
        <f t="shared" si="12"/>
        <v>100</v>
      </c>
      <c r="T47" s="773" t="s">
        <v>17</v>
      </c>
      <c r="U47" s="774">
        <f t="shared" si="13"/>
        <v>100</v>
      </c>
      <c r="V47" s="773" t="s">
        <v>17</v>
      </c>
      <c r="W47" s="774">
        <f t="shared" si="14"/>
        <v>100</v>
      </c>
      <c r="X47" s="1811"/>
      <c r="Y47" s="3244"/>
      <c r="Z47" s="1812">
        <f t="shared" si="15"/>
        <v>111</v>
      </c>
      <c r="AA47" s="1809">
        <f t="shared" si="3"/>
        <v>1</v>
      </c>
      <c r="AB47" s="1809">
        <f t="shared" si="4"/>
        <v>1</v>
      </c>
      <c r="AC47" s="2673">
        <f t="shared" si="5"/>
        <v>1</v>
      </c>
    </row>
    <row r="48" spans="1:29" ht="15">
      <c r="A48" s="478" t="s">
        <v>2566</v>
      </c>
      <c r="B48" s="479"/>
      <c r="C48" s="1406" t="s">
        <v>1</v>
      </c>
      <c r="D48" s="1407"/>
      <c r="E48" s="2951">
        <f>ROUND(5.5*C51,1)</f>
        <v>5.4</v>
      </c>
      <c r="F48" s="1409"/>
      <c r="G48" s="2951">
        <f>ROUND(6*C51,1)</f>
        <v>5.9</v>
      </c>
      <c r="H48" s="1411"/>
      <c r="I48" s="2951">
        <f>ROUND(6*C51,1)</f>
        <v>5.9</v>
      </c>
      <c r="J48" s="484"/>
      <c r="K48" s="782"/>
      <c r="L48" s="1143"/>
      <c r="M48" s="1131"/>
      <c r="N48" s="1131"/>
      <c r="O48" s="1131"/>
      <c r="P48" s="3218" t="str">
        <f>A48</f>
        <v>成交单价（元/平方米）</v>
      </c>
      <c r="Q48" s="3236"/>
      <c r="R48" s="3237">
        <f>E48</f>
        <v>5.4</v>
      </c>
      <c r="S48" s="3237"/>
      <c r="T48" s="3237">
        <f>G48</f>
        <v>5.9</v>
      </c>
      <c r="U48" s="3237"/>
      <c r="V48" s="3237">
        <f>I48</f>
        <v>5.9</v>
      </c>
      <c r="W48" s="3237"/>
      <c r="X48" s="445"/>
      <c r="Y48" s="780"/>
      <c r="Z48" s="445"/>
      <c r="AA48" s="445"/>
      <c r="AB48" s="445"/>
      <c r="AC48" s="629"/>
    </row>
    <row r="49" spans="1:29" ht="15.75" thickBot="1">
      <c r="A49" s="485" t="s">
        <v>2658</v>
      </c>
      <c r="B49" s="486"/>
      <c r="C49" s="2956">
        <f>R50</f>
        <v>5.2</v>
      </c>
      <c r="D49" s="1413"/>
      <c r="E49" s="1414">
        <f>R49</f>
        <v>4.9000000000000004</v>
      </c>
      <c r="F49" s="1414"/>
      <c r="G49" s="2956">
        <f>T49</f>
        <v>5.4</v>
      </c>
      <c r="H49" s="1413"/>
      <c r="I49" s="1414">
        <f>V49</f>
        <v>5.2</v>
      </c>
      <c r="J49" s="488"/>
      <c r="K49" s="783"/>
      <c r="L49" s="1143"/>
      <c r="M49" s="1131"/>
      <c r="N49" s="1131"/>
      <c r="O49" s="1131"/>
      <c r="P49" s="3218" t="str">
        <f>A49</f>
        <v>比较价值（元/平方米）</v>
      </c>
      <c r="Q49" s="3236"/>
      <c r="R49" s="3237">
        <f>IF(F1="售价",ROUND(PRODUCT(R48,AA7:AA47),0),ROUND(PRODUCT(R48,AA7:AA47),1))</f>
        <v>4.9000000000000004</v>
      </c>
      <c r="S49" s="3237"/>
      <c r="T49" s="3237">
        <f>IF(F1="售价",ROUND(PRODUCT(T48,AB7:AB47),0),ROUND(PRODUCT(T48,AB7:AB47),1))</f>
        <v>5.4</v>
      </c>
      <c r="U49" s="3237"/>
      <c r="V49" s="3237">
        <f>IF(F1="售价",ROUND(PRODUCT(V48,AC7:AC47),0),ROUND(PRODUCT(V48,AC7:AC47),1))</f>
        <v>5.2</v>
      </c>
      <c r="W49" s="3237"/>
      <c r="X49" s="445"/>
      <c r="Y49" s="445"/>
      <c r="Z49" s="445"/>
      <c r="AA49" s="445"/>
      <c r="AB49" s="445"/>
      <c r="AC49" s="629"/>
    </row>
    <row r="50" spans="1:29" ht="15.75" thickBot="1">
      <c r="A50" s="491" t="s">
        <v>2659</v>
      </c>
      <c r="B50" s="492"/>
      <c r="C50" s="2957">
        <f>R50</f>
        <v>5.2</v>
      </c>
      <c r="D50" s="1416"/>
      <c r="E50" s="1416"/>
      <c r="F50" s="1416"/>
      <c r="G50" s="1416"/>
      <c r="H50" s="1416"/>
      <c r="I50" s="1416"/>
      <c r="J50" s="493"/>
      <c r="K50" s="784"/>
      <c r="L50" s="1143"/>
      <c r="M50" s="1131"/>
      <c r="N50" s="1131"/>
      <c r="O50" s="1131"/>
      <c r="P50" s="3260" t="str">
        <f>A50</f>
        <v>估价对象XX用房的比较价值（楼面单价，元/平方米）</v>
      </c>
      <c r="Q50" s="3261"/>
      <c r="R50" s="3262">
        <f>IF(F1="售价",ROUND(AVERAGE(R49:V49),0),ROUND(AVERAGE(R49:V49),1))</f>
        <v>5.2</v>
      </c>
      <c r="S50" s="3262"/>
      <c r="T50" s="3262"/>
      <c r="U50" s="3262"/>
      <c r="V50" s="3262"/>
      <c r="W50" s="3262"/>
      <c r="X50" s="2653"/>
      <c r="Y50" s="2653"/>
      <c r="Z50" s="2653"/>
      <c r="AA50" s="2653"/>
      <c r="AB50" s="2653"/>
      <c r="AC50" s="2654"/>
    </row>
    <row r="51" spans="1:29">
      <c r="A51" s="1144"/>
      <c r="B51" s="1144"/>
      <c r="C51" s="2955">
        <v>0.98</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2660</v>
      </c>
      <c r="D53" s="497"/>
      <c r="E53" s="498">
        <f>IF(E48&lt;E49,E49/E48-1,E48/E49-1)</f>
        <v>0.1020408163265305</v>
      </c>
      <c r="F53" s="499" t="str">
        <f>IF(OR(E53&gt;=0.3,E53&lt;=-0.3),"超过30%","")</f>
        <v/>
      </c>
      <c r="G53" s="498">
        <f>IF(G48&lt;G49,G49/G48-1,G48/G49-1)</f>
        <v>9.259259259259256E-2</v>
      </c>
      <c r="H53" s="499" t="str">
        <f>IF(OR(G53&gt;=0.3,G53&lt;=-0.3),"超过30%","")</f>
        <v/>
      </c>
      <c r="I53" s="498">
        <f>IF(I48&lt;I49,I49/I48-1,I48/I49-1)</f>
        <v>0.13461538461538458</v>
      </c>
      <c r="J53" s="499" t="str">
        <f>IF(OR(I53&gt;=0.3,I53&lt;=-0.3),"超过30%","")</f>
        <v/>
      </c>
      <c r="K53" s="1105"/>
      <c r="L53" s="1106"/>
      <c r="M53" s="1144"/>
      <c r="N53" s="1144"/>
      <c r="O53" s="1144"/>
    </row>
    <row r="54" spans="1:29" ht="13.5" customHeight="1">
      <c r="A54" s="1144"/>
      <c r="B54" s="1144"/>
      <c r="C54" s="496" t="s">
        <v>2661</v>
      </c>
      <c r="D54" s="500"/>
      <c r="E54" s="498">
        <f>IF(E49&lt;G49,G49/E49-1,E49/G49-1)</f>
        <v>0.1020408163265305</v>
      </c>
      <c r="F54" s="499" t="str">
        <f>IF(OR(E54&gt;=0.2,E54&lt;=-0.2),"超过20%","")</f>
        <v/>
      </c>
      <c r="G54" s="498">
        <f>IF(G49&lt;I49,I49/G49-1,G49/I49-1)</f>
        <v>3.8461538461538547E-2</v>
      </c>
      <c r="H54" s="499" t="str">
        <f>IF(OR(G54&gt;=0.2,G54&lt;=-0.2),"超过20%","")</f>
        <v/>
      </c>
      <c r="I54" s="498">
        <f>IF(I49&lt;E49,E49/I49-1,I49/E49-1)</f>
        <v>6.1224489795918435E-2</v>
      </c>
      <c r="J54" s="499" t="str">
        <f>IF(OR(I54&gt;=0.2,I54&lt;=-0.2),"超过20%","")</f>
        <v/>
      </c>
      <c r="K54" s="1105"/>
      <c r="L54" s="1106"/>
      <c r="M54" s="1144"/>
      <c r="N54" s="1144"/>
      <c r="O54" s="1144"/>
    </row>
    <row r="55" spans="1:29" s="501" customFormat="1" ht="13.5" customHeight="1">
      <c r="A55" s="1145"/>
      <c r="B55" s="1145"/>
      <c r="C55" s="496" t="s">
        <v>2662</v>
      </c>
      <c r="D55" s="500"/>
      <c r="E55" s="498">
        <f>IF(E48&lt;G48,G48/E48-1,E48/G48-1)</f>
        <v>9.259259259259256E-2</v>
      </c>
      <c r="F55" s="499" t="str">
        <f>IF(OR(E55&gt;=0.3,E55&lt;=-0.3),"超过30%","")</f>
        <v/>
      </c>
      <c r="G55" s="498">
        <f>IF(G48&lt;I48,I48/G48-1,G48/I48-1)</f>
        <v>0</v>
      </c>
      <c r="H55" s="499" t="str">
        <f>IF(OR(G55&gt;=0.3,G55&lt;=-0.3),"超过30%","")</f>
        <v/>
      </c>
      <c r="I55" s="498">
        <f>IF(I48&lt;E48,E48/I48-1,I48/E48-1)</f>
        <v>9.259259259259256E-2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2663</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2641</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3099</v>
      </c>
      <c r="D87" s="2952" t="s">
        <v>3100</v>
      </c>
      <c r="E87" s="2952" t="s">
        <v>3101</v>
      </c>
      <c r="F87" s="2952" t="s">
        <v>3102</v>
      </c>
      <c r="G87" s="2952" t="s">
        <v>3103</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3104</v>
      </c>
      <c r="D89" s="2952" t="s">
        <v>3105</v>
      </c>
      <c r="E89" s="2952" t="s">
        <v>3106</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3107</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3108</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3109</v>
      </c>
      <c r="D108" s="2952" t="s">
        <v>3130</v>
      </c>
      <c r="E108" s="2952" t="s">
        <v>3110</v>
      </c>
      <c r="F108" s="2952" t="s">
        <v>3111</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3112</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3113</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3114</v>
      </c>
      <c r="D117" s="2952" t="s">
        <v>3115</v>
      </c>
      <c r="E117" s="2952" t="s">
        <v>3125</v>
      </c>
      <c r="F117" s="2952" t="s">
        <v>3126</v>
      </c>
      <c r="G117" s="2952" t="s">
        <v>3127</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3109</v>
      </c>
      <c r="D123" s="2952" t="s">
        <v>3110</v>
      </c>
      <c r="E123" s="2952" t="s">
        <v>3111</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大连国美电器有限公司：</v>
      </c>
    </row>
    <row r="4" spans="1:1" ht="36">
      <c r="A4" s="1946" t="str">
        <f>"受贵公司委托，我公司对"&amp;项目基本情况!S1&amp;"进行了预评估。"</f>
        <v>受贵公司委托，我公司对北京市北京市海淀区中关村大街18号房地产抵押价值进行了预评估。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2018年12月18日（评估专业人员实地查勘之日）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2691</v>
      </c>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IF(C2="——",ROUND(C43*D3/10000,0),ROUND(C43*D3/10000,0)-D2)</f>
        <v>#DIV/0!</v>
      </c>
      <c r="C2" s="2585"/>
      <c r="D2" s="1124"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02" t="s">
        <v>2637</v>
      </c>
      <c r="AC4" s="3201" t="s">
        <v>2638</v>
      </c>
    </row>
    <row r="5" spans="1:29"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02"/>
      <c r="AC5" s="3202"/>
    </row>
    <row r="6" spans="1:29" ht="15.75" thickBot="1">
      <c r="A6" s="405"/>
      <c r="B6" s="406"/>
      <c r="C6" s="3214" t="s">
        <v>2535</v>
      </c>
      <c r="D6" s="3215"/>
      <c r="E6" s="3216" t="s">
        <v>2535</v>
      </c>
      <c r="F6" s="3217"/>
      <c r="G6" s="3214" t="s">
        <v>2535</v>
      </c>
      <c r="H6" s="3215"/>
      <c r="I6" s="3214" t="s">
        <v>2535</v>
      </c>
      <c r="J6" s="3215"/>
      <c r="K6" s="609" t="s">
        <v>2536</v>
      </c>
      <c r="L6" s="1130"/>
      <c r="M6" s="1131"/>
      <c r="N6" s="1131"/>
      <c r="O6" s="1131"/>
      <c r="P6" s="3227"/>
      <c r="Q6" s="3228"/>
      <c r="R6" s="3208"/>
      <c r="S6" s="3209"/>
      <c r="T6" s="3229"/>
      <c r="U6" s="3230"/>
      <c r="V6" s="3231"/>
      <c r="W6" s="3231"/>
      <c r="X6" s="1811"/>
      <c r="Y6" s="3229"/>
      <c r="Z6" s="3230"/>
      <c r="AA6" s="3203"/>
      <c r="AB6" s="3203"/>
      <c r="AC6" s="3203"/>
    </row>
    <row r="7" spans="1:29" s="116" customFormat="1" ht="15.75" thickBot="1">
      <c r="A7" s="407" t="s">
        <v>2537</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04" t="s">
        <v>2538</v>
      </c>
      <c r="Q7" s="3232"/>
      <c r="R7" s="769" t="s">
        <v>17</v>
      </c>
      <c r="S7" s="770">
        <f t="shared" ref="S7:S15" si="0">F7</f>
        <v>0</v>
      </c>
      <c r="T7" s="769" t="s">
        <v>17</v>
      </c>
      <c r="U7" s="770">
        <f t="shared" ref="U7:U15" si="1">H7</f>
        <v>0</v>
      </c>
      <c r="V7" s="769" t="s">
        <v>17</v>
      </c>
      <c r="W7" s="770">
        <f t="shared" ref="W7:W15" si="2">J7</f>
        <v>0</v>
      </c>
      <c r="X7" s="771"/>
      <c r="Y7" s="3204" t="s">
        <v>2538</v>
      </c>
      <c r="Z7" s="3205"/>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36"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36"/>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36"/>
      <c r="Q11" s="1793"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36"/>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36"/>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36"/>
      <c r="Q14" s="1793">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15">
      <c r="A15" s="439" t="s">
        <v>2548</v>
      </c>
      <c r="B15" s="68" t="s">
        <v>2692</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38" t="s">
        <v>2549</v>
      </c>
      <c r="Q15" s="1808" t="str">
        <f t="shared" si="6"/>
        <v>产业集聚程度</v>
      </c>
      <c r="R15" s="773" t="s">
        <v>17</v>
      </c>
      <c r="S15" s="774">
        <f t="shared" si="0"/>
        <v>100</v>
      </c>
      <c r="T15" s="773" t="s">
        <v>17</v>
      </c>
      <c r="U15" s="774">
        <f t="shared" si="1"/>
        <v>100</v>
      </c>
      <c r="V15" s="773" t="s">
        <v>17</v>
      </c>
      <c r="W15" s="774">
        <f t="shared" si="2"/>
        <v>100</v>
      </c>
      <c r="X15" s="1811"/>
      <c r="Y15" s="3238" t="s">
        <v>2549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9"/>
      <c r="P16" s="3239"/>
      <c r="Q16" s="1808"/>
      <c r="R16" s="773"/>
      <c r="S16" s="774"/>
      <c r="T16" s="773"/>
      <c r="U16" s="774"/>
      <c r="V16" s="773"/>
      <c r="W16" s="774"/>
      <c r="X16" s="1811"/>
      <c r="Y16" s="3239"/>
      <c r="Z16" s="1812"/>
      <c r="AA16" s="1809">
        <v>1</v>
      </c>
      <c r="AB16" s="1809">
        <v>1</v>
      </c>
      <c r="AC16" s="1809">
        <v>1</v>
      </c>
    </row>
    <row r="17" spans="1:29" ht="15">
      <c r="A17" s="427"/>
      <c r="B17" s="450" t="s">
        <v>2091</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39"/>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9"/>
      <c r="P18" s="3239"/>
      <c r="Q18" s="1808"/>
      <c r="R18" s="773"/>
      <c r="S18" s="774"/>
      <c r="T18" s="773"/>
      <c r="U18" s="774"/>
      <c r="V18" s="773"/>
      <c r="W18" s="774"/>
      <c r="X18" s="1811"/>
      <c r="Y18" s="3239"/>
      <c r="Z18" s="1812"/>
      <c r="AA18" s="1809">
        <v>1</v>
      </c>
      <c r="AB18" s="1809">
        <v>1</v>
      </c>
      <c r="AC18" s="1809">
        <v>1</v>
      </c>
    </row>
    <row r="19" spans="1:29" ht="15">
      <c r="A19" s="427"/>
      <c r="B19" s="450" t="s">
        <v>2677</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39"/>
      <c r="Q19" s="1808" t="str">
        <f>B19</f>
        <v>公共配套设施</v>
      </c>
      <c r="R19" s="773" t="s">
        <v>17</v>
      </c>
      <c r="S19" s="774">
        <f>F19</f>
        <v>100</v>
      </c>
      <c r="T19" s="773" t="s">
        <v>17</v>
      </c>
      <c r="U19" s="774">
        <f>H19</f>
        <v>100</v>
      </c>
      <c r="V19" s="773" t="s">
        <v>17</v>
      </c>
      <c r="W19" s="774">
        <f>J19</f>
        <v>100</v>
      </c>
      <c r="X19" s="1811"/>
      <c r="Y19" s="3239"/>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9"/>
      <c r="P20" s="3239"/>
      <c r="Q20" s="1808"/>
      <c r="R20" s="773"/>
      <c r="S20" s="774"/>
      <c r="T20" s="773"/>
      <c r="U20" s="774"/>
      <c r="V20" s="773"/>
      <c r="W20" s="774"/>
      <c r="X20" s="1811"/>
      <c r="Y20" s="3239"/>
      <c r="Z20" s="1812"/>
      <c r="AA20" s="1809">
        <v>1</v>
      </c>
      <c r="AB20" s="1809">
        <v>1</v>
      </c>
      <c r="AC20" s="1809">
        <v>1</v>
      </c>
    </row>
    <row r="21" spans="1:29" ht="15">
      <c r="A21" s="427"/>
      <c r="B21" s="1384" t="s">
        <v>2678</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39"/>
      <c r="Q21" s="1808" t="str">
        <f>B21</f>
        <v>基础设施水平</v>
      </c>
      <c r="R21" s="773" t="s">
        <v>17</v>
      </c>
      <c r="S21" s="774">
        <f>F21</f>
        <v>100</v>
      </c>
      <c r="T21" s="773" t="s">
        <v>17</v>
      </c>
      <c r="U21" s="774">
        <f>H21</f>
        <v>100</v>
      </c>
      <c r="V21" s="773" t="s">
        <v>17</v>
      </c>
      <c r="W21" s="774">
        <f>J21</f>
        <v>100</v>
      </c>
      <c r="X21" s="1811"/>
      <c r="Y21" s="3239"/>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9"/>
      <c r="P22" s="3239"/>
      <c r="Q22" s="1808"/>
      <c r="R22" s="773"/>
      <c r="S22" s="774"/>
      <c r="T22" s="773"/>
      <c r="U22" s="774"/>
      <c r="V22" s="773"/>
      <c r="W22" s="774"/>
      <c r="X22" s="1811"/>
      <c r="Y22" s="3239"/>
      <c r="Z22" s="1812"/>
      <c r="AA22" s="1809">
        <v>1</v>
      </c>
      <c r="AB22" s="1809">
        <v>1</v>
      </c>
      <c r="AC22" s="1809">
        <v>1</v>
      </c>
    </row>
    <row r="23" spans="1:29" ht="15">
      <c r="A23" s="427"/>
      <c r="B23" s="450" t="s">
        <v>2679</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39"/>
      <c r="Q23" s="1808" t="str">
        <f>B23</f>
        <v>环境质量</v>
      </c>
      <c r="R23" s="773" t="s">
        <v>17</v>
      </c>
      <c r="S23" s="774">
        <f>F23</f>
        <v>100</v>
      </c>
      <c r="T23" s="773" t="s">
        <v>17</v>
      </c>
      <c r="U23" s="774">
        <f>H23</f>
        <v>100</v>
      </c>
      <c r="V23" s="773" t="s">
        <v>17</v>
      </c>
      <c r="W23" s="774">
        <f>J23</f>
        <v>100</v>
      </c>
      <c r="X23" s="1811"/>
      <c r="Y23" s="3239"/>
      <c r="Z23" s="1812" t="str">
        <f>Q23</f>
        <v>环境质量</v>
      </c>
      <c r="AA23" s="1809">
        <f t="shared" si="3"/>
        <v>1</v>
      </c>
      <c r="AB23" s="1809">
        <f t="shared" si="4"/>
        <v>1</v>
      </c>
      <c r="AC23" s="1809">
        <f t="shared" si="5"/>
        <v>1</v>
      </c>
    </row>
    <row r="24" spans="1:29" ht="15">
      <c r="A24" s="427"/>
      <c r="B24" s="1384"/>
      <c r="C24" s="446"/>
      <c r="D24" s="447"/>
      <c r="E24" s="2604"/>
      <c r="F24" s="448"/>
      <c r="G24" s="2603"/>
      <c r="H24" s="447"/>
      <c r="I24" s="2604"/>
      <c r="J24" s="447"/>
      <c r="K24" s="614"/>
      <c r="L24" s="1140"/>
      <c r="M24" s="1131"/>
      <c r="N24" s="1131"/>
      <c r="O24" s="1139"/>
      <c r="P24" s="3239"/>
      <c r="Q24" s="1808"/>
      <c r="R24" s="773"/>
      <c r="S24" s="774"/>
      <c r="T24" s="773"/>
      <c r="U24" s="774"/>
      <c r="V24" s="773"/>
      <c r="W24" s="774"/>
      <c r="X24" s="1811"/>
      <c r="Y24" s="3239"/>
      <c r="Z24" s="1812"/>
      <c r="AA24" s="1809">
        <v>1</v>
      </c>
      <c r="AB24" s="1809">
        <v>1</v>
      </c>
      <c r="AC24" s="1809">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39"/>
      <c r="Q25" s="1808">
        <f>B25</f>
        <v>111</v>
      </c>
      <c r="R25" s="773" t="s">
        <v>17</v>
      </c>
      <c r="S25" s="774">
        <f>F25</f>
        <v>100</v>
      </c>
      <c r="T25" s="773" t="s">
        <v>17</v>
      </c>
      <c r="U25" s="774">
        <f>H25</f>
        <v>100</v>
      </c>
      <c r="V25" s="773" t="s">
        <v>17</v>
      </c>
      <c r="W25" s="774">
        <f>J25</f>
        <v>100</v>
      </c>
      <c r="X25" s="1811"/>
      <c r="Y25" s="3239"/>
      <c r="Z25" s="1812">
        <f>Q25</f>
        <v>111</v>
      </c>
      <c r="AA25" s="1809">
        <f t="shared" si="3"/>
        <v>1</v>
      </c>
      <c r="AB25" s="1809">
        <f t="shared" si="4"/>
        <v>1</v>
      </c>
      <c r="AC25" s="1809">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39"/>
      <c r="Q26" s="1808">
        <f t="shared" ref="Q26:Q40" si="11">B26</f>
        <v>111</v>
      </c>
      <c r="R26" s="773" t="s">
        <v>17</v>
      </c>
      <c r="S26" s="774">
        <f>F26</f>
        <v>100</v>
      </c>
      <c r="T26" s="773" t="s">
        <v>17</v>
      </c>
      <c r="U26" s="774">
        <f>H26</f>
        <v>100</v>
      </c>
      <c r="V26" s="773" t="s">
        <v>17</v>
      </c>
      <c r="W26" s="774">
        <f>J26</f>
        <v>100</v>
      </c>
      <c r="X26" s="1811"/>
      <c r="Y26" s="3239"/>
      <c r="Z26" s="1812">
        <f>Q26</f>
        <v>111</v>
      </c>
      <c r="AA26" s="1809">
        <f t="shared" si="3"/>
        <v>1</v>
      </c>
      <c r="AB26" s="1809">
        <f t="shared" si="4"/>
        <v>1</v>
      </c>
      <c r="AC26" s="1809">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39"/>
      <c r="Q27" s="1793">
        <f t="shared" si="11"/>
        <v>111</v>
      </c>
      <c r="R27" s="769" t="s">
        <v>17</v>
      </c>
      <c r="S27" s="770">
        <f>F27</f>
        <v>100</v>
      </c>
      <c r="T27" s="769" t="s">
        <v>17</v>
      </c>
      <c r="U27" s="770">
        <f>H27</f>
        <v>100</v>
      </c>
      <c r="V27" s="769" t="s">
        <v>17</v>
      </c>
      <c r="W27" s="770">
        <f>J27</f>
        <v>100</v>
      </c>
      <c r="X27" s="771"/>
      <c r="Y27" s="3239"/>
      <c r="Z27" s="54">
        <f>Q27</f>
        <v>111</v>
      </c>
      <c r="AA27" s="1809">
        <f>D27/F27</f>
        <v>1</v>
      </c>
      <c r="AB27" s="1809">
        <f>D27/H27</f>
        <v>1</v>
      </c>
      <c r="AC27" s="1809">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39"/>
      <c r="Q28" s="1808">
        <f t="shared" si="11"/>
        <v>111</v>
      </c>
      <c r="R28" s="773" t="s">
        <v>17</v>
      </c>
      <c r="S28" s="774">
        <f t="shared" ref="S28:S40" si="12">F28</f>
        <v>100</v>
      </c>
      <c r="T28" s="773" t="s">
        <v>17</v>
      </c>
      <c r="U28" s="774">
        <f t="shared" ref="U28:U40" si="13">H28</f>
        <v>100</v>
      </c>
      <c r="V28" s="773" t="s">
        <v>17</v>
      </c>
      <c r="W28" s="774">
        <f t="shared" ref="W28:W40" si="14">J28</f>
        <v>100</v>
      </c>
      <c r="X28" s="1811"/>
      <c r="Y28" s="3239"/>
      <c r="Z28" s="1812">
        <f t="shared" ref="Z28:Z40" si="15">Q28</f>
        <v>111</v>
      </c>
      <c r="AA28" s="1809">
        <f t="shared" si="3"/>
        <v>1</v>
      </c>
      <c r="AB28" s="1809">
        <f t="shared" si="4"/>
        <v>1</v>
      </c>
      <c r="AC28" s="1809">
        <f t="shared" si="5"/>
        <v>1</v>
      </c>
    </row>
    <row r="29" spans="1:29" ht="15">
      <c r="A29" s="465" t="s">
        <v>2552</v>
      </c>
      <c r="B29" s="70" t="s">
        <v>2682</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63" t="s">
        <v>2554</v>
      </c>
      <c r="Q29" s="1808" t="str">
        <f t="shared" si="11"/>
        <v>建筑类型</v>
      </c>
      <c r="R29" s="773" t="s">
        <v>17</v>
      </c>
      <c r="S29" s="774">
        <f t="shared" si="12"/>
        <v>100</v>
      </c>
      <c r="T29" s="773" t="s">
        <v>17</v>
      </c>
      <c r="U29" s="774">
        <f t="shared" si="13"/>
        <v>100</v>
      </c>
      <c r="V29" s="773" t="s">
        <v>17</v>
      </c>
      <c r="W29" s="774">
        <f t="shared" si="14"/>
        <v>100</v>
      </c>
      <c r="X29" s="1811"/>
      <c r="Y29" s="3243" t="s">
        <v>2554</v>
      </c>
      <c r="Z29" s="1812" t="str">
        <f t="shared" si="15"/>
        <v>建筑类型</v>
      </c>
      <c r="AA29" s="1809">
        <f t="shared" si="3"/>
        <v>1</v>
      </c>
      <c r="AB29" s="1809">
        <f t="shared" si="4"/>
        <v>1</v>
      </c>
      <c r="AC29" s="1809">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43"/>
      <c r="Q30" s="775" t="str">
        <f t="shared" si="11"/>
        <v>项目建筑规模</v>
      </c>
      <c r="R30" s="776" t="s">
        <v>17</v>
      </c>
      <c r="S30" s="777" t="e">
        <f t="shared" si="12"/>
        <v>#N/A</v>
      </c>
      <c r="T30" s="776" t="s">
        <v>17</v>
      </c>
      <c r="U30" s="777" t="e">
        <f t="shared" si="13"/>
        <v>#N/A</v>
      </c>
      <c r="V30" s="776" t="s">
        <v>17</v>
      </c>
      <c r="W30" s="777" t="e">
        <f t="shared" si="14"/>
        <v>#N/A</v>
      </c>
      <c r="X30" s="778"/>
      <c r="Y30" s="3243"/>
      <c r="Z30" s="779" t="str">
        <f t="shared" si="15"/>
        <v>项目建筑规模</v>
      </c>
      <c r="AA30" s="1809" t="e">
        <f t="shared" si="3"/>
        <v>#N/A</v>
      </c>
      <c r="AB30" s="1809" t="e">
        <f t="shared" si="4"/>
        <v>#N/A</v>
      </c>
      <c r="AC30" s="1809"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43"/>
      <c r="Q31" s="1808" t="str">
        <f t="shared" si="11"/>
        <v>建筑结构</v>
      </c>
      <c r="R31" s="773" t="s">
        <v>17</v>
      </c>
      <c r="S31" s="774">
        <f t="shared" si="12"/>
        <v>100</v>
      </c>
      <c r="T31" s="773" t="s">
        <v>17</v>
      </c>
      <c r="U31" s="774">
        <f t="shared" si="13"/>
        <v>100</v>
      </c>
      <c r="V31" s="773" t="s">
        <v>17</v>
      </c>
      <c r="W31" s="774">
        <f t="shared" si="14"/>
        <v>100</v>
      </c>
      <c r="X31" s="1811"/>
      <c r="Y31" s="3243"/>
      <c r="Z31" s="1812" t="str">
        <f t="shared" si="15"/>
        <v>建筑结构</v>
      </c>
      <c r="AA31" s="1809">
        <f t="shared" si="3"/>
        <v>1</v>
      </c>
      <c r="AB31" s="1809">
        <f t="shared" si="4"/>
        <v>1</v>
      </c>
      <c r="AC31" s="1809">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43"/>
      <c r="Q32" s="1808" t="str">
        <f t="shared" si="11"/>
        <v>公共部分装修</v>
      </c>
      <c r="R32" s="773" t="s">
        <v>17</v>
      </c>
      <c r="S32" s="774">
        <f t="shared" si="12"/>
        <v>100</v>
      </c>
      <c r="T32" s="773" t="s">
        <v>17</v>
      </c>
      <c r="U32" s="774">
        <f t="shared" si="13"/>
        <v>100</v>
      </c>
      <c r="V32" s="773" t="s">
        <v>17</v>
      </c>
      <c r="W32" s="774">
        <f t="shared" si="14"/>
        <v>100</v>
      </c>
      <c r="X32" s="1811"/>
      <c r="Y32" s="3243"/>
      <c r="Z32" s="1812" t="str">
        <f t="shared" si="15"/>
        <v>公共部分装修</v>
      </c>
      <c r="AA32" s="1809">
        <f t="shared" si="3"/>
        <v>1</v>
      </c>
      <c r="AB32" s="1809">
        <f t="shared" si="4"/>
        <v>1</v>
      </c>
      <c r="AC32" s="1809">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43"/>
      <c r="Q33" s="1808" t="str">
        <f t="shared" si="11"/>
        <v>成新度</v>
      </c>
      <c r="R33" s="773" t="s">
        <v>17</v>
      </c>
      <c r="S33" s="774" t="e">
        <f t="shared" si="12"/>
        <v>#N/A</v>
      </c>
      <c r="T33" s="773" t="s">
        <v>17</v>
      </c>
      <c r="U33" s="774" t="e">
        <f t="shared" si="13"/>
        <v>#N/A</v>
      </c>
      <c r="V33" s="773" t="s">
        <v>17</v>
      </c>
      <c r="W33" s="774" t="e">
        <f t="shared" si="14"/>
        <v>#N/A</v>
      </c>
      <c r="X33" s="1811"/>
      <c r="Y33" s="3243"/>
      <c r="Z33" s="1812" t="str">
        <f t="shared" si="15"/>
        <v>成新度</v>
      </c>
      <c r="AA33" s="1809" t="e">
        <f t="shared" si="3"/>
        <v>#N/A</v>
      </c>
      <c r="AB33" s="1809" t="e">
        <f t="shared" si="4"/>
        <v>#N/A</v>
      </c>
      <c r="AC33" s="1809"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43"/>
      <c r="Q34" s="1793" t="str">
        <f t="shared" si="11"/>
        <v>物业管理</v>
      </c>
      <c r="R34" s="769" t="s">
        <v>17</v>
      </c>
      <c r="S34" s="770">
        <f t="shared" si="12"/>
        <v>100</v>
      </c>
      <c r="T34" s="769" t="s">
        <v>17</v>
      </c>
      <c r="U34" s="770">
        <f t="shared" si="13"/>
        <v>100</v>
      </c>
      <c r="V34" s="769" t="s">
        <v>17</v>
      </c>
      <c r="W34" s="770">
        <f t="shared" si="14"/>
        <v>100</v>
      </c>
      <c r="X34" s="771"/>
      <c r="Y34" s="3243"/>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43" t="s">
        <v>2554</v>
      </c>
      <c r="Q35" s="1808" t="str">
        <f t="shared" si="11"/>
        <v>市政基础设施</v>
      </c>
      <c r="R35" s="773" t="s">
        <v>17</v>
      </c>
      <c r="S35" s="774">
        <f t="shared" si="12"/>
        <v>100</v>
      </c>
      <c r="T35" s="773" t="s">
        <v>17</v>
      </c>
      <c r="U35" s="774">
        <f t="shared" si="13"/>
        <v>100</v>
      </c>
      <c r="V35" s="773" t="s">
        <v>17</v>
      </c>
      <c r="W35" s="774">
        <f t="shared" si="14"/>
        <v>100</v>
      </c>
      <c r="X35" s="1811"/>
      <c r="Y35" s="3243" t="s">
        <v>2554</v>
      </c>
      <c r="Z35" s="1812" t="str">
        <f t="shared" si="15"/>
        <v>市政基础设施</v>
      </c>
      <c r="AA35" s="1809">
        <f t="shared" si="3"/>
        <v>1</v>
      </c>
      <c r="AB35" s="1809">
        <f t="shared" si="4"/>
        <v>1</v>
      </c>
      <c r="AC35" s="1809">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43"/>
      <c r="Q36" s="1808" t="str">
        <f t="shared" si="11"/>
        <v>内部装修</v>
      </c>
      <c r="R36" s="773" t="s">
        <v>17</v>
      </c>
      <c r="S36" s="774">
        <f t="shared" si="12"/>
        <v>100</v>
      </c>
      <c r="T36" s="773" t="s">
        <v>17</v>
      </c>
      <c r="U36" s="774">
        <f t="shared" si="13"/>
        <v>100</v>
      </c>
      <c r="V36" s="773" t="s">
        <v>17</v>
      </c>
      <c r="W36" s="774">
        <f t="shared" si="14"/>
        <v>100</v>
      </c>
      <c r="X36" s="1811"/>
      <c r="Y36" s="3243"/>
      <c r="Z36" s="1812" t="str">
        <f t="shared" si="15"/>
        <v>内部装修</v>
      </c>
      <c r="AA36" s="1809">
        <f t="shared" si="3"/>
        <v>1</v>
      </c>
      <c r="AB36" s="1809">
        <f t="shared" si="4"/>
        <v>1</v>
      </c>
      <c r="AC36" s="1809">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43"/>
      <c r="Q37" s="1808" t="str">
        <f t="shared" si="11"/>
        <v>内部装修状况</v>
      </c>
      <c r="R37" s="773" t="s">
        <v>17</v>
      </c>
      <c r="S37" s="774">
        <f t="shared" si="12"/>
        <v>100</v>
      </c>
      <c r="T37" s="773" t="s">
        <v>17</v>
      </c>
      <c r="U37" s="774">
        <f t="shared" si="13"/>
        <v>100</v>
      </c>
      <c r="V37" s="773" t="s">
        <v>17</v>
      </c>
      <c r="W37" s="774">
        <f t="shared" si="14"/>
        <v>100</v>
      </c>
      <c r="X37" s="1811"/>
      <c r="Y37" s="3243"/>
      <c r="Z37" s="1812" t="str">
        <f t="shared" si="15"/>
        <v>内部装修状况</v>
      </c>
      <c r="AA37" s="1809">
        <f t="shared" si="3"/>
        <v>1</v>
      </c>
      <c r="AB37" s="1809">
        <f t="shared" si="4"/>
        <v>1</v>
      </c>
      <c r="AC37" s="1809">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43"/>
      <c r="Q38" s="775">
        <f t="shared" si="11"/>
        <v>111</v>
      </c>
      <c r="R38" s="776" t="s">
        <v>17</v>
      </c>
      <c r="S38" s="777">
        <f t="shared" si="12"/>
        <v>100</v>
      </c>
      <c r="T38" s="776" t="s">
        <v>17</v>
      </c>
      <c r="U38" s="777">
        <f t="shared" si="13"/>
        <v>100</v>
      </c>
      <c r="V38" s="776" t="s">
        <v>17</v>
      </c>
      <c r="W38" s="777">
        <f t="shared" si="14"/>
        <v>100</v>
      </c>
      <c r="X38" s="778"/>
      <c r="Y38" s="3243"/>
      <c r="Z38" s="779">
        <f t="shared" si="15"/>
        <v>111</v>
      </c>
      <c r="AA38" s="1809">
        <f t="shared" si="3"/>
        <v>1</v>
      </c>
      <c r="AB38" s="1809">
        <f t="shared" si="4"/>
        <v>1</v>
      </c>
      <c r="AC38" s="1809">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43"/>
      <c r="Q39" s="1808">
        <f t="shared" si="11"/>
        <v>111</v>
      </c>
      <c r="R39" s="773" t="s">
        <v>17</v>
      </c>
      <c r="S39" s="774">
        <f t="shared" si="12"/>
        <v>100</v>
      </c>
      <c r="T39" s="773" t="s">
        <v>17</v>
      </c>
      <c r="U39" s="774">
        <f t="shared" si="13"/>
        <v>100</v>
      </c>
      <c r="V39" s="773" t="s">
        <v>17</v>
      </c>
      <c r="W39" s="774">
        <f t="shared" si="14"/>
        <v>100</v>
      </c>
      <c r="X39" s="1811"/>
      <c r="Y39" s="3243"/>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44"/>
      <c r="Q40" s="1808">
        <f t="shared" si="11"/>
        <v>111</v>
      </c>
      <c r="R40" s="773" t="s">
        <v>17</v>
      </c>
      <c r="S40" s="774">
        <f t="shared" si="12"/>
        <v>100</v>
      </c>
      <c r="T40" s="773" t="s">
        <v>17</v>
      </c>
      <c r="U40" s="774">
        <f t="shared" si="13"/>
        <v>100</v>
      </c>
      <c r="V40" s="773" t="s">
        <v>17</v>
      </c>
      <c r="W40" s="774">
        <f t="shared" si="14"/>
        <v>100</v>
      </c>
      <c r="X40" s="1811"/>
      <c r="Y40" s="3244"/>
      <c r="Z40" s="1812">
        <f t="shared" si="15"/>
        <v>111</v>
      </c>
      <c r="AA40" s="1809">
        <f t="shared" si="3"/>
        <v>1</v>
      </c>
      <c r="AB40" s="1809">
        <f t="shared" si="4"/>
        <v>1</v>
      </c>
      <c r="AC40" s="1809">
        <f t="shared" si="5"/>
        <v>1</v>
      </c>
    </row>
    <row r="41" spans="1:29" ht="15">
      <c r="A41" s="478" t="s">
        <v>2566</v>
      </c>
      <c r="B41" s="479"/>
      <c r="C41" s="1406" t="s">
        <v>1</v>
      </c>
      <c r="D41" s="1407"/>
      <c r="E41" s="1408"/>
      <c r="F41" s="1409"/>
      <c r="G41" s="1410"/>
      <c r="H41" s="1411"/>
      <c r="I41" s="1408"/>
      <c r="J41" s="1411"/>
      <c r="K41" s="782"/>
      <c r="L41" s="1143"/>
      <c r="M41" s="1144"/>
      <c r="N41" s="1131"/>
      <c r="O41" s="1144"/>
      <c r="P41" s="3236" t="str">
        <f>A41</f>
        <v>成交单价（元/平方米）</v>
      </c>
      <c r="Q41" s="3236"/>
      <c r="R41" s="3237">
        <f>E41</f>
        <v>0</v>
      </c>
      <c r="S41" s="3237"/>
      <c r="T41" s="3237">
        <f>G41</f>
        <v>0</v>
      </c>
      <c r="U41" s="3237"/>
      <c r="V41" s="3237">
        <f>I41</f>
        <v>0</v>
      </c>
      <c r="W41" s="3237"/>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3"/>
      <c r="M42" s="1144"/>
      <c r="N42" s="1131"/>
      <c r="O42" s="1144"/>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3"/>
      <c r="M43" s="1144"/>
      <c r="N43" s="1144"/>
      <c r="O43" s="1144"/>
      <c r="P43" s="3233" t="str">
        <f>A43</f>
        <v>估价对象XX用房的比较价值（楼面单价，元/平方米）</v>
      </c>
      <c r="Q43" s="3234"/>
      <c r="R43" s="3235" t="e">
        <f>IF(F1="售价",ROUND(AVERAGE(R42:V42),0),ROUND(AVERAGE(R42:V42),1))</f>
        <v>#DIV/0!</v>
      </c>
      <c r="S43" s="3235"/>
      <c r="T43" s="3235"/>
      <c r="U43" s="3235"/>
      <c r="V43" s="3235"/>
      <c r="W43" s="3235"/>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2663</v>
      </c>
      <c r="B51" s="758"/>
      <c r="C51" s="763"/>
      <c r="D51" s="763"/>
      <c r="E51" s="763"/>
      <c r="F51" s="764"/>
      <c r="G51" s="764"/>
      <c r="H51" s="763"/>
      <c r="I51" s="763"/>
      <c r="J51" s="763"/>
      <c r="K51" s="1160"/>
      <c r="L51" s="1161"/>
      <c r="M51" s="1159"/>
      <c r="N51" s="1159"/>
      <c r="O51" s="1159"/>
      <c r="P51" s="502"/>
      <c r="Q51" s="503"/>
    </row>
    <row r="52" spans="1:17" s="507" customFormat="1" ht="15">
      <c r="A52" s="504" t="s">
        <v>2537</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2577</v>
      </c>
      <c r="B57" s="527" t="s">
        <v>2543</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2552</v>
      </c>
      <c r="B88" s="527" t="s">
        <v>2601</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2603</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2605</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2607</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2609</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0"/>
      <c r="F1" s="258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2316</v>
      </c>
      <c r="B2" s="1417" t="e">
        <f ca="1">IF(C2="——",IF(B37="元/平方米",ROUND(C39*D3/10000,0),ROUND(F3*C39/10000,0)),IF(B37="元/平方米",ROUND(C39*D3/10000,0),ROUND(F3*C39/10000,0))-D2)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02" t="s">
        <v>2637</v>
      </c>
      <c r="AC4" s="3201" t="s">
        <v>2638</v>
      </c>
    </row>
    <row r="5" spans="1:29"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02"/>
      <c r="AC5" s="3202"/>
    </row>
    <row r="6" spans="1:29" ht="15.75" thickBot="1">
      <c r="A6" s="405"/>
      <c r="B6" s="406"/>
      <c r="C6" s="3214" t="s">
        <v>2535</v>
      </c>
      <c r="D6" s="3215"/>
      <c r="E6" s="3216" t="s">
        <v>2535</v>
      </c>
      <c r="F6" s="3217"/>
      <c r="G6" s="3214" t="s">
        <v>2535</v>
      </c>
      <c r="H6" s="3215"/>
      <c r="I6" s="3214" t="s">
        <v>2535</v>
      </c>
      <c r="J6" s="3215"/>
      <c r="K6" s="609" t="s">
        <v>2536</v>
      </c>
      <c r="L6" s="1130"/>
      <c r="M6" s="1131"/>
      <c r="N6" s="1131"/>
      <c r="O6" s="1131"/>
      <c r="P6" s="3227"/>
      <c r="Q6" s="3228"/>
      <c r="R6" s="3208"/>
      <c r="S6" s="3209"/>
      <c r="T6" s="3229"/>
      <c r="U6" s="3230"/>
      <c r="V6" s="3231"/>
      <c r="W6" s="3231"/>
      <c r="X6" s="1811"/>
      <c r="Y6" s="3229"/>
      <c r="Z6" s="3230"/>
      <c r="AA6" s="3203"/>
      <c r="AB6" s="3203"/>
      <c r="AC6" s="3203"/>
    </row>
    <row r="7" spans="1:29" s="116" customFormat="1" ht="15.75" thickBot="1">
      <c r="A7" s="407" t="s">
        <v>2537</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04" t="s">
        <v>2538</v>
      </c>
      <c r="Q7" s="3232"/>
      <c r="R7" s="769" t="s">
        <v>17</v>
      </c>
      <c r="S7" s="770">
        <f t="shared" ref="S7:S14" si="0">F7</f>
        <v>0</v>
      </c>
      <c r="T7" s="769" t="s">
        <v>17</v>
      </c>
      <c r="U7" s="770">
        <f t="shared" ref="U7:U14" si="1">H7</f>
        <v>0</v>
      </c>
      <c r="V7" s="769" t="s">
        <v>17</v>
      </c>
      <c r="W7" s="770">
        <f t="shared" ref="W7:W14" si="2">J7</f>
        <v>0</v>
      </c>
      <c r="X7" s="771"/>
      <c r="Y7" s="3204" t="s">
        <v>2538</v>
      </c>
      <c r="Z7" s="3205"/>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36" t="s">
        <v>2544</v>
      </c>
      <c r="Q9" s="1793" t="str">
        <f t="shared" ref="Q9:Q14" si="6">B9</f>
        <v>用途</v>
      </c>
      <c r="R9" s="769" t="s">
        <v>17</v>
      </c>
      <c r="S9" s="770">
        <f t="shared" si="0"/>
        <v>100</v>
      </c>
      <c r="T9" s="769" t="s">
        <v>17</v>
      </c>
      <c r="U9" s="770">
        <f t="shared" si="1"/>
        <v>100</v>
      </c>
      <c r="V9" s="769" t="s">
        <v>17</v>
      </c>
      <c r="W9" s="770">
        <f t="shared" si="2"/>
        <v>100</v>
      </c>
      <c r="X9" s="771"/>
      <c r="Y9" s="3031"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36"/>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36"/>
      <c r="Q11" s="1793">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36"/>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36"/>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71">
      <c r="A14" s="400" t="s">
        <v>2548</v>
      </c>
      <c r="B14" s="62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38" t="s">
        <v>2549</v>
      </c>
      <c r="Q14" s="1808" t="str">
        <f t="shared" si="6"/>
        <v>交通便捷度</v>
      </c>
      <c r="R14" s="773" t="s">
        <v>17</v>
      </c>
      <c r="S14" s="774">
        <f t="shared" si="0"/>
        <v>100</v>
      </c>
      <c r="T14" s="773" t="s">
        <v>17</v>
      </c>
      <c r="U14" s="774">
        <f t="shared" si="1"/>
        <v>100</v>
      </c>
      <c r="V14" s="773" t="s">
        <v>17</v>
      </c>
      <c r="W14" s="774">
        <f t="shared" si="2"/>
        <v>100</v>
      </c>
      <c r="X14" s="1811"/>
      <c r="Y14" s="3238" t="s">
        <v>2549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40"/>
      <c r="M15" s="1131"/>
      <c r="N15" s="1131"/>
      <c r="O15" s="1131"/>
      <c r="P15" s="3239"/>
      <c r="Q15" s="1808"/>
      <c r="R15" s="773"/>
      <c r="S15" s="774"/>
      <c r="T15" s="773"/>
      <c r="U15" s="774"/>
      <c r="V15" s="773"/>
      <c r="W15" s="774"/>
      <c r="X15" s="1811"/>
      <c r="Y15" s="3239"/>
      <c r="Z15" s="1812"/>
      <c r="AA15" s="1809">
        <v>1</v>
      </c>
      <c r="AB15" s="1809">
        <v>1</v>
      </c>
      <c r="AC15" s="1809">
        <v>1</v>
      </c>
    </row>
    <row r="16" spans="1:29" ht="71.25">
      <c r="A16" s="403"/>
      <c r="B16" s="630" t="s">
        <v>2677</v>
      </c>
      <c r="C16" s="2606" t="str">
        <f>IF(B1="工业",估价对象房地状况!G5,估价对象房地状况!C7)</f>
        <v>估价对象附近分布较多银行、医院、餐饮、购物中心等公共配套设施，程度较好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39"/>
      <c r="Q16" s="1808" t="str">
        <f>B16</f>
        <v>公共配套设施</v>
      </c>
      <c r="R16" s="773" t="s">
        <v>17</v>
      </c>
      <c r="S16" s="774">
        <f>F16</f>
        <v>100</v>
      </c>
      <c r="T16" s="773" t="s">
        <v>17</v>
      </c>
      <c r="U16" s="774">
        <f>H16</f>
        <v>100</v>
      </c>
      <c r="V16" s="773" t="s">
        <v>17</v>
      </c>
      <c r="W16" s="774">
        <f>J16</f>
        <v>100</v>
      </c>
      <c r="X16" s="1811"/>
      <c r="Y16" s="3239"/>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40"/>
      <c r="M17" s="1131"/>
      <c r="N17" s="1131"/>
      <c r="O17" s="1131"/>
      <c r="P17" s="3239"/>
      <c r="Q17" s="1808"/>
      <c r="R17" s="773"/>
      <c r="S17" s="774"/>
      <c r="T17" s="773"/>
      <c r="U17" s="774"/>
      <c r="V17" s="773"/>
      <c r="W17" s="774"/>
      <c r="X17" s="1811"/>
      <c r="Y17" s="3239"/>
      <c r="Z17" s="1812"/>
      <c r="AA17" s="1809">
        <v>1</v>
      </c>
      <c r="AB17" s="1809">
        <v>1</v>
      </c>
      <c r="AC17" s="1809">
        <v>1</v>
      </c>
    </row>
    <row r="18" spans="1:29" ht="15">
      <c r="A18" s="403"/>
      <c r="B18" s="632" t="s">
        <v>2678</v>
      </c>
      <c r="C18" s="2606" t="str">
        <f>IF(B1="工业",估价对象房地状况!G6,估价对象房地状况!C8)</f>
        <v>七通一平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39"/>
      <c r="Q18" s="1808" t="str">
        <f>B18</f>
        <v>基础设施水平</v>
      </c>
      <c r="R18" s="773" t="s">
        <v>17</v>
      </c>
      <c r="S18" s="774">
        <f>F18</f>
        <v>100</v>
      </c>
      <c r="T18" s="773" t="s">
        <v>17</v>
      </c>
      <c r="U18" s="774">
        <f>H18</f>
        <v>100</v>
      </c>
      <c r="V18" s="773" t="s">
        <v>17</v>
      </c>
      <c r="W18" s="774">
        <f>J18</f>
        <v>100</v>
      </c>
      <c r="X18" s="1811"/>
      <c r="Y18" s="3239"/>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3"/>
      <c r="L19" s="1140"/>
      <c r="M19" s="1131"/>
      <c r="N19" s="1131"/>
      <c r="O19" s="1131"/>
      <c r="P19" s="3239"/>
      <c r="Q19" s="1808"/>
      <c r="R19" s="773"/>
      <c r="S19" s="774"/>
      <c r="T19" s="773"/>
      <c r="U19" s="774"/>
      <c r="V19" s="773"/>
      <c r="W19" s="774"/>
      <c r="X19" s="1811"/>
      <c r="Y19" s="3239"/>
      <c r="Z19" s="1812"/>
      <c r="AA19" s="1809">
        <v>1</v>
      </c>
      <c r="AB19" s="1809">
        <v>1</v>
      </c>
      <c r="AC19" s="1809">
        <v>1</v>
      </c>
    </row>
    <row r="20" spans="1:29" ht="128.25">
      <c r="A20" s="403"/>
      <c r="B20" s="63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39"/>
      <c r="Q20" s="1808" t="str">
        <f>B20</f>
        <v>自然及人文环境</v>
      </c>
      <c r="R20" s="773" t="s">
        <v>17</v>
      </c>
      <c r="S20" s="774">
        <f>F20</f>
        <v>100</v>
      </c>
      <c r="T20" s="773" t="s">
        <v>17</v>
      </c>
      <c r="U20" s="774">
        <f>H20</f>
        <v>100</v>
      </c>
      <c r="V20" s="773" t="s">
        <v>17</v>
      </c>
      <c r="W20" s="774">
        <f>J20</f>
        <v>100</v>
      </c>
      <c r="X20" s="1811"/>
      <c r="Y20" s="3239"/>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40"/>
      <c r="M21" s="1131"/>
      <c r="N21" s="1131"/>
      <c r="O21" s="1131"/>
      <c r="P21" s="3239"/>
      <c r="Q21" s="1808"/>
      <c r="R21" s="773"/>
      <c r="S21" s="774"/>
      <c r="T21" s="773"/>
      <c r="U21" s="774"/>
      <c r="V21" s="773"/>
      <c r="W21" s="774"/>
      <c r="X21" s="1811"/>
      <c r="Y21" s="3239"/>
      <c r="Z21" s="1812"/>
      <c r="AA21" s="1809">
        <v>1</v>
      </c>
      <c r="AB21" s="1809">
        <v>1</v>
      </c>
      <c r="AC21" s="1809">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39"/>
      <c r="Q22" s="1808" t="str">
        <f>B22</f>
        <v>楼层</v>
      </c>
      <c r="R22" s="773" t="s">
        <v>17</v>
      </c>
      <c r="S22" s="774">
        <f>F22</f>
        <v>100</v>
      </c>
      <c r="T22" s="773" t="s">
        <v>17</v>
      </c>
      <c r="U22" s="774">
        <f>H22</f>
        <v>100</v>
      </c>
      <c r="V22" s="773" t="s">
        <v>17</v>
      </c>
      <c r="W22" s="774">
        <f>J22</f>
        <v>100</v>
      </c>
      <c r="X22" s="1811"/>
      <c r="Y22" s="3239"/>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39"/>
      <c r="Q23" s="1808">
        <f>B23</f>
        <v>111</v>
      </c>
      <c r="R23" s="773" t="s">
        <v>17</v>
      </c>
      <c r="S23" s="774">
        <f>F23</f>
        <v>100</v>
      </c>
      <c r="T23" s="773" t="s">
        <v>17</v>
      </c>
      <c r="U23" s="774">
        <f>H23</f>
        <v>100</v>
      </c>
      <c r="V23" s="773" t="s">
        <v>17</v>
      </c>
      <c r="W23" s="774">
        <f>J23</f>
        <v>100</v>
      </c>
      <c r="X23" s="1811"/>
      <c r="Y23" s="3239"/>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39"/>
      <c r="Q24" s="1808">
        <f t="shared" ref="Q24:Q36" si="11">B24</f>
        <v>111</v>
      </c>
      <c r="R24" s="773" t="s">
        <v>17</v>
      </c>
      <c r="S24" s="774">
        <f>F24</f>
        <v>100</v>
      </c>
      <c r="T24" s="773" t="s">
        <v>17</v>
      </c>
      <c r="U24" s="774">
        <f>H24</f>
        <v>100</v>
      </c>
      <c r="V24" s="773" t="s">
        <v>17</v>
      </c>
      <c r="W24" s="774">
        <f>J24</f>
        <v>100</v>
      </c>
      <c r="X24" s="1811"/>
      <c r="Y24" s="3239"/>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39"/>
      <c r="Q25" s="1793">
        <f t="shared" si="11"/>
        <v>111</v>
      </c>
      <c r="R25" s="769" t="s">
        <v>17</v>
      </c>
      <c r="S25" s="770">
        <f>F25</f>
        <v>100</v>
      </c>
      <c r="T25" s="769" t="s">
        <v>17</v>
      </c>
      <c r="U25" s="770">
        <f>H25</f>
        <v>100</v>
      </c>
      <c r="V25" s="769" t="s">
        <v>17</v>
      </c>
      <c r="W25" s="770">
        <f>J25</f>
        <v>100</v>
      </c>
      <c r="X25" s="771"/>
      <c r="Y25" s="3239"/>
      <c r="Z25" s="54">
        <f>Q25</f>
        <v>111</v>
      </c>
      <c r="AA25" s="1809">
        <f>D25/F25</f>
        <v>1</v>
      </c>
      <c r="AB25" s="1809">
        <f>D25/H25</f>
        <v>1</v>
      </c>
      <c r="AC25" s="1809">
        <f>D25/J25</f>
        <v>1</v>
      </c>
    </row>
    <row r="26" spans="1:29" ht="15">
      <c r="A26" s="651" t="s">
        <v>2552</v>
      </c>
      <c r="B26" s="69" t="s">
        <v>2701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63"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3" t="s">
        <v>2554</v>
      </c>
      <c r="Z26" s="1812" t="str">
        <f t="shared" ref="Z26:Z36" si="15">Q26</f>
        <v>配套类型</v>
      </c>
      <c r="AA26" s="1809">
        <f t="shared" si="3"/>
        <v>1</v>
      </c>
      <c r="AB26" s="1809">
        <f t="shared" si="4"/>
        <v>1</v>
      </c>
      <c r="AC26" s="1809">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43"/>
      <c r="Q27" s="775" t="str">
        <f t="shared" si="11"/>
        <v>项目停车位配比</v>
      </c>
      <c r="R27" s="776" t="s">
        <v>17</v>
      </c>
      <c r="S27" s="777">
        <f t="shared" si="12"/>
        <v>100</v>
      </c>
      <c r="T27" s="776" t="s">
        <v>17</v>
      </c>
      <c r="U27" s="777">
        <f t="shared" si="13"/>
        <v>100</v>
      </c>
      <c r="V27" s="776" t="s">
        <v>17</v>
      </c>
      <c r="W27" s="777">
        <f t="shared" si="14"/>
        <v>100</v>
      </c>
      <c r="X27" s="778"/>
      <c r="Y27" s="3243"/>
      <c r="Z27" s="779" t="str">
        <f t="shared" si="15"/>
        <v>项目停车位配比</v>
      </c>
      <c r="AA27" s="1809">
        <f t="shared" si="3"/>
        <v>1</v>
      </c>
      <c r="AB27" s="1809">
        <f t="shared" si="4"/>
        <v>1</v>
      </c>
      <c r="AC27" s="1809">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43"/>
      <c r="Q28" s="1808" t="str">
        <f t="shared" si="11"/>
        <v>公共部分装修</v>
      </c>
      <c r="R28" s="773" t="s">
        <v>17</v>
      </c>
      <c r="S28" s="774">
        <f t="shared" si="12"/>
        <v>100</v>
      </c>
      <c r="T28" s="773" t="s">
        <v>17</v>
      </c>
      <c r="U28" s="774">
        <f t="shared" si="13"/>
        <v>100</v>
      </c>
      <c r="V28" s="773" t="s">
        <v>17</v>
      </c>
      <c r="W28" s="774">
        <f t="shared" si="14"/>
        <v>100</v>
      </c>
      <c r="X28" s="1811"/>
      <c r="Y28" s="3243"/>
      <c r="Z28" s="1812" t="str">
        <f t="shared" si="15"/>
        <v>公共部分装修</v>
      </c>
      <c r="AA28" s="1809">
        <f t="shared" si="3"/>
        <v>1</v>
      </c>
      <c r="AB28" s="1809">
        <f t="shared" si="4"/>
        <v>1</v>
      </c>
      <c r="AC28" s="1809">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43"/>
      <c r="Q29" s="1808" t="str">
        <f t="shared" si="11"/>
        <v>成新率</v>
      </c>
      <c r="R29" s="773" t="s">
        <v>17</v>
      </c>
      <c r="S29" s="774" t="e">
        <f t="shared" si="12"/>
        <v>#N/A</v>
      </c>
      <c r="T29" s="773" t="s">
        <v>17</v>
      </c>
      <c r="U29" s="774" t="e">
        <f t="shared" si="13"/>
        <v>#N/A</v>
      </c>
      <c r="V29" s="773" t="s">
        <v>17</v>
      </c>
      <c r="W29" s="774" t="e">
        <f t="shared" si="14"/>
        <v>#N/A</v>
      </c>
      <c r="X29" s="1811"/>
      <c r="Y29" s="3243"/>
      <c r="Z29" s="1812" t="str">
        <f t="shared" si="15"/>
        <v>成新率</v>
      </c>
      <c r="AA29" s="1809" t="e">
        <f t="shared" si="3"/>
        <v>#N/A</v>
      </c>
      <c r="AB29" s="1809" t="e">
        <f t="shared" si="4"/>
        <v>#N/A</v>
      </c>
      <c r="AC29" s="1809"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43"/>
      <c r="Q30" s="1808" t="str">
        <f t="shared" si="11"/>
        <v>物业等级</v>
      </c>
      <c r="R30" s="773" t="s">
        <v>17</v>
      </c>
      <c r="S30" s="774">
        <f t="shared" si="12"/>
        <v>100</v>
      </c>
      <c r="T30" s="773" t="s">
        <v>17</v>
      </c>
      <c r="U30" s="774">
        <f t="shared" si="13"/>
        <v>100</v>
      </c>
      <c r="V30" s="773" t="s">
        <v>17</v>
      </c>
      <c r="W30" s="774">
        <f t="shared" si="14"/>
        <v>100</v>
      </c>
      <c r="X30" s="1811"/>
      <c r="Y30" s="3243"/>
      <c r="Z30" s="1812" t="str">
        <f t="shared" si="15"/>
        <v>物业等级</v>
      </c>
      <c r="AA30" s="1809">
        <f t="shared" si="3"/>
        <v>1</v>
      </c>
      <c r="AB30" s="1809">
        <f t="shared" si="4"/>
        <v>1</v>
      </c>
      <c r="AC30" s="1809">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43"/>
      <c r="Q31" s="1793" t="str">
        <f t="shared" si="11"/>
        <v>停车位面积</v>
      </c>
      <c r="R31" s="769" t="s">
        <v>17</v>
      </c>
      <c r="S31" s="770" t="e">
        <f t="shared" si="12"/>
        <v>#N/A</v>
      </c>
      <c r="T31" s="769" t="s">
        <v>17</v>
      </c>
      <c r="U31" s="770" t="e">
        <f t="shared" si="13"/>
        <v>#N/A</v>
      </c>
      <c r="V31" s="769" t="s">
        <v>17</v>
      </c>
      <c r="W31" s="770" t="e">
        <f t="shared" si="14"/>
        <v>#N/A</v>
      </c>
      <c r="X31" s="771"/>
      <c r="Y31" s="3243"/>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43" t="s">
        <v>2554</v>
      </c>
      <c r="Q32" s="1808" t="str">
        <f t="shared" si="11"/>
        <v>车位类型</v>
      </c>
      <c r="R32" s="773" t="s">
        <v>17</v>
      </c>
      <c r="S32" s="774">
        <f t="shared" si="12"/>
        <v>100</v>
      </c>
      <c r="T32" s="773" t="s">
        <v>17</v>
      </c>
      <c r="U32" s="774">
        <f t="shared" si="13"/>
        <v>100</v>
      </c>
      <c r="V32" s="773" t="s">
        <v>17</v>
      </c>
      <c r="W32" s="774">
        <f t="shared" si="14"/>
        <v>100</v>
      </c>
      <c r="X32" s="1811"/>
      <c r="Y32" s="3243" t="s">
        <v>2554</v>
      </c>
      <c r="Z32" s="1812" t="str">
        <f t="shared" si="15"/>
        <v>车位类型</v>
      </c>
      <c r="AA32" s="1809">
        <f t="shared" si="3"/>
        <v>1</v>
      </c>
      <c r="AB32" s="1809">
        <f t="shared" si="4"/>
        <v>1</v>
      </c>
      <c r="AC32" s="1809">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43"/>
      <c r="Q33" s="1808" t="str">
        <f t="shared" si="11"/>
        <v>是否直接入户</v>
      </c>
      <c r="R33" s="773" t="s">
        <v>17</v>
      </c>
      <c r="S33" s="774">
        <f t="shared" si="12"/>
        <v>100</v>
      </c>
      <c r="T33" s="773" t="s">
        <v>17</v>
      </c>
      <c r="U33" s="774">
        <f t="shared" si="13"/>
        <v>100</v>
      </c>
      <c r="V33" s="773" t="s">
        <v>17</v>
      </c>
      <c r="W33" s="774">
        <f t="shared" si="14"/>
        <v>100</v>
      </c>
      <c r="X33" s="1811"/>
      <c r="Y33" s="3243"/>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43"/>
      <c r="Q34" s="1808">
        <f t="shared" si="11"/>
        <v>111</v>
      </c>
      <c r="R34" s="773" t="s">
        <v>17</v>
      </c>
      <c r="S34" s="774">
        <f t="shared" si="12"/>
        <v>100</v>
      </c>
      <c r="T34" s="773" t="s">
        <v>17</v>
      </c>
      <c r="U34" s="774">
        <f t="shared" si="13"/>
        <v>100</v>
      </c>
      <c r="V34" s="773" t="s">
        <v>17</v>
      </c>
      <c r="W34" s="774">
        <f t="shared" si="14"/>
        <v>100</v>
      </c>
      <c r="X34" s="1811"/>
      <c r="Y34" s="3243"/>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43"/>
      <c r="Q35" s="775">
        <f t="shared" si="11"/>
        <v>111</v>
      </c>
      <c r="R35" s="776" t="s">
        <v>17</v>
      </c>
      <c r="S35" s="777">
        <f t="shared" si="12"/>
        <v>100</v>
      </c>
      <c r="T35" s="776" t="s">
        <v>17</v>
      </c>
      <c r="U35" s="777">
        <f t="shared" si="13"/>
        <v>100</v>
      </c>
      <c r="V35" s="776" t="s">
        <v>17</v>
      </c>
      <c r="W35" s="777">
        <f t="shared" si="14"/>
        <v>100</v>
      </c>
      <c r="X35" s="778"/>
      <c r="Y35" s="3243"/>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43"/>
      <c r="Q36" s="1808">
        <f t="shared" si="11"/>
        <v>111</v>
      </c>
      <c r="R36" s="773" t="s">
        <v>17</v>
      </c>
      <c r="S36" s="774">
        <f t="shared" si="12"/>
        <v>100</v>
      </c>
      <c r="T36" s="773" t="s">
        <v>17</v>
      </c>
      <c r="U36" s="774">
        <f t="shared" si="13"/>
        <v>100</v>
      </c>
      <c r="V36" s="773" t="s">
        <v>17</v>
      </c>
      <c r="W36" s="774">
        <f t="shared" si="14"/>
        <v>100</v>
      </c>
      <c r="X36" s="1811"/>
      <c r="Y36" s="3243"/>
      <c r="Z36" s="1812">
        <f t="shared" si="15"/>
        <v>111</v>
      </c>
      <c r="AA36" s="1809">
        <f t="shared" si="3"/>
        <v>1</v>
      </c>
      <c r="AB36" s="1809">
        <f t="shared" si="4"/>
        <v>1</v>
      </c>
      <c r="AC36" s="1809">
        <f t="shared" si="5"/>
        <v>1</v>
      </c>
    </row>
    <row r="37" spans="1:29" ht="15">
      <c r="A37" s="478" t="s">
        <v>2709</v>
      </c>
      <c r="B37" s="2694" t="s">
        <v>2710</v>
      </c>
      <c r="C37" s="1406" t="s">
        <v>1</v>
      </c>
      <c r="D37" s="1407"/>
      <c r="E37" s="1408"/>
      <c r="F37" s="1409"/>
      <c r="G37" s="1410"/>
      <c r="H37" s="1411"/>
      <c r="I37" s="1408"/>
      <c r="J37" s="1411"/>
      <c r="K37" s="618"/>
      <c r="L37" s="1143"/>
      <c r="M37" s="1144"/>
      <c r="N37" s="1131"/>
      <c r="O37" s="1144"/>
      <c r="P37" s="3236" t="str">
        <f>A37</f>
        <v>成交单价</v>
      </c>
      <c r="Q37" s="3236"/>
      <c r="R37" s="3237">
        <f>E37</f>
        <v>0</v>
      </c>
      <c r="S37" s="3237"/>
      <c r="T37" s="3237">
        <f>G37</f>
        <v>0</v>
      </c>
      <c r="U37" s="3237"/>
      <c r="V37" s="3237">
        <f>I37</f>
        <v>0</v>
      </c>
      <c r="W37" s="3237"/>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3"/>
      <c r="M39" s="1144"/>
      <c r="N39" s="1144"/>
      <c r="O39" s="1144"/>
      <c r="P39" s="3233" t="str">
        <f>A39</f>
        <v>估价对象XX用房的比较价值（楼面单价，元/平方米）</v>
      </c>
      <c r="Q39" s="3234"/>
      <c r="R39" s="3235" t="e">
        <f>IF(F1="售价",ROUND(AVERAGE(R38:V38),0),ROUND(AVERAGE(R38:V38),1))</f>
        <v>#DIV/0!</v>
      </c>
      <c r="S39" s="3235"/>
      <c r="T39" s="3235"/>
      <c r="U39" s="3235"/>
      <c r="V39" s="3235"/>
      <c r="W39" s="3235"/>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2716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2717</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6" customFormat="1" ht="15">
      <c r="A49" s="508"/>
      <c r="B49" s="509"/>
      <c r="C49" s="1564">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2592</v>
      </c>
      <c r="C65" s="577" t="s">
        <v>2586</v>
      </c>
      <c r="D65" s="577" t="s">
        <v>2587</v>
      </c>
      <c r="E65" s="577" t="s">
        <v>2588</v>
      </c>
      <c r="F65" s="577" t="s">
        <v>2589</v>
      </c>
      <c r="G65" s="577" t="s">
        <v>2590</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2678</v>
      </c>
      <c r="C67" s="659" t="s">
        <v>2664</v>
      </c>
      <c r="D67" s="659" t="s">
        <v>2665</v>
      </c>
      <c r="E67" s="659" t="s">
        <v>2666</v>
      </c>
      <c r="F67" s="659" t="s">
        <v>2667</v>
      </c>
      <c r="G67" s="659" t="s">
        <v>2668</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2598</v>
      </c>
      <c r="C69" s="577" t="s">
        <v>2586</v>
      </c>
      <c r="D69" s="577" t="s">
        <v>2587</v>
      </c>
      <c r="E69" s="577" t="s">
        <v>2588</v>
      </c>
      <c r="F69" s="577" t="s">
        <v>2589</v>
      </c>
      <c r="G69" s="577" t="s">
        <v>2590</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2718</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2720</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2722</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2725</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IF(C2="——",ROUND(C37*D3/10000,0),ROUND(C37*D3/10000,0)-D2)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02" t="s">
        <v>2637</v>
      </c>
      <c r="AC4" s="3201" t="s">
        <v>2638</v>
      </c>
    </row>
    <row r="5" spans="1:29"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02"/>
      <c r="AC5" s="3202"/>
    </row>
    <row r="6" spans="1:29" ht="15.75" thickBot="1">
      <c r="A6" s="405"/>
      <c r="B6" s="406"/>
      <c r="C6" s="3214" t="s">
        <v>2535</v>
      </c>
      <c r="D6" s="3215"/>
      <c r="E6" s="3216" t="s">
        <v>2535</v>
      </c>
      <c r="F6" s="3217"/>
      <c r="G6" s="3214" t="s">
        <v>2535</v>
      </c>
      <c r="H6" s="3215"/>
      <c r="I6" s="3214" t="s">
        <v>2535</v>
      </c>
      <c r="J6" s="3215"/>
      <c r="K6" s="609" t="s">
        <v>2536</v>
      </c>
      <c r="L6" s="1130"/>
      <c r="M6" s="1131"/>
      <c r="N6" s="1131"/>
      <c r="O6" s="1131"/>
      <c r="P6" s="3227"/>
      <c r="Q6" s="3228"/>
      <c r="R6" s="3208"/>
      <c r="S6" s="3209"/>
      <c r="T6" s="3229"/>
      <c r="U6" s="3230"/>
      <c r="V6" s="3231"/>
      <c r="W6" s="3231"/>
      <c r="X6" s="1811"/>
      <c r="Y6" s="3229"/>
      <c r="Z6" s="3230"/>
      <c r="AA6" s="3203"/>
      <c r="AB6" s="3203"/>
      <c r="AC6" s="3203"/>
    </row>
    <row r="7" spans="1:29" s="116" customFormat="1" ht="15.75" thickBot="1">
      <c r="A7" s="407" t="s">
        <v>2537</v>
      </c>
      <c r="B7" s="408"/>
      <c r="C7" s="409">
        <f>'数据-取费表'!B2</f>
        <v>43452</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04" t="s">
        <v>2538</v>
      </c>
      <c r="Q7" s="3232"/>
      <c r="R7" s="769" t="s">
        <v>17</v>
      </c>
      <c r="S7" s="770">
        <f t="shared" ref="S7:S14" si="0">F7</f>
        <v>0</v>
      </c>
      <c r="T7" s="769" t="s">
        <v>17</v>
      </c>
      <c r="U7" s="770">
        <f t="shared" ref="U7:U14" si="1">H7</f>
        <v>0</v>
      </c>
      <c r="V7" s="769" t="s">
        <v>17</v>
      </c>
      <c r="W7" s="770">
        <f t="shared" ref="W7:W14" si="2">J7</f>
        <v>0</v>
      </c>
      <c r="X7" s="771"/>
      <c r="Y7" s="3204" t="s">
        <v>2538</v>
      </c>
      <c r="Z7" s="3205"/>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36" t="s">
        <v>2544</v>
      </c>
      <c r="Q9" s="1793" t="str">
        <f t="shared" ref="Q9:Q14" si="6">B9</f>
        <v>用途</v>
      </c>
      <c r="R9" s="769" t="s">
        <v>17</v>
      </c>
      <c r="S9" s="770">
        <f t="shared" si="0"/>
        <v>100</v>
      </c>
      <c r="T9" s="769" t="s">
        <v>17</v>
      </c>
      <c r="U9" s="770">
        <f t="shared" si="1"/>
        <v>100</v>
      </c>
      <c r="V9" s="769" t="s">
        <v>17</v>
      </c>
      <c r="W9" s="770">
        <f t="shared" si="2"/>
        <v>100</v>
      </c>
      <c r="X9" s="771"/>
      <c r="Y9" s="3031"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36"/>
      <c r="Q10" s="1793" t="str">
        <f t="shared" si="6"/>
        <v>土地使用年限（年）</v>
      </c>
      <c r="R10" s="769" t="s">
        <v>17</v>
      </c>
      <c r="S10" s="770">
        <f t="shared" si="0"/>
        <v>100</v>
      </c>
      <c r="T10" s="769" t="s">
        <v>17</v>
      </c>
      <c r="U10" s="770">
        <f t="shared" si="1"/>
        <v>100</v>
      </c>
      <c r="V10" s="769" t="s">
        <v>17</v>
      </c>
      <c r="W10" s="770">
        <f t="shared" si="2"/>
        <v>100</v>
      </c>
      <c r="X10" s="771"/>
      <c r="Y10" s="3031"/>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36"/>
      <c r="Q11" s="1793">
        <f t="shared" si="6"/>
        <v>111</v>
      </c>
      <c r="R11" s="769" t="s">
        <v>17</v>
      </c>
      <c r="S11" s="770">
        <f t="shared" si="0"/>
        <v>100</v>
      </c>
      <c r="T11" s="769" t="s">
        <v>17</v>
      </c>
      <c r="U11" s="770">
        <f t="shared" si="1"/>
        <v>100</v>
      </c>
      <c r="V11" s="769" t="s">
        <v>17</v>
      </c>
      <c r="W11" s="770">
        <f t="shared" si="2"/>
        <v>100</v>
      </c>
      <c r="X11" s="771"/>
      <c r="Y11" s="3031"/>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36"/>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36"/>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71">
      <c r="A14" s="439" t="s">
        <v>2548</v>
      </c>
      <c r="B14" s="68" t="s">
        <v>2698</v>
      </c>
      <c r="C14" s="2692" t="str">
        <f>IF(B1="工业",估价对象房地状况!G4,估价对象房地状况!C6)</f>
        <v>估价对象紧邻中关村大街，紧挨地铁4号线中关村站，附近有302、307、320、332等多条公交线路，估价对象有地下停车场，路边停车位，停车较便捷，综合评价交通便捷度好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38" t="s">
        <v>2549</v>
      </c>
      <c r="Q14" s="1808" t="str">
        <f t="shared" si="6"/>
        <v>交通便捷度</v>
      </c>
      <c r="R14" s="773" t="s">
        <v>17</v>
      </c>
      <c r="S14" s="774">
        <f t="shared" si="0"/>
        <v>100</v>
      </c>
      <c r="T14" s="773" t="s">
        <v>17</v>
      </c>
      <c r="U14" s="774">
        <f t="shared" si="1"/>
        <v>100</v>
      </c>
      <c r="V14" s="773" t="s">
        <v>17</v>
      </c>
      <c r="W14" s="774">
        <f t="shared" si="2"/>
        <v>100</v>
      </c>
      <c r="X14" s="1811"/>
      <c r="Y14" s="3238" t="s">
        <v>2549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40"/>
      <c r="M15" s="1131"/>
      <c r="N15" s="1131"/>
      <c r="O15" s="1139"/>
      <c r="P15" s="3239"/>
      <c r="Q15" s="1808"/>
      <c r="R15" s="773"/>
      <c r="S15" s="774"/>
      <c r="T15" s="773"/>
      <c r="U15" s="774"/>
      <c r="V15" s="773"/>
      <c r="W15" s="774"/>
      <c r="X15" s="1811"/>
      <c r="Y15" s="3239"/>
      <c r="Z15" s="1812"/>
      <c r="AA15" s="1809">
        <v>1</v>
      </c>
      <c r="AB15" s="1809">
        <v>1</v>
      </c>
      <c r="AC15" s="1809">
        <v>1</v>
      </c>
    </row>
    <row r="16" spans="1:29" ht="71.25">
      <c r="A16" s="427"/>
      <c r="B16" s="450" t="s">
        <v>2677</v>
      </c>
      <c r="C16" s="2606" t="str">
        <f>IF(B1="工业",估价对象房地状况!G5,估价对象房地状况!C7)</f>
        <v>估价对象附近分布较多银行、医院、餐饮、购物中心等公共配套设施，程度较好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39"/>
      <c r="Q16" s="1808" t="str">
        <f>B16</f>
        <v>公共配套设施</v>
      </c>
      <c r="R16" s="773" t="s">
        <v>17</v>
      </c>
      <c r="S16" s="774">
        <f>F16</f>
        <v>100</v>
      </c>
      <c r="T16" s="773" t="s">
        <v>17</v>
      </c>
      <c r="U16" s="774">
        <f>H16</f>
        <v>100</v>
      </c>
      <c r="V16" s="773" t="s">
        <v>17</v>
      </c>
      <c r="W16" s="774">
        <f>J16</f>
        <v>100</v>
      </c>
      <c r="X16" s="1811"/>
      <c r="Y16" s="3239"/>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40"/>
      <c r="M17" s="1131"/>
      <c r="N17" s="1131"/>
      <c r="O17" s="1139"/>
      <c r="P17" s="3239"/>
      <c r="Q17" s="1808"/>
      <c r="R17" s="773"/>
      <c r="S17" s="774"/>
      <c r="T17" s="773"/>
      <c r="U17" s="774"/>
      <c r="V17" s="773"/>
      <c r="W17" s="774"/>
      <c r="X17" s="1811"/>
      <c r="Y17" s="3239"/>
      <c r="Z17" s="1812"/>
      <c r="AA17" s="1809">
        <v>1</v>
      </c>
      <c r="AB17" s="1809">
        <v>1</v>
      </c>
      <c r="AC17" s="1809">
        <v>1</v>
      </c>
    </row>
    <row r="18" spans="1:29" ht="15">
      <c r="A18" s="427"/>
      <c r="B18" s="1384" t="s">
        <v>2678</v>
      </c>
      <c r="C18" s="2606" t="str">
        <f>IF(B1="工业",估价对象房地状况!G6,估价对象房地状况!C8)</f>
        <v>七通一平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39"/>
      <c r="Q18" s="1808" t="str">
        <f>B18</f>
        <v>基础设施水平</v>
      </c>
      <c r="R18" s="773" t="s">
        <v>17</v>
      </c>
      <c r="S18" s="774">
        <f>F18</f>
        <v>100</v>
      </c>
      <c r="T18" s="773" t="s">
        <v>17</v>
      </c>
      <c r="U18" s="774">
        <f>H18</f>
        <v>100</v>
      </c>
      <c r="V18" s="773" t="s">
        <v>17</v>
      </c>
      <c r="W18" s="774">
        <f>J18</f>
        <v>100</v>
      </c>
      <c r="X18" s="1811"/>
      <c r="Y18" s="3239"/>
      <c r="Z18" s="1812" t="str">
        <f>Q18</f>
        <v>基础设施水平</v>
      </c>
      <c r="AA18" s="1809">
        <f t="shared" ref="AA18" si="8">D18/F18</f>
        <v>1</v>
      </c>
      <c r="AB18" s="1809">
        <f t="shared" ref="AB18" si="9">D18/H18</f>
        <v>1</v>
      </c>
      <c r="AC18" s="1809">
        <f t="shared" ref="AC18" si="10">D18/J18</f>
        <v>1</v>
      </c>
    </row>
    <row r="19" spans="1:29" ht="15">
      <c r="A19" s="427"/>
      <c r="B19" s="1384"/>
      <c r="C19" s="2607"/>
      <c r="D19" s="449"/>
      <c r="E19" s="2607"/>
      <c r="F19" s="452"/>
      <c r="G19" s="2607"/>
      <c r="H19" s="447"/>
      <c r="I19" s="446"/>
      <c r="J19" s="447"/>
      <c r="K19" s="1383"/>
      <c r="L19" s="1140"/>
      <c r="M19" s="1131"/>
      <c r="N19" s="1131"/>
      <c r="O19" s="1139"/>
      <c r="P19" s="3239"/>
      <c r="Q19" s="1808"/>
      <c r="R19" s="773"/>
      <c r="S19" s="774"/>
      <c r="T19" s="773"/>
      <c r="U19" s="774"/>
      <c r="V19" s="773"/>
      <c r="W19" s="774"/>
      <c r="X19" s="1811"/>
      <c r="Y19" s="3239"/>
      <c r="Z19" s="1812"/>
      <c r="AA19" s="1809">
        <v>1</v>
      </c>
      <c r="AB19" s="1809">
        <v>1</v>
      </c>
      <c r="AC19" s="1809">
        <v>1</v>
      </c>
    </row>
    <row r="20" spans="1:29" ht="128.25">
      <c r="A20" s="427"/>
      <c r="B20" s="450" t="s">
        <v>2699</v>
      </c>
      <c r="C20" s="2606" t="str">
        <f>IF(B1="工业",估价对象房地状况!G7,估价对象房地状况!C9)</f>
        <v>区域自然环境：海淀公园、北京大学未名湖；人文环境：北京大学、北大附中、中关村中学、中国人民大学；综合评价环境状况较好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39"/>
      <c r="Q20" s="1808" t="str">
        <f>B20</f>
        <v>自然及人文环境</v>
      </c>
      <c r="R20" s="773" t="s">
        <v>17</v>
      </c>
      <c r="S20" s="774">
        <f>F20</f>
        <v>100</v>
      </c>
      <c r="T20" s="773" t="s">
        <v>17</v>
      </c>
      <c r="U20" s="774">
        <f>H20</f>
        <v>100</v>
      </c>
      <c r="V20" s="773" t="s">
        <v>17</v>
      </c>
      <c r="W20" s="774">
        <f>J20</f>
        <v>100</v>
      </c>
      <c r="X20" s="1811"/>
      <c r="Y20" s="3239"/>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40"/>
      <c r="M21" s="1131"/>
      <c r="N21" s="1131"/>
      <c r="O21" s="1139"/>
      <c r="P21" s="3239"/>
      <c r="Q21" s="1808"/>
      <c r="R21" s="773"/>
      <c r="S21" s="774"/>
      <c r="T21" s="773"/>
      <c r="U21" s="774"/>
      <c r="V21" s="773"/>
      <c r="W21" s="774"/>
      <c r="X21" s="1811"/>
      <c r="Y21" s="3239"/>
      <c r="Z21" s="1812"/>
      <c r="AA21" s="1809">
        <v>1</v>
      </c>
      <c r="AB21" s="1809">
        <v>1</v>
      </c>
      <c r="AC21" s="1809">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39"/>
      <c r="Q22" s="1808" t="str">
        <f>B22</f>
        <v>楼层</v>
      </c>
      <c r="R22" s="773" t="s">
        <v>17</v>
      </c>
      <c r="S22" s="774">
        <f>F22</f>
        <v>100</v>
      </c>
      <c r="T22" s="773" t="s">
        <v>17</v>
      </c>
      <c r="U22" s="774">
        <f>H22</f>
        <v>100</v>
      </c>
      <c r="V22" s="773" t="s">
        <v>17</v>
      </c>
      <c r="W22" s="774">
        <f>J22</f>
        <v>100</v>
      </c>
      <c r="X22" s="1811"/>
      <c r="Y22" s="3239"/>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39"/>
      <c r="Q23" s="1808">
        <f>B23</f>
        <v>111</v>
      </c>
      <c r="R23" s="773" t="s">
        <v>17</v>
      </c>
      <c r="S23" s="774">
        <f>F23</f>
        <v>100</v>
      </c>
      <c r="T23" s="773" t="s">
        <v>17</v>
      </c>
      <c r="U23" s="774">
        <f>H23</f>
        <v>100</v>
      </c>
      <c r="V23" s="773" t="s">
        <v>17</v>
      </c>
      <c r="W23" s="774">
        <f>J23</f>
        <v>100</v>
      </c>
      <c r="X23" s="1811"/>
      <c r="Y23" s="3239"/>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39"/>
      <c r="Q24" s="1808">
        <f t="shared" ref="Q24:Q34" si="11">B24</f>
        <v>111</v>
      </c>
      <c r="R24" s="773" t="s">
        <v>17</v>
      </c>
      <c r="S24" s="774">
        <f>F24</f>
        <v>100</v>
      </c>
      <c r="T24" s="773" t="s">
        <v>17</v>
      </c>
      <c r="U24" s="774">
        <f>H24</f>
        <v>100</v>
      </c>
      <c r="V24" s="773" t="s">
        <v>17</v>
      </c>
      <c r="W24" s="774">
        <f>J24</f>
        <v>100</v>
      </c>
      <c r="X24" s="1811"/>
      <c r="Y24" s="3239"/>
      <c r="Z24" s="1812">
        <f>Q24</f>
        <v>111</v>
      </c>
      <c r="AA24" s="1809">
        <f t="shared" si="3"/>
        <v>1</v>
      </c>
      <c r="AB24" s="1809">
        <f t="shared" si="4"/>
        <v>1</v>
      </c>
      <c r="AC24" s="1809">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39"/>
      <c r="Q25" s="1793">
        <f t="shared" si="11"/>
        <v>111</v>
      </c>
      <c r="R25" s="769" t="s">
        <v>17</v>
      </c>
      <c r="S25" s="770">
        <f>F25</f>
        <v>100</v>
      </c>
      <c r="T25" s="769" t="s">
        <v>17</v>
      </c>
      <c r="U25" s="770">
        <f>H25</f>
        <v>100</v>
      </c>
      <c r="V25" s="769" t="s">
        <v>17</v>
      </c>
      <c r="W25" s="770">
        <f>J25</f>
        <v>100</v>
      </c>
      <c r="X25" s="771"/>
      <c r="Y25" s="3239"/>
      <c r="Z25" s="54">
        <f>Q25</f>
        <v>111</v>
      </c>
      <c r="AA25" s="1809">
        <f>D25/F25</f>
        <v>1</v>
      </c>
      <c r="AB25" s="1809">
        <f>D25/H25</f>
        <v>1</v>
      </c>
      <c r="AC25" s="1809">
        <f>D25/J25</f>
        <v>1</v>
      </c>
    </row>
    <row r="26" spans="1:29" ht="15">
      <c r="A26" s="465" t="s">
        <v>2552</v>
      </c>
      <c r="B26" s="70" t="s">
        <v>2703</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63"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3" t="s">
        <v>2554</v>
      </c>
      <c r="Z26" s="1812" t="str">
        <f t="shared" ref="Z26:Z34" si="15">Q26</f>
        <v>公共部分装修</v>
      </c>
      <c r="AA26" s="1809">
        <f t="shared" si="3"/>
        <v>1</v>
      </c>
      <c r="AB26" s="1809">
        <f t="shared" si="4"/>
        <v>1</v>
      </c>
      <c r="AC26" s="1809">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43"/>
      <c r="Q27" s="775" t="str">
        <f t="shared" si="11"/>
        <v>成新率</v>
      </c>
      <c r="R27" s="776" t="s">
        <v>17</v>
      </c>
      <c r="S27" s="777" t="e">
        <f t="shared" si="12"/>
        <v>#N/A</v>
      </c>
      <c r="T27" s="776" t="s">
        <v>17</v>
      </c>
      <c r="U27" s="777" t="e">
        <f t="shared" si="13"/>
        <v>#N/A</v>
      </c>
      <c r="V27" s="776" t="s">
        <v>17</v>
      </c>
      <c r="W27" s="777" t="e">
        <f t="shared" si="14"/>
        <v>#N/A</v>
      </c>
      <c r="X27" s="778"/>
      <c r="Y27" s="3243"/>
      <c r="Z27" s="779" t="str">
        <f t="shared" si="15"/>
        <v>成新率</v>
      </c>
      <c r="AA27" s="1809" t="e">
        <f t="shared" si="3"/>
        <v>#N/A</v>
      </c>
      <c r="AB27" s="1809" t="e">
        <f t="shared" si="4"/>
        <v>#N/A</v>
      </c>
      <c r="AC27" s="1809"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43"/>
      <c r="Q28" s="1808" t="str">
        <f t="shared" si="11"/>
        <v>物业等级</v>
      </c>
      <c r="R28" s="773" t="s">
        <v>17</v>
      </c>
      <c r="S28" s="774">
        <f t="shared" si="12"/>
        <v>100</v>
      </c>
      <c r="T28" s="773" t="s">
        <v>17</v>
      </c>
      <c r="U28" s="774">
        <f t="shared" si="13"/>
        <v>100</v>
      </c>
      <c r="V28" s="773" t="s">
        <v>17</v>
      </c>
      <c r="W28" s="774">
        <f t="shared" si="14"/>
        <v>100</v>
      </c>
      <c r="X28" s="1811"/>
      <c r="Y28" s="3243"/>
      <c r="Z28" s="1812" t="str">
        <f t="shared" si="15"/>
        <v>物业等级</v>
      </c>
      <c r="AA28" s="1809">
        <f t="shared" si="3"/>
        <v>1</v>
      </c>
      <c r="AB28" s="1809">
        <f t="shared" si="4"/>
        <v>1</v>
      </c>
      <c r="AC28" s="1809">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43"/>
      <c r="Q29" s="1808" t="str">
        <f t="shared" si="11"/>
        <v>有无电梯</v>
      </c>
      <c r="R29" s="773" t="s">
        <v>17</v>
      </c>
      <c r="S29" s="774">
        <f t="shared" si="12"/>
        <v>100</v>
      </c>
      <c r="T29" s="773" t="s">
        <v>17</v>
      </c>
      <c r="U29" s="774">
        <f t="shared" si="13"/>
        <v>100</v>
      </c>
      <c r="V29" s="773" t="s">
        <v>17</v>
      </c>
      <c r="W29" s="774">
        <f t="shared" si="14"/>
        <v>100</v>
      </c>
      <c r="X29" s="1811"/>
      <c r="Y29" s="3243"/>
      <c r="Z29" s="1812" t="str">
        <f t="shared" si="15"/>
        <v>有无电梯</v>
      </c>
      <c r="AA29" s="1809">
        <f t="shared" si="3"/>
        <v>1</v>
      </c>
      <c r="AB29" s="1809">
        <f t="shared" si="4"/>
        <v>1</v>
      </c>
      <c r="AC29" s="1809">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43"/>
      <c r="Q30" s="1808" t="str">
        <f t="shared" si="11"/>
        <v>建筑面积</v>
      </c>
      <c r="R30" s="773" t="s">
        <v>17</v>
      </c>
      <c r="S30" s="774" t="e">
        <f t="shared" si="12"/>
        <v>#N/A</v>
      </c>
      <c r="T30" s="773" t="s">
        <v>17</v>
      </c>
      <c r="U30" s="774" t="e">
        <f t="shared" si="13"/>
        <v>#N/A</v>
      </c>
      <c r="V30" s="773" t="s">
        <v>17</v>
      </c>
      <c r="W30" s="774" t="e">
        <f t="shared" si="14"/>
        <v>#N/A</v>
      </c>
      <c r="X30" s="1811"/>
      <c r="Y30" s="3243"/>
      <c r="Z30" s="1812" t="str">
        <f t="shared" si="15"/>
        <v>建筑面积</v>
      </c>
      <c r="AA30" s="1809" t="e">
        <f t="shared" si="3"/>
        <v>#N/A</v>
      </c>
      <c r="AB30" s="1809" t="e">
        <f t="shared" si="4"/>
        <v>#N/A</v>
      </c>
      <c r="AC30" s="1809"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43"/>
      <c r="Q31" s="1793" t="str">
        <f t="shared" si="11"/>
        <v>是否封闭</v>
      </c>
      <c r="R31" s="769" t="s">
        <v>17</v>
      </c>
      <c r="S31" s="770">
        <f t="shared" si="12"/>
        <v>100</v>
      </c>
      <c r="T31" s="769" t="s">
        <v>17</v>
      </c>
      <c r="U31" s="770">
        <f t="shared" si="13"/>
        <v>100</v>
      </c>
      <c r="V31" s="769" t="s">
        <v>17</v>
      </c>
      <c r="W31" s="770">
        <f t="shared" si="14"/>
        <v>100</v>
      </c>
      <c r="X31" s="771"/>
      <c r="Y31" s="3243"/>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43" t="s">
        <v>2554</v>
      </c>
      <c r="Q32" s="1808">
        <f t="shared" si="11"/>
        <v>111</v>
      </c>
      <c r="R32" s="773" t="s">
        <v>17</v>
      </c>
      <c r="S32" s="774">
        <f t="shared" si="12"/>
        <v>100</v>
      </c>
      <c r="T32" s="773" t="s">
        <v>17</v>
      </c>
      <c r="U32" s="774">
        <f t="shared" si="13"/>
        <v>100</v>
      </c>
      <c r="V32" s="773" t="s">
        <v>17</v>
      </c>
      <c r="W32" s="774">
        <f t="shared" si="14"/>
        <v>100</v>
      </c>
      <c r="X32" s="1811"/>
      <c r="Y32" s="3243" t="s">
        <v>2554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43"/>
      <c r="Q33" s="1808">
        <f t="shared" si="11"/>
        <v>111</v>
      </c>
      <c r="R33" s="773" t="s">
        <v>17</v>
      </c>
      <c r="S33" s="774">
        <f t="shared" si="12"/>
        <v>100</v>
      </c>
      <c r="T33" s="773" t="s">
        <v>17</v>
      </c>
      <c r="U33" s="774">
        <f t="shared" si="13"/>
        <v>100</v>
      </c>
      <c r="V33" s="773" t="s">
        <v>17</v>
      </c>
      <c r="W33" s="774">
        <f t="shared" si="14"/>
        <v>100</v>
      </c>
      <c r="X33" s="1811"/>
      <c r="Y33" s="3243"/>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43"/>
      <c r="Q34" s="1808">
        <f t="shared" si="11"/>
        <v>111</v>
      </c>
      <c r="R34" s="773" t="s">
        <v>17</v>
      </c>
      <c r="S34" s="774">
        <f t="shared" si="12"/>
        <v>100</v>
      </c>
      <c r="T34" s="773" t="s">
        <v>17</v>
      </c>
      <c r="U34" s="774">
        <f t="shared" si="13"/>
        <v>100</v>
      </c>
      <c r="V34" s="773" t="s">
        <v>17</v>
      </c>
      <c r="W34" s="774">
        <f t="shared" si="14"/>
        <v>100</v>
      </c>
      <c r="X34" s="1811"/>
      <c r="Y34" s="3243"/>
      <c r="Z34" s="1812">
        <f t="shared" si="15"/>
        <v>111</v>
      </c>
      <c r="AA34" s="1809">
        <f t="shared" si="3"/>
        <v>1</v>
      </c>
      <c r="AB34" s="1809">
        <f t="shared" si="4"/>
        <v>1</v>
      </c>
      <c r="AC34" s="1809">
        <f t="shared" si="5"/>
        <v>1</v>
      </c>
    </row>
    <row r="35" spans="1:29" ht="15">
      <c r="A35" s="478" t="s">
        <v>2566</v>
      </c>
      <c r="B35" s="479"/>
      <c r="C35" s="1406" t="s">
        <v>1</v>
      </c>
      <c r="D35" s="1407"/>
      <c r="E35" s="1408"/>
      <c r="F35" s="1409"/>
      <c r="G35" s="1410"/>
      <c r="H35" s="1411"/>
      <c r="I35" s="1408"/>
      <c r="J35" s="1411"/>
      <c r="K35" s="782"/>
      <c r="L35" s="1143"/>
      <c r="M35" s="1144"/>
      <c r="N35" s="1131"/>
      <c r="O35" s="1144"/>
      <c r="P35" s="3236" t="str">
        <f>A35</f>
        <v>成交单价（元/平方米）</v>
      </c>
      <c r="Q35" s="3236"/>
      <c r="R35" s="3237">
        <f>E35</f>
        <v>0</v>
      </c>
      <c r="S35" s="3237"/>
      <c r="T35" s="3237">
        <f>G35</f>
        <v>0</v>
      </c>
      <c r="U35" s="3237"/>
      <c r="V35" s="3237">
        <f>I35</f>
        <v>0</v>
      </c>
      <c r="W35" s="3237"/>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3"/>
      <c r="M36" s="1144"/>
      <c r="N36" s="1131"/>
      <c r="O36" s="1144"/>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3"/>
      <c r="M37" s="1144"/>
      <c r="N37" s="1144"/>
      <c r="O37" s="1144"/>
      <c r="P37" s="3233" t="str">
        <f>A37</f>
        <v>估价对象XX用房的比较价值（楼面单价，元/平方米）</v>
      </c>
      <c r="Q37" s="3234"/>
      <c r="R37" s="3235" t="e">
        <f>IF(F1="售价",ROUND(AVERAGE(R36:V36),0),ROUND(AVERAGE(R36:V36),1))</f>
        <v>#DIV/0!</v>
      </c>
      <c r="S37" s="3235"/>
      <c r="T37" s="3235"/>
      <c r="U37" s="3235"/>
      <c r="V37" s="3235"/>
      <c r="W37" s="3235"/>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2577</v>
      </c>
      <c r="B51" s="527" t="s">
        <v>2543</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2718</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2552</v>
      </c>
      <c r="B77" s="527" t="s">
        <v>2605</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2722</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2730</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02" t="s">
        <v>2637</v>
      </c>
      <c r="AC4" s="3201" t="s">
        <v>2638</v>
      </c>
    </row>
    <row r="5" spans="1:30"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02"/>
      <c r="AC5" s="3202"/>
    </row>
    <row r="6" spans="1:30" ht="15.75" thickBot="1">
      <c r="A6" s="405"/>
      <c r="B6" s="406"/>
      <c r="C6" s="3214" t="s">
        <v>2535</v>
      </c>
      <c r="D6" s="3215"/>
      <c r="E6" s="3216" t="s">
        <v>2535</v>
      </c>
      <c r="F6" s="3217"/>
      <c r="G6" s="3214" t="s">
        <v>2535</v>
      </c>
      <c r="H6" s="3215"/>
      <c r="I6" s="3214" t="s">
        <v>2535</v>
      </c>
      <c r="J6" s="3215"/>
      <c r="K6" s="609" t="s">
        <v>2536</v>
      </c>
      <c r="L6" s="1130"/>
      <c r="M6" s="1131"/>
      <c r="N6" s="1131"/>
      <c r="O6" s="1131"/>
      <c r="P6" s="3227"/>
      <c r="Q6" s="3228"/>
      <c r="R6" s="3208"/>
      <c r="S6" s="3209"/>
      <c r="T6" s="3229"/>
      <c r="U6" s="3230"/>
      <c r="V6" s="3231"/>
      <c r="W6" s="3231"/>
      <c r="X6" s="1811"/>
      <c r="Y6" s="3229"/>
      <c r="Z6" s="3230"/>
      <c r="AA6" s="3203"/>
      <c r="AB6" s="3203"/>
      <c r="AC6" s="3203"/>
    </row>
    <row r="7" spans="1:30" s="116" customFormat="1" ht="15.75" thickBot="1">
      <c r="A7" s="407" t="s">
        <v>2537</v>
      </c>
      <c r="B7" s="408"/>
      <c r="C7" s="409">
        <f>'数据-取费表'!B2</f>
        <v>43452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04" t="s">
        <v>2538</v>
      </c>
      <c r="Q7" s="3232"/>
      <c r="R7" s="769" t="s">
        <v>17</v>
      </c>
      <c r="S7" s="770">
        <f t="shared" ref="S7:S15" si="0">F7</f>
        <v>0</v>
      </c>
      <c r="T7" s="769" t="s">
        <v>17</v>
      </c>
      <c r="U7" s="770">
        <f t="shared" ref="U7:U15" si="1">H7</f>
        <v>0</v>
      </c>
      <c r="V7" s="769" t="s">
        <v>17</v>
      </c>
      <c r="W7" s="770">
        <f t="shared" ref="W7:W15" si="2">J7</f>
        <v>0</v>
      </c>
      <c r="X7" s="771"/>
      <c r="Y7" s="3204" t="s">
        <v>2538</v>
      </c>
      <c r="Z7" s="3205"/>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45" si="3">D8/F8</f>
        <v>#DIV/0!</v>
      </c>
      <c r="AB8" s="772" t="e">
        <f t="shared" ref="AB8:AB45" si="4">D8/H8</f>
        <v>#DIV/0!</v>
      </c>
      <c r="AC8" s="772" t="e">
        <f t="shared" ref="AC8:AC45" si="5">D8/J8</f>
        <v>#DIV/0!</v>
      </c>
    </row>
    <row r="9" spans="1:30" s="116" customFormat="1">
      <c r="A9" s="414" t="s">
        <v>2542</v>
      </c>
      <c r="B9" s="70" t="s">
        <v>2543</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36"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115</v>
      </c>
      <c r="G10" s="462"/>
      <c r="H10" s="135">
        <f>ROUND(100/'数据-取费表'!G16,0)</f>
        <v>115</v>
      </c>
      <c r="I10" s="462"/>
      <c r="J10" s="135">
        <f>ROUND(100/'数据-取费表'!G16,0)</f>
        <v>115</v>
      </c>
      <c r="K10" s="671"/>
      <c r="L10" s="1135"/>
      <c r="M10" s="1136"/>
      <c r="N10" s="1136"/>
      <c r="O10" s="1137"/>
      <c r="P10" s="3236"/>
      <c r="Q10" s="1793" t="str">
        <f t="shared" si="6"/>
        <v>土地使用年限（年）</v>
      </c>
      <c r="R10" s="769" t="s">
        <v>17</v>
      </c>
      <c r="S10" s="770">
        <f t="shared" si="0"/>
        <v>115</v>
      </c>
      <c r="T10" s="769" t="s">
        <v>17</v>
      </c>
      <c r="U10" s="770">
        <f t="shared" si="1"/>
        <v>115</v>
      </c>
      <c r="V10" s="769" t="s">
        <v>17</v>
      </c>
      <c r="W10" s="770">
        <f t="shared" si="2"/>
        <v>115</v>
      </c>
      <c r="X10" s="771"/>
      <c r="Y10" s="3031"/>
      <c r="Z10" s="54" t="str">
        <f t="shared" si="7"/>
        <v>土地使用年限（年）</v>
      </c>
      <c r="AA10" s="772">
        <f t="shared" si="3"/>
        <v>0.86956521739130432</v>
      </c>
      <c r="AB10" s="772">
        <f t="shared" si="4"/>
        <v>0.86956521739130432</v>
      </c>
      <c r="AC10" s="772">
        <f t="shared" si="5"/>
        <v>0.86956521739130432</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36"/>
      <c r="Q11" s="1793"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30" s="116" customFormat="1" ht="15">
      <c r="A12" s="430"/>
      <c r="B12" s="2599" t="s">
        <v>2736</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36"/>
      <c r="Q12" s="1793" t="str">
        <f t="shared" si="6"/>
        <v>配建</v>
      </c>
      <c r="R12" s="769" t="s">
        <v>17</v>
      </c>
      <c r="S12" s="770">
        <f t="shared" si="0"/>
        <v>100</v>
      </c>
      <c r="T12" s="769" t="s">
        <v>17</v>
      </c>
      <c r="U12" s="770">
        <f t="shared" si="1"/>
        <v>100</v>
      </c>
      <c r="V12" s="769" t="s">
        <v>17</v>
      </c>
      <c r="W12" s="770">
        <f t="shared" si="2"/>
        <v>100</v>
      </c>
      <c r="X12" s="771"/>
      <c r="Y12" s="3031"/>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36"/>
      <c r="Q13" s="1793">
        <f t="shared" si="6"/>
        <v>111</v>
      </c>
      <c r="R13" s="769" t="s">
        <v>17</v>
      </c>
      <c r="S13" s="770">
        <f t="shared" si="0"/>
        <v>100</v>
      </c>
      <c r="T13" s="769" t="s">
        <v>17</v>
      </c>
      <c r="U13" s="770">
        <f t="shared" si="1"/>
        <v>100</v>
      </c>
      <c r="V13" s="769" t="s">
        <v>17</v>
      </c>
      <c r="W13" s="770">
        <f t="shared" si="2"/>
        <v>100</v>
      </c>
      <c r="X13" s="771"/>
      <c r="Y13" s="3031"/>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36"/>
      <c r="Q14" s="1793">
        <f t="shared" si="6"/>
        <v>111</v>
      </c>
      <c r="R14" s="769" t="s">
        <v>17</v>
      </c>
      <c r="S14" s="770">
        <f t="shared" si="0"/>
        <v>100</v>
      </c>
      <c r="T14" s="769" t="s">
        <v>17</v>
      </c>
      <c r="U14" s="770">
        <f t="shared" si="1"/>
        <v>100</v>
      </c>
      <c r="V14" s="769" t="s">
        <v>17</v>
      </c>
      <c r="W14" s="770">
        <f t="shared" si="2"/>
        <v>100</v>
      </c>
      <c r="X14" s="771"/>
      <c r="Y14" s="3031"/>
      <c r="Z14" s="54">
        <f t="shared" si="7"/>
        <v>111</v>
      </c>
      <c r="AA14" s="772">
        <f>D14/F14</f>
        <v>1</v>
      </c>
      <c r="AB14" s="772">
        <f>D14/H14</f>
        <v>1</v>
      </c>
      <c r="AC14" s="772">
        <f>D14/J14</f>
        <v>1</v>
      </c>
    </row>
    <row r="15" spans="1:30" ht="15">
      <c r="A15" s="439" t="s">
        <v>2548</v>
      </c>
      <c r="B15" s="68" t="s">
        <v>2085</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38" t="s">
        <v>2549</v>
      </c>
      <c r="Q15" s="1808" t="str">
        <f t="shared" si="6"/>
        <v>居住社区成熟度</v>
      </c>
      <c r="R15" s="773" t="s">
        <v>17</v>
      </c>
      <c r="S15" s="774">
        <f t="shared" si="0"/>
        <v>100</v>
      </c>
      <c r="T15" s="773" t="s">
        <v>17</v>
      </c>
      <c r="U15" s="774">
        <f t="shared" si="1"/>
        <v>100</v>
      </c>
      <c r="V15" s="773" t="s">
        <v>17</v>
      </c>
      <c r="W15" s="774">
        <f t="shared" si="2"/>
        <v>100</v>
      </c>
      <c r="X15" s="1811"/>
      <c r="Y15" s="3238" t="s">
        <v>2549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40"/>
      <c r="M16" s="1131"/>
      <c r="N16" s="1131"/>
      <c r="O16" s="1139"/>
      <c r="P16" s="3239"/>
      <c r="Q16" s="1808"/>
      <c r="R16" s="773"/>
      <c r="S16" s="774"/>
      <c r="T16" s="773"/>
      <c r="U16" s="774"/>
      <c r="V16" s="773"/>
      <c r="W16" s="774"/>
      <c r="X16" s="1811"/>
      <c r="Y16" s="3239"/>
      <c r="Z16" s="1812"/>
      <c r="AA16" s="1809">
        <v>1</v>
      </c>
      <c r="AB16" s="1809">
        <v>1</v>
      </c>
      <c r="AC16" s="1809">
        <v>1</v>
      </c>
    </row>
    <row r="17" spans="1:29" ht="15">
      <c r="A17" s="427"/>
      <c r="B17" s="450" t="s">
        <v>2642</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39"/>
      <c r="Q17" s="1808" t="str">
        <f>B17</f>
        <v>商业繁华度</v>
      </c>
      <c r="R17" s="773" t="s">
        <v>17</v>
      </c>
      <c r="S17" s="774">
        <f>F17</f>
        <v>100</v>
      </c>
      <c r="T17" s="773" t="s">
        <v>17</v>
      </c>
      <c r="U17" s="774">
        <f>H17</f>
        <v>100</v>
      </c>
      <c r="V17" s="773" t="s">
        <v>17</v>
      </c>
      <c r="W17" s="774">
        <f>J17</f>
        <v>100</v>
      </c>
      <c r="X17" s="1811"/>
      <c r="Y17" s="3239"/>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40"/>
      <c r="M18" s="1131"/>
      <c r="N18" s="1131"/>
      <c r="O18" s="1139"/>
      <c r="P18" s="3239"/>
      <c r="Q18" s="1808"/>
      <c r="R18" s="773"/>
      <c r="S18" s="774"/>
      <c r="T18" s="773"/>
      <c r="U18" s="774"/>
      <c r="V18" s="773"/>
      <c r="W18" s="774"/>
      <c r="X18" s="1811"/>
      <c r="Y18" s="3239"/>
      <c r="Z18" s="1812"/>
      <c r="AA18" s="1809">
        <v>1</v>
      </c>
      <c r="AB18" s="1809">
        <v>1</v>
      </c>
      <c r="AC18" s="1809">
        <v>1</v>
      </c>
    </row>
    <row r="19" spans="1:29" ht="114">
      <c r="A19" s="427"/>
      <c r="B19" s="450" t="s">
        <v>2676</v>
      </c>
      <c r="C19" s="2663" t="str">
        <f>估价对象房地状况!C17</f>
        <v>估价对象位于中关村商圈，周边有鼎好电子大厦、海龙大厦写字楼等写字楼，办公项目较多，入驻率高，办公集聚程度好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39"/>
      <c r="Q19" s="1808" t="str">
        <f>B19</f>
        <v>办公集聚程度</v>
      </c>
      <c r="R19" s="773" t="s">
        <v>17</v>
      </c>
      <c r="S19" s="774">
        <f>F19</f>
        <v>100</v>
      </c>
      <c r="T19" s="773" t="s">
        <v>17</v>
      </c>
      <c r="U19" s="774">
        <f>H19</f>
        <v>100</v>
      </c>
      <c r="V19" s="773" t="s">
        <v>17</v>
      </c>
      <c r="W19" s="774">
        <f>J19</f>
        <v>100</v>
      </c>
      <c r="X19" s="1811"/>
      <c r="Y19" s="3239"/>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40"/>
      <c r="M20" s="1131"/>
      <c r="N20" s="1131"/>
      <c r="O20" s="1139"/>
      <c r="P20" s="3239"/>
      <c r="Q20" s="1808"/>
      <c r="R20" s="773"/>
      <c r="S20" s="774"/>
      <c r="T20" s="773"/>
      <c r="U20" s="774"/>
      <c r="V20" s="773"/>
      <c r="W20" s="774"/>
      <c r="X20" s="1811"/>
      <c r="Y20" s="3239"/>
      <c r="Z20" s="1812"/>
      <c r="AA20" s="1809">
        <v>1</v>
      </c>
      <c r="AB20" s="1809">
        <v>1</v>
      </c>
      <c r="AC20" s="1809">
        <v>1</v>
      </c>
    </row>
    <row r="21" spans="1:29" ht="171">
      <c r="A21" s="427"/>
      <c r="B21" s="450" t="s">
        <v>2698</v>
      </c>
      <c r="C21" s="2606" t="str">
        <f>估价对象房地状况!C18</f>
        <v>估价对象紧邻中关村大街，紧挨地铁4号线中关村站，附近有302、307、320、332等多条公交线路，估价对象有地下停车场，路边停车位，停车较便捷，综合评价交通便捷度好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39"/>
      <c r="Q21" s="1808" t="str">
        <f>B21</f>
        <v>交通便捷度</v>
      </c>
      <c r="R21" s="773" t="s">
        <v>17</v>
      </c>
      <c r="S21" s="774">
        <f>F21</f>
        <v>100</v>
      </c>
      <c r="T21" s="773" t="s">
        <v>17</v>
      </c>
      <c r="U21" s="774">
        <f>H21</f>
        <v>100</v>
      </c>
      <c r="V21" s="773" t="s">
        <v>17</v>
      </c>
      <c r="W21" s="774">
        <f>J21</f>
        <v>100</v>
      </c>
      <c r="X21" s="1811"/>
      <c r="Y21" s="3239"/>
      <c r="Z21" s="1812" t="str">
        <f>Q21</f>
        <v>交通便捷度</v>
      </c>
      <c r="AA21" s="1809">
        <f t="shared" si="3"/>
        <v>1</v>
      </c>
      <c r="AB21" s="1809">
        <f t="shared" si="4"/>
        <v>1</v>
      </c>
      <c r="AC21" s="1809">
        <f t="shared" si="5"/>
        <v>1</v>
      </c>
    </row>
    <row r="22" spans="1:29" ht="15">
      <c r="A22" s="427"/>
      <c r="B22" s="1384"/>
      <c r="C22" s="446"/>
      <c r="D22" s="449"/>
      <c r="E22" s="2604"/>
      <c r="F22" s="447"/>
      <c r="G22" s="2604"/>
      <c r="H22" s="447"/>
      <c r="I22" s="2603"/>
      <c r="J22" s="447"/>
      <c r="K22" s="671"/>
      <c r="L22" s="1140"/>
      <c r="M22" s="1131"/>
      <c r="N22" s="1131"/>
      <c r="O22" s="1139"/>
      <c r="P22" s="3239"/>
      <c r="Q22" s="1808"/>
      <c r="R22" s="773"/>
      <c r="S22" s="774"/>
      <c r="T22" s="773"/>
      <c r="U22" s="774"/>
      <c r="V22" s="773"/>
      <c r="W22" s="774"/>
      <c r="X22" s="1811"/>
      <c r="Y22" s="3239"/>
      <c r="Z22" s="1812"/>
      <c r="AA22" s="1809">
        <v>1</v>
      </c>
      <c r="AB22" s="1809">
        <v>1</v>
      </c>
      <c r="AC22" s="1809">
        <v>1</v>
      </c>
    </row>
    <row r="23" spans="1:29" ht="15">
      <c r="A23" s="403"/>
      <c r="B23" s="450" t="s">
        <v>2737</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39"/>
      <c r="Q23" s="1808" t="str">
        <f t="shared" ref="Q23:Q37" si="8">B23</f>
        <v>区域土地利用方向</v>
      </c>
      <c r="R23" s="773" t="s">
        <v>17</v>
      </c>
      <c r="S23" s="774">
        <f>F23</f>
        <v>100</v>
      </c>
      <c r="T23" s="773" t="s">
        <v>17</v>
      </c>
      <c r="U23" s="774">
        <f>H23</f>
        <v>100</v>
      </c>
      <c r="V23" s="773" t="s">
        <v>17</v>
      </c>
      <c r="W23" s="774">
        <f>J23</f>
        <v>100</v>
      </c>
      <c r="X23" s="1811"/>
      <c r="Y23" s="3239"/>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40"/>
      <c r="M24" s="1131"/>
      <c r="N24" s="1131"/>
      <c r="O24" s="1139"/>
      <c r="P24" s="3239"/>
      <c r="Q24" s="1808"/>
      <c r="R24" s="773"/>
      <c r="S24" s="774"/>
      <c r="T24" s="773"/>
      <c r="U24" s="774"/>
      <c r="V24" s="773"/>
      <c r="W24" s="774"/>
      <c r="X24" s="1811"/>
      <c r="Y24" s="3239"/>
      <c r="Z24" s="1812"/>
      <c r="AA24" s="1809"/>
      <c r="AB24" s="1809"/>
      <c r="AC24" s="1809"/>
    </row>
    <row r="25" spans="1:29" ht="128.25">
      <c r="A25" s="403"/>
      <c r="B25" s="1384" t="s">
        <v>2738</v>
      </c>
      <c r="C25" s="2663" t="str">
        <f>估价对象房地状况!C20</f>
        <v>区域自然环境：海淀公园、北京大学未名湖；人文环境：北京大学、北大附中、中关村中学、中国人民大学；综合评价环境状况较好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39"/>
      <c r="Q25" s="1808" t="str">
        <f t="shared" si="8"/>
        <v>自然及人文环境状况</v>
      </c>
      <c r="R25" s="773" t="s">
        <v>17</v>
      </c>
      <c r="S25" s="774">
        <f>F25</f>
        <v>100</v>
      </c>
      <c r="T25" s="773" t="s">
        <v>17</v>
      </c>
      <c r="U25" s="774">
        <f>H25</f>
        <v>100</v>
      </c>
      <c r="V25" s="773" t="s">
        <v>17</v>
      </c>
      <c r="W25" s="774">
        <f>J25</f>
        <v>100</v>
      </c>
      <c r="X25" s="1811"/>
      <c r="Y25" s="3239"/>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40"/>
      <c r="M26" s="1131"/>
      <c r="N26" s="1131"/>
      <c r="O26" s="1139"/>
      <c r="P26" s="3239"/>
      <c r="Q26" s="1808"/>
      <c r="R26" s="773"/>
      <c r="S26" s="774"/>
      <c r="T26" s="773"/>
      <c r="U26" s="774"/>
      <c r="V26" s="773"/>
      <c r="W26" s="774"/>
      <c r="X26" s="1811"/>
      <c r="Y26" s="3239"/>
      <c r="Z26" s="1812"/>
      <c r="AA26" s="1809">
        <v>1</v>
      </c>
      <c r="AB26" s="1809">
        <v>1</v>
      </c>
      <c r="AC26" s="1809">
        <v>1</v>
      </c>
    </row>
    <row r="27" spans="1:29" s="116" customFormat="1" ht="71.25">
      <c r="A27" s="648"/>
      <c r="B27" s="1384" t="s">
        <v>2643</v>
      </c>
      <c r="C27" s="2606" t="str">
        <f>估价对象房地状况!C21</f>
        <v>估价对象附近分布较多银行、医院、餐饮、购物中心等公共配套设施，程度较好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39"/>
      <c r="Q27" s="1793" t="str">
        <f t="shared" si="8"/>
        <v>公共配套设施</v>
      </c>
      <c r="R27" s="769" t="s">
        <v>17</v>
      </c>
      <c r="S27" s="770">
        <f>F27</f>
        <v>100</v>
      </c>
      <c r="T27" s="769" t="s">
        <v>17</v>
      </c>
      <c r="U27" s="770">
        <f>H27</f>
        <v>100</v>
      </c>
      <c r="V27" s="769" t="s">
        <v>17</v>
      </c>
      <c r="W27" s="770">
        <f>J27</f>
        <v>100</v>
      </c>
      <c r="X27" s="771"/>
      <c r="Y27" s="3239"/>
      <c r="Z27" s="54" t="str">
        <f>Q27</f>
        <v>公共配套设施</v>
      </c>
      <c r="AA27" s="1809">
        <f>D27/F27</f>
        <v>1</v>
      </c>
      <c r="AB27" s="1809">
        <f>D27/H27</f>
        <v>1</v>
      </c>
      <c r="AC27" s="1809">
        <f>D27/J27</f>
        <v>1</v>
      </c>
    </row>
    <row r="28" spans="1:29" s="116" customFormat="1" ht="15">
      <c r="A28" s="648"/>
      <c r="B28" s="455"/>
      <c r="C28" s="2699"/>
      <c r="D28" s="447"/>
      <c r="E28" s="2610"/>
      <c r="F28" s="447"/>
      <c r="G28" s="2610"/>
      <c r="H28" s="447"/>
      <c r="I28" s="446"/>
      <c r="J28" s="447"/>
      <c r="K28" s="671"/>
      <c r="L28" s="1132"/>
      <c r="M28" s="1133"/>
      <c r="N28" s="1133"/>
      <c r="O28" s="1134"/>
      <c r="P28" s="3239"/>
      <c r="Q28" s="1793"/>
      <c r="R28" s="769"/>
      <c r="S28" s="770"/>
      <c r="T28" s="769"/>
      <c r="U28" s="770"/>
      <c r="V28" s="769"/>
      <c r="W28" s="770"/>
      <c r="X28" s="771"/>
      <c r="Y28" s="3239"/>
      <c r="Z28" s="54"/>
      <c r="AA28" s="1809">
        <v>1</v>
      </c>
      <c r="AB28" s="1809">
        <v>1</v>
      </c>
      <c r="AC28" s="1809">
        <v>1</v>
      </c>
    </row>
    <row r="29" spans="1:29" s="116" customFormat="1" ht="15">
      <c r="A29" s="648"/>
      <c r="B29" s="1384" t="s">
        <v>2644</v>
      </c>
      <c r="C29" s="2606" t="str">
        <f>估价对象房地状况!C22</f>
        <v>七通一平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39"/>
      <c r="Q29" s="1793" t="str">
        <f t="shared" ref="Q29" si="9">B29</f>
        <v>基础设施水平</v>
      </c>
      <c r="R29" s="769" t="s">
        <v>17</v>
      </c>
      <c r="S29" s="770">
        <f>F29</f>
        <v>100</v>
      </c>
      <c r="T29" s="769" t="s">
        <v>17</v>
      </c>
      <c r="U29" s="770">
        <f>H29</f>
        <v>100</v>
      </c>
      <c r="V29" s="769" t="s">
        <v>17</v>
      </c>
      <c r="W29" s="770">
        <f>J29</f>
        <v>100</v>
      </c>
      <c r="X29" s="771"/>
      <c r="Y29" s="3239"/>
      <c r="Z29" s="54" t="str">
        <f>Q29</f>
        <v>基础设施水平</v>
      </c>
      <c r="AA29" s="1809">
        <f>D29/F29</f>
        <v>1</v>
      </c>
      <c r="AB29" s="1809">
        <f>D29/H29</f>
        <v>1</v>
      </c>
      <c r="AC29" s="1809">
        <f>D29/J29</f>
        <v>1</v>
      </c>
    </row>
    <row r="30" spans="1:29" s="116" customFormat="1" ht="15">
      <c r="A30" s="648"/>
      <c r="B30" s="455"/>
      <c r="C30" s="2699"/>
      <c r="D30" s="447"/>
      <c r="E30" s="2700"/>
      <c r="F30" s="447"/>
      <c r="G30" s="2700"/>
      <c r="H30" s="447"/>
      <c r="I30" s="2700"/>
      <c r="J30" s="447"/>
      <c r="K30" s="671"/>
      <c r="L30" s="1132"/>
      <c r="M30" s="1133"/>
      <c r="N30" s="1133"/>
      <c r="O30" s="1134"/>
      <c r="P30" s="3239"/>
      <c r="Q30" s="1793"/>
      <c r="R30" s="769"/>
      <c r="S30" s="770"/>
      <c r="T30" s="769"/>
      <c r="U30" s="770"/>
      <c r="V30" s="769"/>
      <c r="W30" s="770"/>
      <c r="X30" s="771"/>
      <c r="Y30" s="3239"/>
      <c r="Z30" s="54"/>
      <c r="AA30" s="1809">
        <v>1</v>
      </c>
      <c r="AB30" s="1809">
        <v>1</v>
      </c>
      <c r="AC30" s="1809">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39"/>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39"/>
      <c r="Z31" s="1812" t="str">
        <f t="shared" ref="Z31:Z45" si="13">Q31</f>
        <v>临街状况</v>
      </c>
      <c r="AA31" s="1809">
        <f t="shared" si="3"/>
        <v>1</v>
      </c>
      <c r="AB31" s="1809">
        <f t="shared" si="4"/>
        <v>1</v>
      </c>
      <c r="AC31" s="1809">
        <f t="shared" si="5"/>
        <v>1</v>
      </c>
    </row>
    <row r="32" spans="1:29" ht="27">
      <c r="A32" s="427"/>
      <c r="B32" s="1384"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39"/>
      <c r="Q32" s="1808" t="str">
        <f t="shared" si="8"/>
        <v>毗邻道路的类型与等级</v>
      </c>
      <c r="R32" s="773" t="s">
        <v>17</v>
      </c>
      <c r="S32" s="774">
        <f t="shared" si="10"/>
        <v>100</v>
      </c>
      <c r="T32" s="773" t="s">
        <v>17</v>
      </c>
      <c r="U32" s="774">
        <f t="shared" si="11"/>
        <v>100</v>
      </c>
      <c r="V32" s="773" t="s">
        <v>17</v>
      </c>
      <c r="W32" s="774">
        <f t="shared" si="12"/>
        <v>100</v>
      </c>
      <c r="X32" s="1811"/>
      <c r="Y32" s="3239"/>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40"/>
      <c r="M33" s="1131"/>
      <c r="N33" s="1131"/>
      <c r="O33" s="1139"/>
      <c r="P33" s="3239"/>
      <c r="Q33" s="1808"/>
      <c r="R33" s="773"/>
      <c r="S33" s="774"/>
      <c r="T33" s="773"/>
      <c r="U33" s="774"/>
      <c r="V33" s="773"/>
      <c r="W33" s="774"/>
      <c r="X33" s="1811"/>
      <c r="Y33" s="3239"/>
      <c r="Z33" s="1812"/>
      <c r="AA33" s="1809">
        <v>1</v>
      </c>
      <c r="AB33" s="1809">
        <v>1</v>
      </c>
      <c r="AC33" s="1809">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39"/>
      <c r="Q34" s="1808" t="str">
        <f t="shared" si="8"/>
        <v>土地级别</v>
      </c>
      <c r="R34" s="773" t="s">
        <v>17</v>
      </c>
      <c r="S34" s="774">
        <f t="shared" si="10"/>
        <v>100</v>
      </c>
      <c r="T34" s="773" t="s">
        <v>17</v>
      </c>
      <c r="U34" s="774">
        <f t="shared" si="11"/>
        <v>100</v>
      </c>
      <c r="V34" s="773" t="s">
        <v>17</v>
      </c>
      <c r="W34" s="774">
        <f t="shared" si="12"/>
        <v>100</v>
      </c>
      <c r="X34" s="1811"/>
      <c r="Y34" s="3239"/>
      <c r="Z34" s="1812" t="str">
        <f t="shared" si="13"/>
        <v>土地级别</v>
      </c>
      <c r="AA34" s="1809">
        <f t="shared" si="3"/>
        <v>1</v>
      </c>
      <c r="AB34" s="1809">
        <f t="shared" si="4"/>
        <v>1</v>
      </c>
      <c r="AC34" s="1809">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39"/>
      <c r="Q35" s="1808">
        <f t="shared" si="8"/>
        <v>111</v>
      </c>
      <c r="R35" s="773" t="s">
        <v>17</v>
      </c>
      <c r="S35" s="774">
        <f t="shared" si="10"/>
        <v>100</v>
      </c>
      <c r="T35" s="773" t="s">
        <v>17</v>
      </c>
      <c r="U35" s="774">
        <f t="shared" si="11"/>
        <v>100</v>
      </c>
      <c r="V35" s="773" t="s">
        <v>17</v>
      </c>
      <c r="W35" s="774">
        <f t="shared" si="12"/>
        <v>100</v>
      </c>
      <c r="X35" s="1811"/>
      <c r="Y35" s="3239"/>
      <c r="Z35" s="1812">
        <f t="shared" si="13"/>
        <v>111</v>
      </c>
      <c r="AA35" s="1809">
        <f t="shared" si="3"/>
        <v>1</v>
      </c>
      <c r="AB35" s="1809">
        <f t="shared" si="4"/>
        <v>1</v>
      </c>
      <c r="AC35" s="1809">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63" t="s">
        <v>2554</v>
      </c>
      <c r="Q36" s="1808">
        <f t="shared" si="8"/>
        <v>111</v>
      </c>
      <c r="R36" s="773" t="s">
        <v>17</v>
      </c>
      <c r="S36" s="774">
        <f t="shared" si="10"/>
        <v>100</v>
      </c>
      <c r="T36" s="773" t="s">
        <v>17</v>
      </c>
      <c r="U36" s="774">
        <f t="shared" si="11"/>
        <v>100</v>
      </c>
      <c r="V36" s="773" t="s">
        <v>17</v>
      </c>
      <c r="W36" s="774">
        <f t="shared" si="12"/>
        <v>100</v>
      </c>
      <c r="X36" s="1811"/>
      <c r="Y36" s="3243" t="s">
        <v>2554</v>
      </c>
      <c r="Z36" s="1812">
        <f t="shared" si="13"/>
        <v>111</v>
      </c>
      <c r="AA36" s="1809">
        <f t="shared" si="3"/>
        <v>1</v>
      </c>
      <c r="AB36" s="1809">
        <f t="shared" si="4"/>
        <v>1</v>
      </c>
      <c r="AC36" s="1809">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43"/>
      <c r="Q37" s="1808">
        <f t="shared" si="8"/>
        <v>111</v>
      </c>
      <c r="R37" s="776" t="s">
        <v>17</v>
      </c>
      <c r="S37" s="777">
        <f t="shared" si="10"/>
        <v>100</v>
      </c>
      <c r="T37" s="776" t="s">
        <v>17</v>
      </c>
      <c r="U37" s="777">
        <f t="shared" si="11"/>
        <v>100</v>
      </c>
      <c r="V37" s="776" t="s">
        <v>17</v>
      </c>
      <c r="W37" s="777">
        <f t="shared" si="12"/>
        <v>100</v>
      </c>
      <c r="X37" s="778"/>
      <c r="Y37" s="3243"/>
      <c r="Z37" s="779">
        <f t="shared" si="13"/>
        <v>111</v>
      </c>
      <c r="AA37" s="1809">
        <f t="shared" si="3"/>
        <v>1</v>
      </c>
      <c r="AB37" s="1809">
        <f t="shared" si="4"/>
        <v>1</v>
      </c>
      <c r="AC37" s="1809">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43"/>
      <c r="Q38" s="1808" t="str">
        <f>B38</f>
        <v>宗地面积</v>
      </c>
      <c r="R38" s="773" t="s">
        <v>17</v>
      </c>
      <c r="S38" s="774" t="e">
        <f t="shared" si="10"/>
        <v>#N/A</v>
      </c>
      <c r="T38" s="773" t="s">
        <v>17</v>
      </c>
      <c r="U38" s="774" t="e">
        <f t="shared" si="11"/>
        <v>#N/A</v>
      </c>
      <c r="V38" s="773" t="s">
        <v>17</v>
      </c>
      <c r="W38" s="774" t="e">
        <f t="shared" si="12"/>
        <v>#N/A</v>
      </c>
      <c r="X38" s="1811"/>
      <c r="Y38" s="3243"/>
      <c r="Z38" s="1812" t="str">
        <f t="shared" si="13"/>
        <v>宗地面积</v>
      </c>
      <c r="AA38" s="1809" t="e">
        <f t="shared" si="3"/>
        <v>#N/A</v>
      </c>
      <c r="AB38" s="1809" t="e">
        <f t="shared" si="4"/>
        <v>#N/A</v>
      </c>
      <c r="AC38" s="1809" t="e">
        <f t="shared" si="5"/>
        <v>#N/A</v>
      </c>
    </row>
    <row r="39" spans="1:29" ht="15">
      <c r="A39" s="471"/>
      <c r="B39" s="421" t="s">
        <v>2741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43"/>
      <c r="Q39" s="1808" t="str">
        <f t="shared" ref="Q39:Q45" si="14">B39</f>
        <v>宗地形状</v>
      </c>
      <c r="R39" s="773" t="s">
        <v>17</v>
      </c>
      <c r="S39" s="774">
        <f t="shared" si="10"/>
        <v>100</v>
      </c>
      <c r="T39" s="773" t="s">
        <v>17</v>
      </c>
      <c r="U39" s="774">
        <f t="shared" si="11"/>
        <v>100</v>
      </c>
      <c r="V39" s="773" t="s">
        <v>17</v>
      </c>
      <c r="W39" s="774">
        <f t="shared" si="12"/>
        <v>100</v>
      </c>
      <c r="X39" s="1811"/>
      <c r="Y39" s="3243"/>
      <c r="Z39" s="1812" t="str">
        <f t="shared" si="13"/>
        <v>宗地形状</v>
      </c>
      <c r="AA39" s="1809">
        <f t="shared" si="3"/>
        <v>1</v>
      </c>
      <c r="AB39" s="1809">
        <f t="shared" si="4"/>
        <v>1</v>
      </c>
      <c r="AC39" s="1809">
        <f t="shared" si="5"/>
        <v>1</v>
      </c>
    </row>
    <row r="40" spans="1:29" ht="15">
      <c r="A40" s="471"/>
      <c r="B40" s="421" t="s">
        <v>2742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43"/>
      <c r="Q40" s="1808" t="str">
        <f t="shared" si="14"/>
        <v>临街宽度及深度</v>
      </c>
      <c r="R40" s="773" t="s">
        <v>17</v>
      </c>
      <c r="S40" s="774">
        <f t="shared" si="10"/>
        <v>100</v>
      </c>
      <c r="T40" s="773" t="s">
        <v>17</v>
      </c>
      <c r="U40" s="774">
        <f t="shared" si="11"/>
        <v>100</v>
      </c>
      <c r="V40" s="773" t="s">
        <v>17</v>
      </c>
      <c r="W40" s="774">
        <f t="shared" si="12"/>
        <v>100</v>
      </c>
      <c r="X40" s="1811"/>
      <c r="Y40" s="3243"/>
      <c r="Z40" s="1812" t="str">
        <f t="shared" si="13"/>
        <v>临街宽度及深度</v>
      </c>
      <c r="AA40" s="1809">
        <f t="shared" si="3"/>
        <v>1</v>
      </c>
      <c r="AB40" s="1809">
        <f t="shared" si="4"/>
        <v>1</v>
      </c>
      <c r="AC40" s="1809">
        <f t="shared" si="5"/>
        <v>1</v>
      </c>
    </row>
    <row r="41" spans="1:29" s="116" customFormat="1" ht="15">
      <c r="A41" s="472"/>
      <c r="B41" s="421" t="s">
        <v>2743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43"/>
      <c r="Q41" s="1808" t="str">
        <f t="shared" si="14"/>
        <v>宗地开发程度</v>
      </c>
      <c r="R41" s="769" t="s">
        <v>17</v>
      </c>
      <c r="S41" s="770">
        <f t="shared" si="10"/>
        <v>100</v>
      </c>
      <c r="T41" s="769" t="s">
        <v>17</v>
      </c>
      <c r="U41" s="770">
        <f t="shared" si="11"/>
        <v>100</v>
      </c>
      <c r="V41" s="769" t="s">
        <v>17</v>
      </c>
      <c r="W41" s="770">
        <f t="shared" si="12"/>
        <v>100</v>
      </c>
      <c r="X41" s="771"/>
      <c r="Y41" s="3243"/>
      <c r="Z41" s="54" t="str">
        <f t="shared" si="13"/>
        <v>宗地开发程度</v>
      </c>
      <c r="AA41" s="772">
        <f t="shared" si="3"/>
        <v>1</v>
      </c>
      <c r="AB41" s="772">
        <f t="shared" si="4"/>
        <v>1</v>
      </c>
      <c r="AC41" s="772">
        <f t="shared" si="5"/>
        <v>1</v>
      </c>
    </row>
    <row r="42" spans="1:29" ht="15">
      <c r="A42" s="471"/>
      <c r="B42" s="421" t="s">
        <v>2744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43" t="s">
        <v>2554</v>
      </c>
      <c r="Q42" s="1808" t="str">
        <f t="shared" si="14"/>
        <v>工程地质条件</v>
      </c>
      <c r="R42" s="773" t="s">
        <v>17</v>
      </c>
      <c r="S42" s="774">
        <f t="shared" si="10"/>
        <v>100</v>
      </c>
      <c r="T42" s="773" t="s">
        <v>17</v>
      </c>
      <c r="U42" s="774">
        <f t="shared" si="11"/>
        <v>100</v>
      </c>
      <c r="V42" s="773" t="s">
        <v>17</v>
      </c>
      <c r="W42" s="774">
        <f t="shared" si="12"/>
        <v>100</v>
      </c>
      <c r="X42" s="1811"/>
      <c r="Y42" s="3243" t="s">
        <v>2554</v>
      </c>
      <c r="Z42" s="1812" t="str">
        <f t="shared" si="13"/>
        <v>工程地质条件</v>
      </c>
      <c r="AA42" s="1809">
        <f t="shared" si="3"/>
        <v>1</v>
      </c>
      <c r="AB42" s="1809">
        <f t="shared" si="4"/>
        <v>1</v>
      </c>
      <c r="AC42" s="1809">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43"/>
      <c r="Q43" s="1808">
        <f t="shared" si="14"/>
        <v>111</v>
      </c>
      <c r="R43" s="773" t="s">
        <v>17</v>
      </c>
      <c r="S43" s="774">
        <f t="shared" si="10"/>
        <v>100</v>
      </c>
      <c r="T43" s="773" t="s">
        <v>17</v>
      </c>
      <c r="U43" s="774">
        <f t="shared" si="11"/>
        <v>100</v>
      </c>
      <c r="V43" s="773" t="s">
        <v>17</v>
      </c>
      <c r="W43" s="774">
        <f t="shared" si="12"/>
        <v>100</v>
      </c>
      <c r="X43" s="1811"/>
      <c r="Y43" s="3243"/>
      <c r="Z43" s="1812">
        <f t="shared" si="13"/>
        <v>111</v>
      </c>
      <c r="AA43" s="1809">
        <f t="shared" si="3"/>
        <v>1</v>
      </c>
      <c r="AB43" s="1809">
        <f t="shared" si="4"/>
        <v>1</v>
      </c>
      <c r="AC43" s="1809">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43"/>
      <c r="Q44" s="1808">
        <f t="shared" si="14"/>
        <v>111</v>
      </c>
      <c r="R44" s="773" t="s">
        <v>17</v>
      </c>
      <c r="S44" s="774">
        <f t="shared" si="10"/>
        <v>100</v>
      </c>
      <c r="T44" s="773" t="s">
        <v>17</v>
      </c>
      <c r="U44" s="774">
        <f t="shared" si="11"/>
        <v>100</v>
      </c>
      <c r="V44" s="773" t="s">
        <v>17</v>
      </c>
      <c r="W44" s="774">
        <f t="shared" si="12"/>
        <v>100</v>
      </c>
      <c r="X44" s="1811"/>
      <c r="Y44" s="3243"/>
      <c r="Z44" s="1812">
        <f t="shared" si="13"/>
        <v>111</v>
      </c>
      <c r="AA44" s="1809">
        <f t="shared" si="3"/>
        <v>1</v>
      </c>
      <c r="AB44" s="1809">
        <f t="shared" si="4"/>
        <v>1</v>
      </c>
      <c r="AC44" s="1809">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43"/>
      <c r="Q45" s="1808">
        <f t="shared" si="14"/>
        <v>111</v>
      </c>
      <c r="R45" s="776" t="s">
        <v>17</v>
      </c>
      <c r="S45" s="777">
        <f t="shared" si="10"/>
        <v>100</v>
      </c>
      <c r="T45" s="776" t="s">
        <v>17</v>
      </c>
      <c r="U45" s="777">
        <f t="shared" si="11"/>
        <v>100</v>
      </c>
      <c r="V45" s="776" t="s">
        <v>17</v>
      </c>
      <c r="W45" s="777">
        <f t="shared" si="12"/>
        <v>100</v>
      </c>
      <c r="X45" s="778"/>
      <c r="Y45" s="3243"/>
      <c r="Z45" s="779">
        <f t="shared" si="13"/>
        <v>111</v>
      </c>
      <c r="AA45" s="1809">
        <f t="shared" si="3"/>
        <v>1</v>
      </c>
      <c r="AB45" s="1809">
        <f t="shared" si="4"/>
        <v>1</v>
      </c>
      <c r="AC45" s="1809">
        <f t="shared" si="5"/>
        <v>1</v>
      </c>
    </row>
    <row r="46" spans="1:29" ht="15">
      <c r="A46" s="478" t="s">
        <v>2709</v>
      </c>
      <c r="B46" s="2703" t="s">
        <v>2745</v>
      </c>
      <c r="C46" s="681" t="s">
        <v>1</v>
      </c>
      <c r="D46" s="480"/>
      <c r="E46" s="481"/>
      <c r="F46" s="482"/>
      <c r="G46" s="483"/>
      <c r="H46" s="484"/>
      <c r="I46" s="481"/>
      <c r="J46" s="484"/>
      <c r="K46" s="782"/>
      <c r="L46" s="1143"/>
      <c r="M46" s="1144"/>
      <c r="N46" s="1131"/>
      <c r="O46" s="1144"/>
      <c r="P46" s="3236" t="str">
        <f>A46</f>
        <v>成交单价</v>
      </c>
      <c r="Q46" s="3236"/>
      <c r="R46" s="3231">
        <f>E46</f>
        <v>0</v>
      </c>
      <c r="S46" s="3231"/>
      <c r="T46" s="3231">
        <f>G46</f>
        <v>0</v>
      </c>
      <c r="U46" s="3231"/>
      <c r="V46" s="3231">
        <f>I46</f>
        <v>0</v>
      </c>
      <c r="W46" s="3231"/>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3"/>
      <c r="M47" s="1144"/>
      <c r="N47" s="1144"/>
      <c r="O47" s="1144"/>
      <c r="P47" s="3236" t="str">
        <f>A47</f>
        <v>比较价值（元/平方米）</v>
      </c>
      <c r="Q47" s="3236"/>
      <c r="R47" s="3264" t="e">
        <f>ROUND(PRODUCT(R46,AA7:AA45),0)</f>
        <v>#DIV/0!</v>
      </c>
      <c r="S47" s="3264"/>
      <c r="T47" s="3264" t="e">
        <f>ROUND(PRODUCT(T46,AB7:AB45),0)</f>
        <v>#DIV/0!</v>
      </c>
      <c r="U47" s="3264"/>
      <c r="V47" s="3264" t="e">
        <f>ROUND(PRODUCT(V46,AC7:AC45),0)</f>
        <v>#DIV/0!</v>
      </c>
      <c r="W47" s="3264"/>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3"/>
      <c r="M48" s="1144"/>
      <c r="N48" s="1144"/>
      <c r="O48" s="1144"/>
      <c r="P48" s="3233" t="str">
        <f>A48</f>
        <v>估价对象XX用房的比较价值（楼面单价，元/平方米）</v>
      </c>
      <c r="Q48" s="3234"/>
      <c r="R48" s="3265" t="e">
        <f>ROUND(AVERAGE(R47:V47),0)</f>
        <v>#DIV/0!</v>
      </c>
      <c r="S48" s="3265"/>
      <c r="T48" s="3265"/>
      <c r="U48" s="3265"/>
      <c r="V48" s="3265"/>
      <c r="W48" s="3265"/>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2747</v>
      </c>
      <c r="B55" s="684" t="s">
        <v>2748</v>
      </c>
      <c r="C55" s="2704" t="s">
        <v>2749</v>
      </c>
      <c r="D55" s="2705" t="s">
        <v>2750</v>
      </c>
      <c r="E55" s="685" t="s">
        <v>2751</v>
      </c>
      <c r="F55" s="1107" t="s">
        <v>2752</v>
      </c>
      <c r="G55" s="3219" t="s">
        <v>2753</v>
      </c>
      <c r="H55" s="3266"/>
      <c r="I55" s="143" t="s">
        <v>2754</v>
      </c>
      <c r="J55" s="2706">
        <f>项目基本情况!F35</f>
        <v>0</v>
      </c>
      <c r="K55" s="2707" t="s">
        <v>2755</v>
      </c>
      <c r="L55" s="1106"/>
      <c r="M55" s="1144"/>
      <c r="N55" s="1144"/>
      <c r="O55" s="1144"/>
    </row>
    <row r="56" spans="1:15" s="691" customFormat="1">
      <c r="A56" s="687" t="s">
        <v>2756</v>
      </c>
      <c r="B56" s="688" t="e">
        <f>C48</f>
        <v>#DIV/0!</v>
      </c>
      <c r="C56" s="689">
        <v>1</v>
      </c>
      <c r="D56" s="1163">
        <v>1</v>
      </c>
      <c r="E56" s="689">
        <f>'数据-汇总表'!E8+'数据-汇总表'!E9</f>
        <v>8276.64</v>
      </c>
      <c r="F56" s="1103" t="e">
        <f t="shared" ref="F56:F65" si="15">ROUND(B56*E56/10000,0)</f>
        <v>#DIV/0!</v>
      </c>
      <c r="G56" s="3218"/>
      <c r="H56" s="3236"/>
      <c r="I56" s="1108">
        <v>1</v>
      </c>
      <c r="J56" s="1111">
        <v>1</v>
      </c>
      <c r="K56" s="1145"/>
      <c r="L56" s="943"/>
      <c r="M56" s="943"/>
      <c r="N56" s="943"/>
      <c r="O56" s="943"/>
    </row>
    <row r="57" spans="1:15" s="691" customFormat="1">
      <c r="A57" s="692" t="s">
        <v>2757</v>
      </c>
      <c r="B57" s="261" t="e">
        <f>ROUND($C$48*C57*D57,0)</f>
        <v>#DIV/0!</v>
      </c>
      <c r="C57" s="199">
        <f t="shared" ref="C57:C65" si="16">IF($C$55="北京市系数",I57,J57)</f>
        <v>0</v>
      </c>
      <c r="D57" s="1164">
        <v>0.25</v>
      </c>
      <c r="E57" s="693"/>
      <c r="F57" s="1103" t="e">
        <f t="shared" si="15"/>
        <v>#DIV/0!</v>
      </c>
      <c r="G57" s="3267" t="s">
        <v>2758</v>
      </c>
      <c r="H57" s="1104">
        <f>项目基本情况!B37</f>
        <v>0</v>
      </c>
      <c r="I57" s="1108">
        <f>SUMIF(修正!A45:A56,H57,修正!B45:B56)</f>
        <v>0</v>
      </c>
      <c r="J57" s="1112"/>
      <c r="K57" s="1144"/>
      <c r="L57" s="943"/>
      <c r="M57" s="943"/>
      <c r="N57" s="943"/>
      <c r="O57" s="943"/>
    </row>
    <row r="58" spans="1:15" s="691" customFormat="1">
      <c r="A58" s="692" t="s">
        <v>2759</v>
      </c>
      <c r="B58" s="261" t="e">
        <f t="shared" ref="B58:B65" si="17">ROUND($C$48*C58*D58,0)</f>
        <v>#DIV/0!</v>
      </c>
      <c r="C58" s="199">
        <f t="shared" si="16"/>
        <v>0</v>
      </c>
      <c r="D58" s="1164">
        <v>0.25</v>
      </c>
      <c r="E58" s="693"/>
      <c r="F58" s="1103" t="e">
        <f t="shared" si="15"/>
        <v>#DIV/0!</v>
      </c>
      <c r="G58" s="3267"/>
      <c r="H58" s="1104">
        <f>项目基本情况!B37</f>
        <v>0</v>
      </c>
      <c r="I58" s="1108">
        <f>SUMIF(修正!A45:A56,H58,修正!C45:C56)</f>
        <v>0</v>
      </c>
      <c r="J58" s="1112"/>
      <c r="K58" s="1145"/>
      <c r="L58" s="943"/>
      <c r="M58" s="943"/>
      <c r="N58" s="943"/>
      <c r="O58" s="943"/>
    </row>
    <row r="59" spans="1:15" s="691" customFormat="1">
      <c r="A59" s="692" t="s">
        <v>2760</v>
      </c>
      <c r="B59" s="261" t="e">
        <f t="shared" si="17"/>
        <v>#DIV/0!</v>
      </c>
      <c r="C59" s="199">
        <f t="shared" si="16"/>
        <v>0</v>
      </c>
      <c r="D59" s="1164">
        <v>0.25</v>
      </c>
      <c r="E59" s="693"/>
      <c r="F59" s="1103" t="e">
        <f t="shared" si="15"/>
        <v>#DIV/0!</v>
      </c>
      <c r="G59" s="3267"/>
      <c r="H59" s="1104">
        <f>项目基本情况!B37</f>
        <v>0</v>
      </c>
      <c r="I59" s="1108">
        <f>SUMIF(修正!A45:A56,H59,修正!D45:D56)</f>
        <v>0</v>
      </c>
      <c r="J59" s="1112"/>
      <c r="K59" s="1144"/>
      <c r="L59" s="943"/>
      <c r="M59" s="943"/>
      <c r="N59" s="943"/>
      <c r="O59" s="943"/>
    </row>
    <row r="60" spans="1:15" s="691" customFormat="1">
      <c r="A60" s="692" t="s">
        <v>2761</v>
      </c>
      <c r="B60" s="261" t="e">
        <f t="shared" si="17"/>
        <v>#DIV/0!</v>
      </c>
      <c r="C60" s="199">
        <f t="shared" si="16"/>
        <v>0</v>
      </c>
      <c r="D60" s="1164">
        <v>0.25</v>
      </c>
      <c r="E60" s="693"/>
      <c r="F60" s="1103" t="e">
        <f t="shared" si="15"/>
        <v>#DIV/0!</v>
      </c>
      <c r="G60" s="3267"/>
      <c r="H60" s="1104">
        <f>项目基本情况!B37</f>
        <v>0</v>
      </c>
      <c r="I60" s="1108">
        <f>SUMIF(修正!A45:A56,H60,修正!E45:E56)</f>
        <v>0</v>
      </c>
      <c r="J60" s="1112"/>
      <c r="K60" s="1145"/>
      <c r="L60" s="943"/>
      <c r="M60" s="943"/>
      <c r="N60" s="943"/>
      <c r="O60" s="943"/>
    </row>
    <row r="61" spans="1:15" s="691" customFormat="1">
      <c r="A61" s="692" t="s">
        <v>2762</v>
      </c>
      <c r="B61" s="261" t="e">
        <f t="shared" si="17"/>
        <v>#DIV/0!</v>
      </c>
      <c r="C61" s="199">
        <f t="shared" si="16"/>
        <v>0.3</v>
      </c>
      <c r="D61" s="1164">
        <v>0.25</v>
      </c>
      <c r="E61" s="260">
        <f>'数据-汇总表'!E11</f>
        <v>0</v>
      </c>
      <c r="F61" s="1103" t="e">
        <f t="shared" si="15"/>
        <v>#DIV/0!</v>
      </c>
      <c r="G61" s="2708" t="s">
        <v>2763</v>
      </c>
      <c r="H61" s="1104" t="str">
        <f>项目基本情况!C37</f>
        <v>二级</v>
      </c>
      <c r="I61" s="1108">
        <f>SUMIF(修正!A45:A56,H61,修正!F45:F56)</f>
        <v>0.3</v>
      </c>
      <c r="J61" s="1112"/>
      <c r="K61" s="1144"/>
      <c r="L61" s="943"/>
      <c r="M61" s="943"/>
      <c r="N61" s="943"/>
      <c r="O61" s="943"/>
    </row>
    <row r="62" spans="1:15" s="691" customFormat="1">
      <c r="A62" s="692" t="s">
        <v>2764</v>
      </c>
      <c r="B62" s="261" t="e">
        <f t="shared" si="17"/>
        <v>#DIV/0!</v>
      </c>
      <c r="C62" s="199">
        <f t="shared" si="16"/>
        <v>0.3</v>
      </c>
      <c r="D62" s="1164">
        <v>0.25</v>
      </c>
      <c r="E62" s="260">
        <f>'数据-汇总表'!E12</f>
        <v>0</v>
      </c>
      <c r="F62" s="1103" t="e">
        <f t="shared" si="15"/>
        <v>#DIV/0!</v>
      </c>
      <c r="G62" s="1109" t="s">
        <v>2765</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2766</v>
      </c>
      <c r="B63" s="261" t="e">
        <f t="shared" si="17"/>
        <v>#DIV/0!</v>
      </c>
      <c r="C63" s="199">
        <f t="shared" si="16"/>
        <v>0</v>
      </c>
      <c r="D63" s="1164">
        <v>0.25</v>
      </c>
      <c r="E63" s="260">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2768</v>
      </c>
      <c r="B64" s="261" t="e">
        <f t="shared" si="17"/>
        <v>#DIV/0!</v>
      </c>
      <c r="C64" s="199">
        <f t="shared" si="16"/>
        <v>0</v>
      </c>
      <c r="D64" s="1164">
        <v>0.25</v>
      </c>
      <c r="E64" s="260">
        <f>'数据-汇总表'!E14</f>
        <v>0</v>
      </c>
      <c r="F64" s="1103" t="e">
        <f t="shared" si="15"/>
        <v>#DIV/0!</v>
      </c>
      <c r="G64" s="2708" t="s">
        <v>2758</v>
      </c>
      <c r="H64" s="1104">
        <f>项目基本情况!B37</f>
        <v>0</v>
      </c>
      <c r="I64" s="1108">
        <f>SUMIF(修正!A45:A56,H64,修正!H45:H56)</f>
        <v>0</v>
      </c>
      <c r="J64" s="1112"/>
      <c r="K64" s="1145"/>
      <c r="L64" s="943"/>
      <c r="M64" s="943"/>
      <c r="N64" s="943"/>
      <c r="O64" s="943"/>
    </row>
    <row r="65" spans="1:17" s="691" customFormat="1" ht="15" thickBot="1">
      <c r="A65" s="692" t="s">
        <v>2769</v>
      </c>
      <c r="B65" s="261" t="e">
        <f t="shared" si="17"/>
        <v>#DIV/0!</v>
      </c>
      <c r="C65" s="199">
        <f t="shared" si="16"/>
        <v>0.25</v>
      </c>
      <c r="D65" s="1164">
        <v>0.25</v>
      </c>
      <c r="E65" s="260">
        <f>'数据-汇总表'!E15</f>
        <v>0</v>
      </c>
      <c r="F65" s="1103" t="e">
        <f t="shared" si="15"/>
        <v>#DIV/0!</v>
      </c>
      <c r="G65" s="2709" t="s">
        <v>2763</v>
      </c>
      <c r="H65" s="1114" t="str">
        <f>项目基本情况!C37</f>
        <v>二级</v>
      </c>
      <c r="I65" s="1110">
        <f>SUMIF(修正!A45:A56,H65,修正!H45:H56)</f>
        <v>0.25</v>
      </c>
      <c r="J65" s="1113"/>
      <c r="K65" s="1144"/>
      <c r="L65" s="943"/>
      <c r="M65" s="943"/>
      <c r="N65" s="943"/>
      <c r="O65" s="943"/>
    </row>
    <row r="66" spans="1:17" s="691" customFormat="1" ht="13.5" thickBot="1">
      <c r="A66" s="694" t="s">
        <v>2770</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2663</v>
      </c>
      <c r="B69" s="758"/>
      <c r="C69" s="763"/>
      <c r="D69" s="763"/>
      <c r="E69" s="763"/>
      <c r="F69" s="764"/>
      <c r="G69" s="764"/>
      <c r="H69" s="763"/>
      <c r="I69" s="763"/>
      <c r="J69" s="1159"/>
      <c r="K69" s="1160"/>
      <c r="L69" s="1161"/>
      <c r="M69" s="1159"/>
      <c r="N69" s="1159"/>
      <c r="O69" s="1159"/>
      <c r="P69" s="502"/>
      <c r="Q69" s="503"/>
    </row>
    <row r="70" spans="1:17" s="507" customFormat="1" ht="15">
      <c r="A70" s="2710" t="s">
        <v>2771</v>
      </c>
      <c r="B70" s="1359"/>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6" customFormat="1" ht="30" customHeight="1">
      <c r="A71" s="2711" t="s">
        <v>2772</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2574</v>
      </c>
      <c r="B72" s="515"/>
      <c r="C72" s="516"/>
      <c r="D72" s="517"/>
      <c r="E72" s="517"/>
      <c r="F72" s="517"/>
      <c r="G72" s="517"/>
      <c r="H72" s="517"/>
      <c r="I72" s="517"/>
      <c r="J72" s="517"/>
      <c r="K72" s="517"/>
      <c r="L72" s="517"/>
      <c r="M72" s="518"/>
      <c r="N72" s="517"/>
      <c r="O72" s="1162"/>
      <c r="P72" s="503"/>
      <c r="Q72" s="503"/>
    </row>
    <row r="73" spans="1:17" s="116" customFormat="1" ht="15">
      <c r="A73" s="520" t="s">
        <v>2539</v>
      </c>
      <c r="B73" s="509"/>
      <c r="C73" s="521" t="s">
        <v>2641</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2577</v>
      </c>
      <c r="B75" s="527" t="s">
        <v>2543</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2546</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2680</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2739</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2781</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2782</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2784</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19" t="s">
        <v>2635</v>
      </c>
      <c r="D4" s="3220"/>
      <c r="E4" s="3221" t="s">
        <v>2636</v>
      </c>
      <c r="F4" s="3222"/>
      <c r="G4" s="3219" t="s">
        <v>2637</v>
      </c>
      <c r="H4" s="3220"/>
      <c r="I4" s="3219" t="s">
        <v>2638</v>
      </c>
      <c r="J4" s="3220"/>
      <c r="K4" s="609" t="s">
        <v>2639</v>
      </c>
      <c r="L4" s="1130"/>
      <c r="M4" s="1131"/>
      <c r="N4" s="1131"/>
      <c r="O4" s="1131"/>
      <c r="P4" s="3223" t="s">
        <v>2640</v>
      </c>
      <c r="Q4" s="3224"/>
      <c r="R4" s="3206" t="s">
        <v>2636</v>
      </c>
      <c r="S4" s="3207"/>
      <c r="T4" s="3206" t="s">
        <v>2637</v>
      </c>
      <c r="U4" s="3207"/>
      <c r="V4" s="3231" t="s">
        <v>2638</v>
      </c>
      <c r="W4" s="3231"/>
      <c r="X4" s="1811"/>
      <c r="Y4" s="3206" t="s">
        <v>2640</v>
      </c>
      <c r="Z4" s="3207"/>
      <c r="AA4" s="3201" t="s">
        <v>2636</v>
      </c>
      <c r="AB4" s="3202" t="s">
        <v>2637</v>
      </c>
      <c r="AC4" s="3201" t="s">
        <v>2638</v>
      </c>
    </row>
    <row r="5" spans="1:29" ht="15">
      <c r="A5" s="403"/>
      <c r="B5" s="404"/>
      <c r="C5" s="3212" t="s">
        <v>2531</v>
      </c>
      <c r="D5" s="3213"/>
      <c r="E5" s="3210" t="s">
        <v>2532</v>
      </c>
      <c r="F5" s="3211"/>
      <c r="G5" s="3212" t="s">
        <v>2533</v>
      </c>
      <c r="H5" s="3213"/>
      <c r="I5" s="3212" t="s">
        <v>2534</v>
      </c>
      <c r="J5" s="3213"/>
      <c r="K5" s="609"/>
      <c r="L5" s="1130"/>
      <c r="M5" s="1131"/>
      <c r="N5" s="1131"/>
      <c r="O5" s="1131"/>
      <c r="P5" s="3225"/>
      <c r="Q5" s="3226"/>
      <c r="R5" s="3208"/>
      <c r="S5" s="3209"/>
      <c r="T5" s="3208"/>
      <c r="U5" s="3209"/>
      <c r="V5" s="3231"/>
      <c r="W5" s="3231"/>
      <c r="X5" s="1811"/>
      <c r="Y5" s="3208"/>
      <c r="Z5" s="3209"/>
      <c r="AA5" s="3202"/>
      <c r="AB5" s="3202"/>
      <c r="AC5" s="3202"/>
    </row>
    <row r="6" spans="1:29" ht="15.75" thickBot="1">
      <c r="A6" s="405"/>
      <c r="B6" s="406"/>
      <c r="C6" s="3268" t="s">
        <v>2786</v>
      </c>
      <c r="D6" s="3269"/>
      <c r="E6" s="3270" t="s">
        <v>2786</v>
      </c>
      <c r="F6" s="3271"/>
      <c r="G6" s="3268" t="s">
        <v>2786</v>
      </c>
      <c r="H6" s="3269"/>
      <c r="I6" s="3268" t="s">
        <v>2786</v>
      </c>
      <c r="J6" s="3269"/>
      <c r="K6" s="609" t="s">
        <v>2536</v>
      </c>
      <c r="L6" s="1130"/>
      <c r="M6" s="1131"/>
      <c r="N6" s="1131"/>
      <c r="O6" s="1131"/>
      <c r="P6" s="3227"/>
      <c r="Q6" s="3228"/>
      <c r="R6" s="3208"/>
      <c r="S6" s="3209"/>
      <c r="T6" s="3229"/>
      <c r="U6" s="3230"/>
      <c r="V6" s="3231"/>
      <c r="W6" s="3231"/>
      <c r="X6" s="1811"/>
      <c r="Y6" s="3229"/>
      <c r="Z6" s="3230"/>
      <c r="AA6" s="3203"/>
      <c r="AB6" s="3203"/>
      <c r="AC6" s="3203"/>
    </row>
    <row r="7" spans="1:29" s="116" customFormat="1" ht="15.75" thickBot="1">
      <c r="A7" s="407" t="s">
        <v>2537</v>
      </c>
      <c r="B7" s="408"/>
      <c r="C7" s="409">
        <f>'数据-取费表'!B2</f>
        <v>43452</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04" t="s">
        <v>2538</v>
      </c>
      <c r="Q7" s="3232"/>
      <c r="R7" s="769" t="s">
        <v>17</v>
      </c>
      <c r="S7" s="770">
        <f t="shared" ref="S7:S15" si="0">F7</f>
        <v>0</v>
      </c>
      <c r="T7" s="769" t="s">
        <v>17</v>
      </c>
      <c r="U7" s="770">
        <f t="shared" ref="U7:U15" si="1">H7</f>
        <v>0</v>
      </c>
      <c r="V7" s="769" t="s">
        <v>17</v>
      </c>
      <c r="W7" s="770">
        <f t="shared" ref="W7:W15" si="2">J7</f>
        <v>0</v>
      </c>
      <c r="X7" s="771"/>
      <c r="Y7" s="3204" t="s">
        <v>2538</v>
      </c>
      <c r="Z7" s="3205"/>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04" t="s">
        <v>2541</v>
      </c>
      <c r="Q8" s="3205"/>
      <c r="R8" s="769" t="s">
        <v>17</v>
      </c>
      <c r="S8" s="770">
        <f t="shared" si="0"/>
        <v>0</v>
      </c>
      <c r="T8" s="769" t="s">
        <v>17</v>
      </c>
      <c r="U8" s="770">
        <f t="shared" si="1"/>
        <v>0</v>
      </c>
      <c r="V8" s="769" t="s">
        <v>17</v>
      </c>
      <c r="W8" s="770">
        <f t="shared" si="2"/>
        <v>0</v>
      </c>
      <c r="X8" s="771"/>
      <c r="Y8" s="3204" t="s">
        <v>2541</v>
      </c>
      <c r="Z8" s="3205"/>
      <c r="AA8" s="772" t="e">
        <f t="shared" ref="AA8:AA40" si="3">D8/F8</f>
        <v>#DIV/0!</v>
      </c>
      <c r="AB8" s="772" t="e">
        <f t="shared" ref="AB8:AB40" si="4">D8/H8</f>
        <v>#DIV/0!</v>
      </c>
      <c r="AC8" s="772" t="e">
        <f t="shared" ref="AC8:AC40" si="5">D8/J8</f>
        <v>#DIV/0!</v>
      </c>
    </row>
    <row r="9" spans="1:29" s="116" customFormat="1">
      <c r="A9" s="414" t="s">
        <v>2542</v>
      </c>
      <c r="B9" s="70" t="s">
        <v>2543</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36" t="s">
        <v>2544</v>
      </c>
      <c r="Q9" s="1793" t="str">
        <f t="shared" ref="Q9:Q15" si="6">B9</f>
        <v>用途</v>
      </c>
      <c r="R9" s="769" t="s">
        <v>17</v>
      </c>
      <c r="S9" s="770">
        <f t="shared" si="0"/>
        <v>100</v>
      </c>
      <c r="T9" s="769" t="s">
        <v>17</v>
      </c>
      <c r="U9" s="770">
        <f t="shared" si="1"/>
        <v>100</v>
      </c>
      <c r="V9" s="769" t="s">
        <v>17</v>
      </c>
      <c r="W9" s="770">
        <f t="shared" si="2"/>
        <v>100</v>
      </c>
      <c r="X9" s="771"/>
      <c r="Y9" s="3031"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115</v>
      </c>
      <c r="G10" s="431"/>
      <c r="H10" s="135">
        <f>ROUND(100/'数据-取费表'!G16,0)</f>
        <v>115</v>
      </c>
      <c r="I10" s="431"/>
      <c r="J10" s="135">
        <f>ROUND(100/'数据-取费表'!G16,0)</f>
        <v>115</v>
      </c>
      <c r="K10" s="671"/>
      <c r="L10" s="1135"/>
      <c r="M10" s="1136"/>
      <c r="N10" s="1136"/>
      <c r="O10" s="1137"/>
      <c r="P10" s="3236"/>
      <c r="Q10" s="1793" t="str">
        <f t="shared" si="6"/>
        <v>土地使用年限（年）</v>
      </c>
      <c r="R10" s="769" t="s">
        <v>17</v>
      </c>
      <c r="S10" s="770">
        <f t="shared" si="0"/>
        <v>115</v>
      </c>
      <c r="T10" s="769" t="s">
        <v>17</v>
      </c>
      <c r="U10" s="770">
        <f t="shared" si="1"/>
        <v>115</v>
      </c>
      <c r="V10" s="769" t="s">
        <v>17</v>
      </c>
      <c r="W10" s="770">
        <f t="shared" si="2"/>
        <v>115</v>
      </c>
      <c r="X10" s="771"/>
      <c r="Y10" s="3031"/>
      <c r="Z10" s="54" t="str">
        <f t="shared" si="7"/>
        <v>土地使用年限（年）</v>
      </c>
      <c r="AA10" s="772">
        <f t="shared" si="3"/>
        <v>0.86956521739130432</v>
      </c>
      <c r="AB10" s="772">
        <f t="shared" si="4"/>
        <v>0.86956521739130432</v>
      </c>
      <c r="AC10" s="772">
        <f t="shared" si="5"/>
        <v>0.86956521739130432</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36"/>
      <c r="Q11" s="1793" t="str">
        <f t="shared" si="6"/>
        <v>容积率</v>
      </c>
      <c r="R11" s="769" t="s">
        <v>17</v>
      </c>
      <c r="S11" s="770" t="e">
        <f t="shared" si="0"/>
        <v>#N/A</v>
      </c>
      <c r="T11" s="769" t="s">
        <v>17</v>
      </c>
      <c r="U11" s="770" t="e">
        <f t="shared" si="1"/>
        <v>#N/A</v>
      </c>
      <c r="V11" s="769" t="s">
        <v>17</v>
      </c>
      <c r="W11" s="770" t="e">
        <f t="shared" si="2"/>
        <v>#N/A</v>
      </c>
      <c r="X11" s="771"/>
      <c r="Y11" s="3031"/>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36"/>
      <c r="Q12" s="1793">
        <f t="shared" si="6"/>
        <v>111</v>
      </c>
      <c r="R12" s="769" t="s">
        <v>17</v>
      </c>
      <c r="S12" s="770">
        <f t="shared" si="0"/>
        <v>100</v>
      </c>
      <c r="T12" s="769" t="s">
        <v>17</v>
      </c>
      <c r="U12" s="770">
        <f t="shared" si="1"/>
        <v>100</v>
      </c>
      <c r="V12" s="769" t="s">
        <v>17</v>
      </c>
      <c r="W12" s="770">
        <f t="shared" si="2"/>
        <v>100</v>
      </c>
      <c r="X12" s="771"/>
      <c r="Y12" s="3031"/>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36"/>
      <c r="Q13" s="1793">
        <f t="shared" si="6"/>
        <v>111</v>
      </c>
      <c r="R13" s="769" t="s">
        <v>17</v>
      </c>
      <c r="S13" s="770">
        <f t="shared" si="0"/>
        <v>100</v>
      </c>
      <c r="T13" s="769" t="s">
        <v>17</v>
      </c>
      <c r="U13" s="770">
        <f t="shared" si="1"/>
        <v>100</v>
      </c>
      <c r="V13" s="769" t="s">
        <v>17</v>
      </c>
      <c r="W13" s="770">
        <f t="shared" si="2"/>
        <v>100</v>
      </c>
      <c r="X13" s="771"/>
      <c r="Y13" s="3031"/>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36"/>
      <c r="Q14" s="1793">
        <f t="shared" si="6"/>
        <v>111</v>
      </c>
      <c r="R14" s="769" t="s">
        <v>17</v>
      </c>
      <c r="S14" s="770">
        <f t="shared" si="0"/>
        <v>100</v>
      </c>
      <c r="T14" s="769" t="s">
        <v>17</v>
      </c>
      <c r="U14" s="770">
        <f t="shared" si="1"/>
        <v>100</v>
      </c>
      <c r="V14" s="769" t="s">
        <v>17</v>
      </c>
      <c r="W14" s="770">
        <f t="shared" si="2"/>
        <v>100</v>
      </c>
      <c r="X14" s="771"/>
      <c r="Y14" s="3031"/>
      <c r="Z14" s="54">
        <f t="shared" si="7"/>
        <v>111</v>
      </c>
      <c r="AA14" s="772">
        <f t="shared" si="3"/>
        <v>1</v>
      </c>
      <c r="AB14" s="772">
        <f t="shared" si="4"/>
        <v>1</v>
      </c>
      <c r="AC14" s="772">
        <f t="shared" si="5"/>
        <v>1</v>
      </c>
    </row>
    <row r="15" spans="1:29" ht="15">
      <c r="A15" s="439" t="s">
        <v>2548</v>
      </c>
      <c r="B15" s="628" t="s">
        <v>2787</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38" t="s">
        <v>2549</v>
      </c>
      <c r="Q15" s="1808" t="str">
        <f t="shared" si="6"/>
        <v>产业集聚程度</v>
      </c>
      <c r="R15" s="773" t="s">
        <v>17</v>
      </c>
      <c r="S15" s="774">
        <f t="shared" si="0"/>
        <v>100</v>
      </c>
      <c r="T15" s="773" t="s">
        <v>17</v>
      </c>
      <c r="U15" s="774">
        <f t="shared" si="1"/>
        <v>100</v>
      </c>
      <c r="V15" s="773" t="s">
        <v>17</v>
      </c>
      <c r="W15" s="774">
        <f t="shared" si="2"/>
        <v>100</v>
      </c>
      <c r="X15" s="1811"/>
      <c r="Y15" s="3238" t="s">
        <v>2549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40"/>
      <c r="M16" s="1131"/>
      <c r="N16" s="1131"/>
      <c r="O16" s="1139"/>
      <c r="P16" s="3239"/>
      <c r="Q16" s="1808"/>
      <c r="R16" s="773"/>
      <c r="S16" s="774"/>
      <c r="T16" s="773"/>
      <c r="U16" s="774"/>
      <c r="V16" s="773"/>
      <c r="W16" s="774"/>
      <c r="X16" s="1811"/>
      <c r="Y16" s="3239"/>
      <c r="Z16" s="1812"/>
      <c r="AA16" s="1809">
        <v>1</v>
      </c>
      <c r="AB16" s="1809">
        <v>1</v>
      </c>
      <c r="AC16" s="1809">
        <v>1</v>
      </c>
    </row>
    <row r="17" spans="1:29" ht="15">
      <c r="A17" s="427"/>
      <c r="B17" s="630" t="s">
        <v>2698</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39"/>
      <c r="Q17" s="1808" t="str">
        <f>B17</f>
        <v>交通便捷度</v>
      </c>
      <c r="R17" s="773" t="s">
        <v>17</v>
      </c>
      <c r="S17" s="774">
        <f>F17</f>
        <v>100</v>
      </c>
      <c r="T17" s="773" t="s">
        <v>17</v>
      </c>
      <c r="U17" s="774">
        <f>H17</f>
        <v>100</v>
      </c>
      <c r="V17" s="773" t="s">
        <v>17</v>
      </c>
      <c r="W17" s="774">
        <f>J17</f>
        <v>100</v>
      </c>
      <c r="X17" s="1811"/>
      <c r="Y17" s="3239"/>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40"/>
      <c r="M18" s="1131"/>
      <c r="N18" s="1131"/>
      <c r="O18" s="1139"/>
      <c r="P18" s="3239"/>
      <c r="Q18" s="1808"/>
      <c r="R18" s="773"/>
      <c r="S18" s="774"/>
      <c r="T18" s="773"/>
      <c r="U18" s="774"/>
      <c r="V18" s="773"/>
      <c r="W18" s="774"/>
      <c r="X18" s="1811"/>
      <c r="Y18" s="3239"/>
      <c r="Z18" s="1812"/>
      <c r="AA18" s="1809">
        <v>1</v>
      </c>
      <c r="AB18" s="1809">
        <v>1</v>
      </c>
      <c r="AC18" s="1809">
        <v>1</v>
      </c>
    </row>
    <row r="19" spans="1:29" ht="15">
      <c r="A19" s="427"/>
      <c r="B19" s="630" t="s">
        <v>2737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39"/>
      <c r="Q19" s="1808" t="str">
        <f t="shared" ref="Q19:Q33" si="8">B19</f>
        <v>区域土地利用方向</v>
      </c>
      <c r="R19" s="773" t="s">
        <v>17</v>
      </c>
      <c r="S19" s="774">
        <f>F19</f>
        <v>100</v>
      </c>
      <c r="T19" s="773" t="s">
        <v>17</v>
      </c>
      <c r="U19" s="774">
        <f>H19</f>
        <v>100</v>
      </c>
      <c r="V19" s="773" t="s">
        <v>17</v>
      </c>
      <c r="W19" s="774">
        <f>J19</f>
        <v>100</v>
      </c>
      <c r="X19" s="1811"/>
      <c r="Y19" s="3239"/>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40"/>
      <c r="M20" s="1131"/>
      <c r="N20" s="1131"/>
      <c r="O20" s="1139"/>
      <c r="P20" s="3239"/>
      <c r="Q20" s="1808"/>
      <c r="R20" s="773"/>
      <c r="S20" s="774"/>
      <c r="T20" s="773"/>
      <c r="U20" s="774"/>
      <c r="V20" s="773"/>
      <c r="W20" s="774"/>
      <c r="X20" s="1811"/>
      <c r="Y20" s="3239"/>
      <c r="Z20" s="1812"/>
      <c r="AA20" s="1809"/>
      <c r="AB20" s="1809"/>
      <c r="AC20" s="1809"/>
    </row>
    <row r="21" spans="1:29" ht="15">
      <c r="A21" s="403"/>
      <c r="B21" s="630" t="s">
        <v>2788</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39"/>
      <c r="Q21" s="1808" t="str">
        <f t="shared" si="8"/>
        <v>环境状况</v>
      </c>
      <c r="R21" s="773" t="s">
        <v>17</v>
      </c>
      <c r="S21" s="774">
        <f>F21</f>
        <v>100</v>
      </c>
      <c r="T21" s="773" t="s">
        <v>17</v>
      </c>
      <c r="U21" s="774">
        <f>H21</f>
        <v>100</v>
      </c>
      <c r="V21" s="773" t="s">
        <v>17</v>
      </c>
      <c r="W21" s="774">
        <f>J21</f>
        <v>100</v>
      </c>
      <c r="X21" s="1811"/>
      <c r="Y21" s="3239"/>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40"/>
      <c r="M22" s="1131"/>
      <c r="N22" s="1131"/>
      <c r="O22" s="1139"/>
      <c r="P22" s="3239"/>
      <c r="Q22" s="1808"/>
      <c r="R22" s="773"/>
      <c r="S22" s="774"/>
      <c r="T22" s="773"/>
      <c r="U22" s="774"/>
      <c r="V22" s="773"/>
      <c r="W22" s="774"/>
      <c r="X22" s="1811"/>
      <c r="Y22" s="3239"/>
      <c r="Z22" s="1812"/>
      <c r="AA22" s="1809">
        <v>1</v>
      </c>
      <c r="AB22" s="1809">
        <v>1</v>
      </c>
      <c r="AC22" s="1809">
        <v>1</v>
      </c>
    </row>
    <row r="23" spans="1:29" s="116" customFormat="1" ht="15">
      <c r="A23" s="648"/>
      <c r="B23" s="632" t="s">
        <v>2643</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39"/>
      <c r="Q23" s="1793" t="str">
        <f t="shared" si="8"/>
        <v>公共配套设施</v>
      </c>
      <c r="R23" s="769" t="s">
        <v>17</v>
      </c>
      <c r="S23" s="770">
        <f>F23</f>
        <v>100</v>
      </c>
      <c r="T23" s="769" t="s">
        <v>17</v>
      </c>
      <c r="U23" s="770">
        <f>H23</f>
        <v>100</v>
      </c>
      <c r="V23" s="769" t="s">
        <v>17</v>
      </c>
      <c r="W23" s="770">
        <f>J23</f>
        <v>100</v>
      </c>
      <c r="X23" s="771"/>
      <c r="Y23" s="3239"/>
      <c r="Z23" s="54" t="str">
        <f>Q23</f>
        <v>公共配套设施</v>
      </c>
      <c r="AA23" s="1809">
        <f>D23/F23</f>
        <v>1</v>
      </c>
      <c r="AB23" s="1809">
        <f>D23/H23</f>
        <v>1</v>
      </c>
      <c r="AC23" s="1809">
        <f>D23/J23</f>
        <v>1</v>
      </c>
    </row>
    <row r="24" spans="1:29" s="116" customFormat="1" ht="15">
      <c r="A24" s="648"/>
      <c r="B24" s="631"/>
      <c r="C24" s="2699"/>
      <c r="D24" s="447"/>
      <c r="E24" s="2610"/>
      <c r="F24" s="447"/>
      <c r="G24" s="2610"/>
      <c r="H24" s="447"/>
      <c r="I24" s="446"/>
      <c r="J24" s="447"/>
      <c r="K24" s="671"/>
      <c r="L24" s="1132"/>
      <c r="M24" s="1133"/>
      <c r="N24" s="1133"/>
      <c r="O24" s="1134"/>
      <c r="P24" s="3239"/>
      <c r="Q24" s="1793"/>
      <c r="R24" s="769"/>
      <c r="S24" s="770"/>
      <c r="T24" s="769"/>
      <c r="U24" s="770"/>
      <c r="V24" s="769"/>
      <c r="W24" s="770"/>
      <c r="X24" s="771"/>
      <c r="Y24" s="3239"/>
      <c r="Z24" s="54"/>
      <c r="AA24" s="772">
        <v>1</v>
      </c>
      <c r="AB24" s="772">
        <v>1</v>
      </c>
      <c r="AC24" s="772">
        <v>1</v>
      </c>
    </row>
    <row r="25" spans="1:29" s="116" customFormat="1" ht="15">
      <c r="A25" s="648"/>
      <c r="B25" s="632" t="s">
        <v>2644</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39"/>
      <c r="Q25" s="1793" t="str">
        <f t="shared" ref="Q25" si="9">B25</f>
        <v>基础设施水平</v>
      </c>
      <c r="R25" s="769" t="s">
        <v>17</v>
      </c>
      <c r="S25" s="770">
        <f>F25</f>
        <v>100</v>
      </c>
      <c r="T25" s="769" t="s">
        <v>17</v>
      </c>
      <c r="U25" s="770">
        <f>H25</f>
        <v>100</v>
      </c>
      <c r="V25" s="769" t="s">
        <v>17</v>
      </c>
      <c r="W25" s="770">
        <f>J25</f>
        <v>100</v>
      </c>
      <c r="X25" s="771"/>
      <c r="Y25" s="3239"/>
      <c r="Z25" s="54" t="str">
        <f>Q25</f>
        <v>基础设施水平</v>
      </c>
      <c r="AA25" s="1809">
        <f>D25/F25</f>
        <v>1</v>
      </c>
      <c r="AB25" s="1809">
        <f>D25/H25</f>
        <v>1</v>
      </c>
      <c r="AC25" s="1809">
        <f>D25/J25</f>
        <v>1</v>
      </c>
    </row>
    <row r="26" spans="1:29" s="116" customFormat="1" ht="15">
      <c r="A26" s="648"/>
      <c r="B26" s="631"/>
      <c r="C26" s="2699"/>
      <c r="D26" s="447"/>
      <c r="E26" s="2700"/>
      <c r="F26" s="447"/>
      <c r="G26" s="2700"/>
      <c r="H26" s="447"/>
      <c r="I26" s="2700"/>
      <c r="J26" s="447"/>
      <c r="K26" s="671"/>
      <c r="L26" s="1132"/>
      <c r="M26" s="1133"/>
      <c r="N26" s="1133"/>
      <c r="O26" s="1134"/>
      <c r="P26" s="3239"/>
      <c r="Q26" s="1793"/>
      <c r="R26" s="769"/>
      <c r="S26" s="770"/>
      <c r="T26" s="769"/>
      <c r="U26" s="770"/>
      <c r="V26" s="769"/>
      <c r="W26" s="770"/>
      <c r="X26" s="771"/>
      <c r="Y26" s="3239"/>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39"/>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39"/>
      <c r="Z27" s="1812" t="str">
        <f t="shared" ref="Z27:Z40" si="13">Q27</f>
        <v>临街状况</v>
      </c>
      <c r="AA27" s="1809">
        <f t="shared" si="3"/>
        <v>1</v>
      </c>
      <c r="AB27" s="1809">
        <f t="shared" si="4"/>
        <v>1</v>
      </c>
      <c r="AC27" s="1809">
        <f t="shared" si="5"/>
        <v>1</v>
      </c>
    </row>
    <row r="28" spans="1:29" ht="27">
      <c r="A28" s="427"/>
      <c r="B28" s="632" t="s">
        <v>2680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39"/>
      <c r="Q28" s="1808" t="str">
        <f t="shared" si="8"/>
        <v>毗邻道路的类型与等级</v>
      </c>
      <c r="R28" s="773" t="s">
        <v>17</v>
      </c>
      <c r="S28" s="774">
        <f t="shared" si="10"/>
        <v>100</v>
      </c>
      <c r="T28" s="773" t="s">
        <v>17</v>
      </c>
      <c r="U28" s="774">
        <f t="shared" si="11"/>
        <v>100</v>
      </c>
      <c r="V28" s="773" t="s">
        <v>17</v>
      </c>
      <c r="W28" s="774">
        <f t="shared" si="12"/>
        <v>100</v>
      </c>
      <c r="X28" s="1811"/>
      <c r="Y28" s="3239"/>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40"/>
      <c r="M29" s="1131"/>
      <c r="N29" s="1131"/>
      <c r="O29" s="1139"/>
      <c r="P29" s="3239"/>
      <c r="Q29" s="1808"/>
      <c r="R29" s="773"/>
      <c r="S29" s="774"/>
      <c r="T29" s="773"/>
      <c r="U29" s="774"/>
      <c r="V29" s="773"/>
      <c r="W29" s="774"/>
      <c r="X29" s="1811"/>
      <c r="Y29" s="3239"/>
      <c r="Z29" s="1812"/>
      <c r="AA29" s="1809">
        <v>1</v>
      </c>
      <c r="AB29" s="1809">
        <v>1</v>
      </c>
      <c r="AC29" s="1809">
        <v>1</v>
      </c>
    </row>
    <row r="30" spans="1:29" ht="15">
      <c r="A30" s="427"/>
      <c r="B30" s="653" t="s">
        <v>2739</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39"/>
      <c r="Q30" s="1808" t="str">
        <f t="shared" si="8"/>
        <v>土地级别</v>
      </c>
      <c r="R30" s="773" t="s">
        <v>17</v>
      </c>
      <c r="S30" s="774">
        <f t="shared" si="10"/>
        <v>100</v>
      </c>
      <c r="T30" s="773" t="s">
        <v>17</v>
      </c>
      <c r="U30" s="774">
        <f t="shared" si="11"/>
        <v>100</v>
      </c>
      <c r="V30" s="773" t="s">
        <v>17</v>
      </c>
      <c r="W30" s="774">
        <f t="shared" si="12"/>
        <v>100</v>
      </c>
      <c r="X30" s="1811"/>
      <c r="Y30" s="3239"/>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39"/>
      <c r="Q31" s="1808">
        <f t="shared" si="8"/>
        <v>111</v>
      </c>
      <c r="R31" s="773" t="s">
        <v>17</v>
      </c>
      <c r="S31" s="774">
        <f t="shared" si="10"/>
        <v>100</v>
      </c>
      <c r="T31" s="773" t="s">
        <v>17</v>
      </c>
      <c r="U31" s="774">
        <f t="shared" si="11"/>
        <v>100</v>
      </c>
      <c r="V31" s="773" t="s">
        <v>17</v>
      </c>
      <c r="W31" s="774">
        <f t="shared" si="12"/>
        <v>100</v>
      </c>
      <c r="X31" s="1811"/>
      <c r="Y31" s="3239"/>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63" t="s">
        <v>2554</v>
      </c>
      <c r="Q32" s="1808">
        <f t="shared" si="8"/>
        <v>111</v>
      </c>
      <c r="R32" s="773" t="s">
        <v>17</v>
      </c>
      <c r="S32" s="774">
        <f t="shared" si="10"/>
        <v>100</v>
      </c>
      <c r="T32" s="773" t="s">
        <v>17</v>
      </c>
      <c r="U32" s="774">
        <f t="shared" si="11"/>
        <v>100</v>
      </c>
      <c r="V32" s="773" t="s">
        <v>17</v>
      </c>
      <c r="W32" s="774">
        <f t="shared" si="12"/>
        <v>100</v>
      </c>
      <c r="X32" s="1811"/>
      <c r="Y32" s="3243" t="s">
        <v>2554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43"/>
      <c r="Q33" s="1808">
        <f t="shared" si="8"/>
        <v>111</v>
      </c>
      <c r="R33" s="776" t="s">
        <v>17</v>
      </c>
      <c r="S33" s="777">
        <f t="shared" si="10"/>
        <v>100</v>
      </c>
      <c r="T33" s="776" t="s">
        <v>17</v>
      </c>
      <c r="U33" s="777">
        <f t="shared" si="11"/>
        <v>100</v>
      </c>
      <c r="V33" s="776" t="s">
        <v>17</v>
      </c>
      <c r="W33" s="777">
        <f t="shared" si="12"/>
        <v>100</v>
      </c>
      <c r="X33" s="778"/>
      <c r="Y33" s="3243"/>
      <c r="Z33" s="779">
        <f t="shared" si="13"/>
        <v>111</v>
      </c>
      <c r="AA33" s="1809">
        <f t="shared" si="3"/>
        <v>1</v>
      </c>
      <c r="AB33" s="1809">
        <f t="shared" si="4"/>
        <v>1</v>
      </c>
      <c r="AC33" s="1809">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43"/>
      <c r="Q34" s="1808" t="str">
        <f>B34</f>
        <v>宗地面积</v>
      </c>
      <c r="R34" s="773" t="s">
        <v>17</v>
      </c>
      <c r="S34" s="774" t="e">
        <f t="shared" si="10"/>
        <v>#N/A</v>
      </c>
      <c r="T34" s="773" t="s">
        <v>17</v>
      </c>
      <c r="U34" s="774" t="e">
        <f t="shared" si="11"/>
        <v>#N/A</v>
      </c>
      <c r="V34" s="773" t="s">
        <v>17</v>
      </c>
      <c r="W34" s="774" t="e">
        <f t="shared" si="12"/>
        <v>#N/A</v>
      </c>
      <c r="X34" s="1811"/>
      <c r="Y34" s="3243"/>
      <c r="Z34" s="1812" t="str">
        <f t="shared" si="13"/>
        <v>宗地面积</v>
      </c>
      <c r="AA34" s="1809" t="e">
        <f t="shared" si="3"/>
        <v>#N/A</v>
      </c>
      <c r="AB34" s="1809" t="e">
        <f t="shared" si="4"/>
        <v>#N/A</v>
      </c>
      <c r="AC34" s="1809" t="e">
        <f t="shared" si="5"/>
        <v>#N/A</v>
      </c>
    </row>
    <row r="35" spans="1:29" ht="15">
      <c r="A35" s="471"/>
      <c r="B35" s="421" t="s">
        <v>2741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43"/>
      <c r="Q35" s="1808" t="str">
        <f t="shared" ref="Q35:Q40" si="14">B35</f>
        <v>宗地形状</v>
      </c>
      <c r="R35" s="773" t="s">
        <v>17</v>
      </c>
      <c r="S35" s="774">
        <f t="shared" si="10"/>
        <v>100</v>
      </c>
      <c r="T35" s="773" t="s">
        <v>17</v>
      </c>
      <c r="U35" s="774">
        <f t="shared" si="11"/>
        <v>100</v>
      </c>
      <c r="V35" s="773" t="s">
        <v>17</v>
      </c>
      <c r="W35" s="774">
        <f t="shared" si="12"/>
        <v>100</v>
      </c>
      <c r="X35" s="1811"/>
      <c r="Y35" s="3243"/>
      <c r="Z35" s="1812" t="str">
        <f t="shared" si="13"/>
        <v>宗地形状</v>
      </c>
      <c r="AA35" s="1809">
        <f t="shared" si="3"/>
        <v>1</v>
      </c>
      <c r="AB35" s="1809">
        <f t="shared" si="4"/>
        <v>1</v>
      </c>
      <c r="AC35" s="1809">
        <f t="shared" si="5"/>
        <v>1</v>
      </c>
    </row>
    <row r="36" spans="1:29" s="116" customFormat="1" ht="15">
      <c r="A36" s="472"/>
      <c r="B36" s="421" t="s">
        <v>2743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43"/>
      <c r="Q36" s="1808" t="str">
        <f t="shared" si="14"/>
        <v>宗地开发程度</v>
      </c>
      <c r="R36" s="769" t="s">
        <v>17</v>
      </c>
      <c r="S36" s="770">
        <f t="shared" si="10"/>
        <v>100</v>
      </c>
      <c r="T36" s="769" t="s">
        <v>17</v>
      </c>
      <c r="U36" s="770">
        <f t="shared" si="11"/>
        <v>100</v>
      </c>
      <c r="V36" s="769" t="s">
        <v>17</v>
      </c>
      <c r="W36" s="770">
        <f t="shared" si="12"/>
        <v>100</v>
      </c>
      <c r="X36" s="771"/>
      <c r="Y36" s="3243"/>
      <c r="Z36" s="54" t="str">
        <f t="shared" si="13"/>
        <v>宗地开发程度</v>
      </c>
      <c r="AA36" s="772">
        <f t="shared" si="3"/>
        <v>1</v>
      </c>
      <c r="AB36" s="772">
        <f t="shared" si="4"/>
        <v>1</v>
      </c>
      <c r="AC36" s="772">
        <f t="shared" si="5"/>
        <v>1</v>
      </c>
    </row>
    <row r="37" spans="1:29" ht="15">
      <c r="A37" s="471"/>
      <c r="B37" s="421" t="s">
        <v>2744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43" t="s">
        <v>2554</v>
      </c>
      <c r="Q37" s="1808" t="str">
        <f t="shared" si="14"/>
        <v>工程地质条件</v>
      </c>
      <c r="R37" s="773" t="s">
        <v>17</v>
      </c>
      <c r="S37" s="774">
        <f t="shared" si="10"/>
        <v>100</v>
      </c>
      <c r="T37" s="773" t="s">
        <v>17</v>
      </c>
      <c r="U37" s="774">
        <f t="shared" si="11"/>
        <v>100</v>
      </c>
      <c r="V37" s="773" t="s">
        <v>17</v>
      </c>
      <c r="W37" s="774">
        <f t="shared" si="12"/>
        <v>100</v>
      </c>
      <c r="X37" s="1811"/>
      <c r="Y37" s="3243" t="s">
        <v>2554</v>
      </c>
      <c r="Z37" s="1812" t="str">
        <f t="shared" si="13"/>
        <v>工程地质条件</v>
      </c>
      <c r="AA37" s="1809">
        <f t="shared" si="3"/>
        <v>1</v>
      </c>
      <c r="AB37" s="1809">
        <f t="shared" si="4"/>
        <v>1</v>
      </c>
      <c r="AC37" s="1809">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43"/>
      <c r="Q38" s="1808">
        <f t="shared" si="14"/>
        <v>111</v>
      </c>
      <c r="R38" s="773" t="s">
        <v>17</v>
      </c>
      <c r="S38" s="774">
        <f t="shared" si="10"/>
        <v>100</v>
      </c>
      <c r="T38" s="773" t="s">
        <v>17</v>
      </c>
      <c r="U38" s="774">
        <f t="shared" si="11"/>
        <v>100</v>
      </c>
      <c r="V38" s="773" t="s">
        <v>17</v>
      </c>
      <c r="W38" s="774">
        <f t="shared" si="12"/>
        <v>100</v>
      </c>
      <c r="X38" s="1811"/>
      <c r="Y38" s="3243"/>
      <c r="Z38" s="1812">
        <f t="shared" si="13"/>
        <v>111</v>
      </c>
      <c r="AA38" s="1809">
        <f t="shared" si="3"/>
        <v>1</v>
      </c>
      <c r="AB38" s="1809">
        <f t="shared" si="4"/>
        <v>1</v>
      </c>
      <c r="AC38" s="1809">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43"/>
      <c r="Q39" s="1808">
        <f t="shared" si="14"/>
        <v>111</v>
      </c>
      <c r="R39" s="773" t="s">
        <v>17</v>
      </c>
      <c r="S39" s="774">
        <f t="shared" si="10"/>
        <v>100</v>
      </c>
      <c r="T39" s="773" t="s">
        <v>17</v>
      </c>
      <c r="U39" s="774">
        <f t="shared" si="11"/>
        <v>100</v>
      </c>
      <c r="V39" s="773" t="s">
        <v>17</v>
      </c>
      <c r="W39" s="774">
        <f t="shared" si="12"/>
        <v>100</v>
      </c>
      <c r="X39" s="1811"/>
      <c r="Y39" s="3243"/>
      <c r="Z39" s="1812">
        <f t="shared" si="13"/>
        <v>111</v>
      </c>
      <c r="AA39" s="1809">
        <f t="shared" si="3"/>
        <v>1</v>
      </c>
      <c r="AB39" s="1809">
        <f t="shared" si="4"/>
        <v>1</v>
      </c>
      <c r="AC39" s="1809">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43"/>
      <c r="Q40" s="1808">
        <f t="shared" si="14"/>
        <v>111</v>
      </c>
      <c r="R40" s="776" t="s">
        <v>17</v>
      </c>
      <c r="S40" s="777">
        <f t="shared" si="10"/>
        <v>100</v>
      </c>
      <c r="T40" s="776" t="s">
        <v>17</v>
      </c>
      <c r="U40" s="777">
        <f t="shared" si="11"/>
        <v>100</v>
      </c>
      <c r="V40" s="776" t="s">
        <v>17</v>
      </c>
      <c r="W40" s="777">
        <f t="shared" si="12"/>
        <v>100</v>
      </c>
      <c r="X40" s="778"/>
      <c r="Y40" s="3243"/>
      <c r="Z40" s="779">
        <f t="shared" si="13"/>
        <v>111</v>
      </c>
      <c r="AA40" s="1809">
        <f t="shared" si="3"/>
        <v>1</v>
      </c>
      <c r="AB40" s="1809">
        <f t="shared" si="4"/>
        <v>1</v>
      </c>
      <c r="AC40" s="1809">
        <f t="shared" si="5"/>
        <v>1</v>
      </c>
    </row>
    <row r="41" spans="1:29" ht="15">
      <c r="A41" s="478" t="s">
        <v>2709</v>
      </c>
      <c r="B41" s="2703" t="s">
        <v>2789</v>
      </c>
      <c r="C41" s="681" t="s">
        <v>1</v>
      </c>
      <c r="D41" s="480"/>
      <c r="E41" s="481"/>
      <c r="F41" s="482"/>
      <c r="G41" s="483"/>
      <c r="H41" s="484"/>
      <c r="I41" s="481"/>
      <c r="J41" s="484"/>
      <c r="K41" s="782"/>
      <c r="L41" s="1143"/>
      <c r="M41" s="1131"/>
      <c r="N41" s="1131"/>
      <c r="O41" s="1144"/>
      <c r="P41" s="3236" t="str">
        <f>A41</f>
        <v>成交单价</v>
      </c>
      <c r="Q41" s="3236"/>
      <c r="R41" s="3231">
        <f>E41</f>
        <v>0</v>
      </c>
      <c r="S41" s="3231"/>
      <c r="T41" s="3231">
        <f>G41</f>
        <v>0</v>
      </c>
      <c r="U41" s="3231"/>
      <c r="V41" s="3231">
        <f>I41</f>
        <v>0</v>
      </c>
      <c r="W41" s="3231"/>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3"/>
      <c r="M42" s="1131"/>
      <c r="N42" s="1131"/>
      <c r="O42" s="1144"/>
      <c r="P42" s="3236" t="str">
        <f>A42</f>
        <v>比较价值（元/平方米）</v>
      </c>
      <c r="Q42" s="3236"/>
      <c r="R42" s="3264" t="e">
        <f>ROUND(PRODUCT(R41,AA7:AA40),0)</f>
        <v>#DIV/0!</v>
      </c>
      <c r="S42" s="3264"/>
      <c r="T42" s="3264" t="e">
        <f>ROUND(PRODUCT(T41,AB7:AB40),0)</f>
        <v>#DIV/0!</v>
      </c>
      <c r="U42" s="3264"/>
      <c r="V42" s="3264" t="e">
        <f>ROUND(PRODUCT(V41,AC7:AC40),0)</f>
        <v>#DIV/0!</v>
      </c>
      <c r="W42" s="3264"/>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3"/>
      <c r="M43" s="1131"/>
      <c r="N43" s="1131"/>
      <c r="O43" s="1144"/>
      <c r="P43" s="3233" t="str">
        <f>A43</f>
        <v>估价对象XX用房的比较价值（楼面单价，元/平方米）</v>
      </c>
      <c r="Q43" s="3234"/>
      <c r="R43" s="3265" t="e">
        <f>ROUND(AVERAGE(R42:V42),0)</f>
        <v>#DIV/0!</v>
      </c>
      <c r="S43" s="3265"/>
      <c r="T43" s="3265"/>
      <c r="U43" s="3265"/>
      <c r="V43" s="3265"/>
      <c r="W43" s="3265"/>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2747</v>
      </c>
      <c r="B50" s="684" t="s">
        <v>2748</v>
      </c>
      <c r="C50" s="2704" t="s">
        <v>2749</v>
      </c>
      <c r="D50" s="2705" t="s">
        <v>2750</v>
      </c>
      <c r="E50" s="685" t="s">
        <v>2751</v>
      </c>
      <c r="F50" s="686" t="s">
        <v>2752</v>
      </c>
      <c r="G50" s="3219" t="s">
        <v>2753</v>
      </c>
      <c r="H50" s="3266"/>
      <c r="I50" s="1812" t="s">
        <v>2790</v>
      </c>
      <c r="J50" s="1812">
        <f>项目基本情况!F35</f>
        <v>0</v>
      </c>
      <c r="K50" s="2707" t="s">
        <v>2755</v>
      </c>
      <c r="L50" s="1106"/>
      <c r="M50" s="1144"/>
      <c r="N50" s="1144"/>
      <c r="O50" s="1144"/>
    </row>
    <row r="51" spans="1:17" s="691" customFormat="1">
      <c r="A51" s="687" t="s">
        <v>2756</v>
      </c>
      <c r="B51" s="688" t="e">
        <f>C43</f>
        <v>#DIV/0!</v>
      </c>
      <c r="C51" s="689">
        <v>1</v>
      </c>
      <c r="D51" s="1163">
        <v>1</v>
      </c>
      <c r="E51" s="689">
        <f>'数据-汇总表'!E8+'数据-汇总表'!E9</f>
        <v>8276.64</v>
      </c>
      <c r="F51" s="690" t="e">
        <f t="shared" ref="F51:F60" si="15">ROUND(B51*E51/10000,0)</f>
        <v>#DIV/0!</v>
      </c>
      <c r="G51" s="3218"/>
      <c r="H51" s="3236"/>
      <c r="I51" s="944">
        <v>1</v>
      </c>
      <c r="J51" s="944">
        <v>1</v>
      </c>
      <c r="K51" s="1145"/>
      <c r="L51" s="943"/>
      <c r="M51" s="943"/>
      <c r="N51" s="943"/>
      <c r="O51" s="943"/>
    </row>
    <row r="52" spans="1:17" s="691" customFormat="1">
      <c r="A52" s="692" t="s">
        <v>2757</v>
      </c>
      <c r="B52" s="261" t="e">
        <f>ROUND($C$43*C52*D52,0)</f>
        <v>#DIV/0!</v>
      </c>
      <c r="C52" s="199">
        <f t="shared" ref="C52:C60" si="16">IF($C$50="北京市系数",I52,J52)</f>
        <v>0</v>
      </c>
      <c r="D52" s="1164">
        <v>0.25</v>
      </c>
      <c r="E52" s="693"/>
      <c r="F52" s="690" t="e">
        <f t="shared" si="15"/>
        <v>#DIV/0!</v>
      </c>
      <c r="G52" s="3267" t="s">
        <v>2758</v>
      </c>
      <c r="H52" s="1104">
        <f>项目基本情况!B37</f>
        <v>0</v>
      </c>
      <c r="I52" s="944">
        <f>SUMIF(修正!A45:A56,H52,修正!B45:B56)</f>
        <v>0</v>
      </c>
      <c r="J52" s="945"/>
      <c r="K52" s="1144"/>
      <c r="L52" s="943"/>
      <c r="M52" s="943"/>
      <c r="N52" s="943"/>
      <c r="O52" s="943"/>
    </row>
    <row r="53" spans="1:17" s="691" customFormat="1">
      <c r="A53" s="692" t="s">
        <v>2759</v>
      </c>
      <c r="B53" s="261" t="e">
        <f t="shared" ref="B53:B60" si="17">ROUND($C$43*C53*D53,0)</f>
        <v>#DIV/0!</v>
      </c>
      <c r="C53" s="199">
        <f t="shared" si="16"/>
        <v>0</v>
      </c>
      <c r="D53" s="1164">
        <v>0.25</v>
      </c>
      <c r="E53" s="693"/>
      <c r="F53" s="690" t="e">
        <f t="shared" si="15"/>
        <v>#DIV/0!</v>
      </c>
      <c r="G53" s="3267"/>
      <c r="H53" s="1104">
        <f>项目基本情况!B37</f>
        <v>0</v>
      </c>
      <c r="I53" s="944">
        <f>SUMIF(修正!A45:A56,H53,修正!C45:C56)</f>
        <v>0</v>
      </c>
      <c r="J53" s="945"/>
      <c r="K53" s="1145"/>
      <c r="L53" s="943"/>
      <c r="M53" s="943"/>
      <c r="N53" s="943"/>
      <c r="O53" s="943"/>
    </row>
    <row r="54" spans="1:17" s="691" customFormat="1">
      <c r="A54" s="692" t="s">
        <v>2760</v>
      </c>
      <c r="B54" s="261" t="e">
        <f t="shared" si="17"/>
        <v>#DIV/0!</v>
      </c>
      <c r="C54" s="199">
        <f t="shared" si="16"/>
        <v>0</v>
      </c>
      <c r="D54" s="1164">
        <v>0.25</v>
      </c>
      <c r="E54" s="693"/>
      <c r="F54" s="690" t="e">
        <f t="shared" si="15"/>
        <v>#DIV/0!</v>
      </c>
      <c r="G54" s="3267"/>
      <c r="H54" s="1104">
        <f>项目基本情况!B37</f>
        <v>0</v>
      </c>
      <c r="I54" s="944">
        <f>SUMIF(修正!A45:A56,H54,修正!D45:D56)</f>
        <v>0</v>
      </c>
      <c r="J54" s="945"/>
      <c r="K54" s="1144"/>
      <c r="L54" s="943"/>
      <c r="M54" s="943"/>
      <c r="N54" s="943"/>
      <c r="O54" s="943"/>
    </row>
    <row r="55" spans="1:17" s="691" customFormat="1">
      <c r="A55" s="692" t="s">
        <v>2761</v>
      </c>
      <c r="B55" s="261" t="e">
        <f t="shared" si="17"/>
        <v>#DIV/0!</v>
      </c>
      <c r="C55" s="199">
        <f t="shared" si="16"/>
        <v>0</v>
      </c>
      <c r="D55" s="1164">
        <v>0.25</v>
      </c>
      <c r="E55" s="693"/>
      <c r="F55" s="690" t="e">
        <f t="shared" si="15"/>
        <v>#DIV/0!</v>
      </c>
      <c r="G55" s="3267"/>
      <c r="H55" s="1104">
        <f>项目基本情况!B37</f>
        <v>0</v>
      </c>
      <c r="I55" s="944">
        <f>SUMIF(修正!A45:A56,H55,修正!E45:E56)</f>
        <v>0</v>
      </c>
      <c r="J55" s="945"/>
      <c r="K55" s="1145"/>
      <c r="L55" s="943"/>
      <c r="M55" s="943"/>
      <c r="N55" s="943"/>
      <c r="O55" s="943"/>
    </row>
    <row r="56" spans="1:17" s="691" customFormat="1">
      <c r="A56" s="692" t="s">
        <v>2762</v>
      </c>
      <c r="B56" s="261" t="e">
        <f t="shared" si="17"/>
        <v>#DIV/0!</v>
      </c>
      <c r="C56" s="199">
        <f t="shared" si="16"/>
        <v>0.3</v>
      </c>
      <c r="D56" s="1164">
        <v>0.25</v>
      </c>
      <c r="E56" s="260">
        <f>'数据-汇总表'!E11</f>
        <v>0</v>
      </c>
      <c r="F56" s="690" t="e">
        <f t="shared" si="15"/>
        <v>#DIV/0!</v>
      </c>
      <c r="G56" s="2708" t="s">
        <v>2763</v>
      </c>
      <c r="H56" s="1104" t="str">
        <f>项目基本情况!C37</f>
        <v>二级</v>
      </c>
      <c r="I56" s="944">
        <f>SUMIF(修正!A45:A56,H56,修正!F45:F56)</f>
        <v>0.3</v>
      </c>
      <c r="J56" s="945"/>
      <c r="K56" s="1144"/>
      <c r="L56" s="943"/>
      <c r="M56" s="943"/>
      <c r="N56" s="943"/>
      <c r="O56" s="943"/>
    </row>
    <row r="57" spans="1:17" s="691" customFormat="1">
      <c r="A57" s="692" t="s">
        <v>2764</v>
      </c>
      <c r="B57" s="261" t="e">
        <f t="shared" si="17"/>
        <v>#DIV/0!</v>
      </c>
      <c r="C57" s="199">
        <f t="shared" si="16"/>
        <v>0.3</v>
      </c>
      <c r="D57" s="1164">
        <v>0.25</v>
      </c>
      <c r="E57" s="260">
        <f>'数据-汇总表'!E12</f>
        <v>0</v>
      </c>
      <c r="F57" s="690" t="e">
        <f t="shared" si="15"/>
        <v>#DIV/0!</v>
      </c>
      <c r="G57" s="1109" t="s">
        <v>2765</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2766</v>
      </c>
      <c r="B58" s="261" t="e">
        <f t="shared" si="17"/>
        <v>#DIV/0!</v>
      </c>
      <c r="C58" s="199">
        <f t="shared" si="16"/>
        <v>0</v>
      </c>
      <c r="D58" s="1164">
        <v>0.25</v>
      </c>
      <c r="E58" s="260">
        <f>'数据-汇总表'!E13</f>
        <v>0</v>
      </c>
      <c r="F58" s="690" t="e">
        <f t="shared" si="15"/>
        <v>#DIV/0!</v>
      </c>
      <c r="G58" s="1109" t="s">
        <v>2767</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2768</v>
      </c>
      <c r="B59" s="261" t="e">
        <f t="shared" si="17"/>
        <v>#DIV/0!</v>
      </c>
      <c r="C59" s="199">
        <f t="shared" si="16"/>
        <v>0</v>
      </c>
      <c r="D59" s="1164">
        <v>0.25</v>
      </c>
      <c r="E59" s="260">
        <f>'数据-汇总表'!E14</f>
        <v>0</v>
      </c>
      <c r="F59" s="690" t="e">
        <f t="shared" si="15"/>
        <v>#DIV/0!</v>
      </c>
      <c r="G59" s="2708" t="s">
        <v>2758</v>
      </c>
      <c r="H59" s="1104">
        <f>项目基本情况!B37</f>
        <v>0</v>
      </c>
      <c r="I59" s="944">
        <f>SUMIF(修正!A45:A56,H59,修正!H45:H56)</f>
        <v>0</v>
      </c>
      <c r="J59" s="945"/>
      <c r="K59" s="1145"/>
      <c r="L59" s="943"/>
      <c r="M59" s="943"/>
      <c r="N59" s="943"/>
      <c r="O59" s="943"/>
    </row>
    <row r="60" spans="1:17" s="691" customFormat="1" ht="15" thickBot="1">
      <c r="A60" s="692" t="s">
        <v>2769</v>
      </c>
      <c r="B60" s="261" t="e">
        <f t="shared" si="17"/>
        <v>#DIV/0!</v>
      </c>
      <c r="C60" s="199">
        <f t="shared" si="16"/>
        <v>0.25</v>
      </c>
      <c r="D60" s="1164">
        <v>0.25</v>
      </c>
      <c r="E60" s="260">
        <f>'数据-汇总表'!E15</f>
        <v>0</v>
      </c>
      <c r="F60" s="690" t="e">
        <f t="shared" si="15"/>
        <v>#DIV/0!</v>
      </c>
      <c r="G60" s="2709" t="s">
        <v>2763</v>
      </c>
      <c r="H60" s="1114" t="str">
        <f>项目基本情况!C37</f>
        <v>二级</v>
      </c>
      <c r="I60" s="944">
        <f>SUMIF(修正!A45:A56,H60,修正!H45:H56)</f>
        <v>0.25</v>
      </c>
      <c r="J60" s="945"/>
      <c r="K60" s="1144"/>
      <c r="L60" s="943"/>
      <c r="M60" s="943"/>
      <c r="N60" s="943"/>
      <c r="O60" s="943"/>
    </row>
    <row r="61" spans="1:17" s="691" customFormat="1" ht="15" thickBot="1">
      <c r="A61" s="694" t="s">
        <v>2770</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2663</v>
      </c>
      <c r="B64" s="758"/>
      <c r="C64" s="763"/>
      <c r="D64" s="763"/>
      <c r="E64" s="763"/>
      <c r="F64" s="764"/>
      <c r="G64" s="764"/>
      <c r="H64" s="763"/>
      <c r="I64" s="763"/>
      <c r="J64" s="763"/>
      <c r="K64" s="765"/>
      <c r="L64" s="766"/>
      <c r="M64" s="763"/>
      <c r="N64" s="763"/>
      <c r="O64" s="1159"/>
      <c r="P64" s="502"/>
      <c r="Q64" s="503"/>
    </row>
    <row r="65" spans="1:17" s="507" customFormat="1" ht="15">
      <c r="A65" s="2710" t="s">
        <v>2771</v>
      </c>
      <c r="B65" s="1359"/>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6" customFormat="1" ht="30.75" customHeight="1">
      <c r="A66" s="2715" t="s">
        <v>2791</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2577</v>
      </c>
      <c r="B70" s="527" t="s">
        <v>2543</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2546</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2680</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2739</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2781</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2784</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9" t="s">
        <v>2983</v>
      </c>
      <c r="B2" s="2910">
        <f ca="1">SUMIF(B6:B13,"&lt;&gt;#ref!",B6:B13)</f>
        <v>19736</v>
      </c>
      <c r="C2" s="2909" t="s">
        <v>2984</v>
      </c>
      <c r="D2" s="2909" t="s">
        <v>2985</v>
      </c>
      <c r="E2" s="2910">
        <f ca="1">SUMIF(E6:E13,"&lt;&gt;#ref!",E6:E13)</f>
        <v>8276.64</v>
      </c>
    </row>
    <row r="3" spans="1:5" ht="15.75">
      <c r="A3" s="2909" t="s">
        <v>2986</v>
      </c>
      <c r="B3" s="2910">
        <f ca="1">ROUND(B2*10000/E2,0)</f>
        <v>23845</v>
      </c>
      <c r="C3" s="2909" t="s">
        <v>2992</v>
      </c>
      <c r="D3" s="2911"/>
      <c r="E3" s="2911"/>
    </row>
    <row r="4" spans="1:5" ht="15.75">
      <c r="A4" s="2912"/>
      <c r="B4" s="2911"/>
      <c r="C4" s="2911"/>
      <c r="D4" s="2911"/>
      <c r="E4" s="2911"/>
    </row>
    <row r="5" spans="1:5" ht="28.5">
      <c r="A5" s="2913" t="s">
        <v>2987</v>
      </c>
      <c r="B5" s="2909" t="s">
        <v>2988</v>
      </c>
      <c r="C5" s="2910"/>
      <c r="D5" s="2911"/>
      <c r="E5" s="2909" t="s">
        <v>2989</v>
      </c>
    </row>
    <row r="6" spans="1:5" ht="15.75">
      <c r="A6" s="2914" t="s">
        <v>2990</v>
      </c>
      <c r="B6" s="2910">
        <f ca="1">SUMIF(INDIRECT("'"&amp;A6&amp;"'"&amp;"!A:A"),"总价",INDIRECT("'"&amp;A6&amp;"'"&amp;"!B:B"))</f>
        <v>19736</v>
      </c>
      <c r="C6" s="2909" t="s">
        <v>2984</v>
      </c>
      <c r="D6" s="2911"/>
      <c r="E6" s="2574">
        <f ca="1">SUMIF(INDIRECT("'"&amp;A6&amp;"'"&amp;"!C:C"),"建筑面积",INDIRECT("'"&amp;A6&amp;"'"&amp;"!D:D"))</f>
        <v>8276.64</v>
      </c>
    </row>
    <row r="7" spans="1:5" ht="15.75">
      <c r="A7" s="2914"/>
      <c r="B7" s="2910" t="e">
        <f ca="1">SUMIF(INDIRECT("'"&amp;A7&amp;"'"&amp;"!A:A"),"总价",INDIRECT("'"&amp;A7&amp;"'"&amp;"!B:B"))</f>
        <v>#REF!</v>
      </c>
      <c r="C7" s="2909" t="s">
        <v>2984</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2984</v>
      </c>
      <c r="D8" s="2911"/>
      <c r="E8" s="2574" t="e">
        <f t="shared" ca="1" si="0"/>
        <v>#REF!</v>
      </c>
    </row>
    <row r="9" spans="1:5" ht="15.75">
      <c r="A9" s="2914"/>
      <c r="B9" s="2910" t="e">
        <f t="shared" ca="1" si="1"/>
        <v>#REF!</v>
      </c>
      <c r="C9" s="2909" t="s">
        <v>2984</v>
      </c>
      <c r="D9" s="2911"/>
      <c r="E9" s="2574" t="e">
        <f t="shared" ca="1" si="0"/>
        <v>#REF!</v>
      </c>
    </row>
    <row r="10" spans="1:5" ht="15.75">
      <c r="A10" s="2914"/>
      <c r="B10" s="2910" t="e">
        <f t="shared" ca="1" si="1"/>
        <v>#REF!</v>
      </c>
      <c r="C10" s="2909" t="s">
        <v>2984</v>
      </c>
      <c r="D10" s="2911"/>
      <c r="E10" s="2574" t="e">
        <f t="shared" ca="1" si="0"/>
        <v>#REF!</v>
      </c>
    </row>
    <row r="11" spans="1:5" ht="15.75">
      <c r="A11" s="2914"/>
      <c r="B11" s="2910" t="e">
        <f t="shared" ca="1" si="1"/>
        <v>#REF!</v>
      </c>
      <c r="C11" s="2909" t="s">
        <v>2984</v>
      </c>
      <c r="D11" s="2911"/>
      <c r="E11" s="2574" t="e">
        <f t="shared" ca="1" si="0"/>
        <v>#REF!</v>
      </c>
    </row>
    <row r="12" spans="1:5" ht="15.75">
      <c r="A12" s="2914"/>
      <c r="B12" s="2910" t="e">
        <f t="shared" ca="1" si="1"/>
        <v>#REF!</v>
      </c>
      <c r="C12" s="2909" t="s">
        <v>2984</v>
      </c>
      <c r="D12" s="2911"/>
      <c r="E12" s="2574" t="e">
        <f t="shared" ca="1" si="0"/>
        <v>#REF!</v>
      </c>
    </row>
    <row r="13" spans="1:5" ht="15.75">
      <c r="A13" s="2914"/>
      <c r="B13" s="2910" t="e">
        <f t="shared" ca="1" si="1"/>
        <v>#REF!</v>
      </c>
      <c r="C13" s="2909" t="s">
        <v>2984</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5" sqref="C5:C10"/>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8" t="s">
        <v>1150</v>
      </c>
      <c r="C1" s="3278"/>
      <c r="D1" s="3278"/>
      <c r="E1" s="3278"/>
      <c r="F1" s="3278"/>
      <c r="G1" s="3274" t="s">
        <v>1151</v>
      </c>
      <c r="H1" s="3274"/>
      <c r="I1" s="3274"/>
      <c r="J1" s="3274"/>
      <c r="K1" s="3274"/>
      <c r="L1" s="3274"/>
      <c r="N1" s="3274" t="s">
        <v>1152</v>
      </c>
      <c r="O1" s="3274"/>
      <c r="P1" s="3274"/>
      <c r="Q1" s="3274"/>
      <c r="R1" s="1444"/>
      <c r="S1" s="3274" t="s">
        <v>1153</v>
      </c>
      <c r="T1" s="3274"/>
      <c r="U1" s="3274"/>
      <c r="V1" s="3274"/>
      <c r="X1" s="3273" t="s">
        <v>1154</v>
      </c>
      <c r="Y1" s="3274"/>
      <c r="Z1" s="3274"/>
      <c r="AA1" s="3274"/>
      <c r="AB1" s="3274"/>
      <c r="AD1" s="3273" t="s">
        <v>1155</v>
      </c>
      <c r="AE1" s="3274"/>
      <c r="AF1" s="3274"/>
      <c r="AG1" s="3274"/>
      <c r="AH1" s="327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3026</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3027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1462">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3033</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1462">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3025</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1462">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3022</v>
      </c>
      <c r="B9" s="1467">
        <v>439</v>
      </c>
      <c r="C9" s="1467">
        <v>327</v>
      </c>
      <c r="D9" s="1467">
        <f>C9</f>
        <v>327</v>
      </c>
      <c r="E9" s="1467">
        <v>627</v>
      </c>
      <c r="F9" s="1468">
        <v>283</v>
      </c>
      <c r="G9" s="2925">
        <v>2017</v>
      </c>
      <c r="H9" s="1460">
        <v>4</v>
      </c>
      <c r="I9" s="1460">
        <v>1.71</v>
      </c>
      <c r="J9" s="1460">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3023</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1462">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1463">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1462">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79">
        <v>2016</v>
      </c>
      <c r="H13" s="1460">
        <v>4</v>
      </c>
      <c r="I13" s="1460">
        <v>4.5599999999999996</v>
      </c>
      <c r="J13" s="1460">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76"/>
      <c r="H14" s="1462">
        <v>3</v>
      </c>
      <c r="I14" s="1462">
        <v>4.12</v>
      </c>
      <c r="J14" s="1462">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76"/>
      <c r="H15" s="1463">
        <v>2</v>
      </c>
      <c r="I15" s="1463">
        <v>3.85</v>
      </c>
      <c r="J15" s="1463">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77"/>
      <c r="H16" s="1462">
        <v>1</v>
      </c>
      <c r="I16" s="1462">
        <v>4.09</v>
      </c>
      <c r="J16" s="1462">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75">
        <v>2015</v>
      </c>
      <c r="H17" s="1480">
        <v>4</v>
      </c>
      <c r="I17" s="1480">
        <v>1.63</v>
      </c>
      <c r="J17" s="1480">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76"/>
      <c r="H18" s="1485">
        <v>3</v>
      </c>
      <c r="I18" s="1485">
        <v>1.65</v>
      </c>
      <c r="J18" s="1485">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76"/>
      <c r="H19" s="1463">
        <v>2</v>
      </c>
      <c r="I19" s="1463">
        <v>0.77</v>
      </c>
      <c r="J19" s="1463">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77"/>
      <c r="H20" s="1462">
        <v>1</v>
      </c>
      <c r="I20" s="1462">
        <v>0.51</v>
      </c>
      <c r="J20" s="1462">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75">
        <v>2014</v>
      </c>
      <c r="H21" s="1480">
        <v>4</v>
      </c>
      <c r="I21" s="1480">
        <v>0.21</v>
      </c>
      <c r="J21" s="1480">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76"/>
      <c r="H22" s="1490">
        <v>3</v>
      </c>
      <c r="I22" s="1490">
        <v>0.83</v>
      </c>
      <c r="J22" s="149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76"/>
      <c r="H23" s="1480">
        <v>2</v>
      </c>
      <c r="I23" s="1480">
        <v>2.4</v>
      </c>
      <c r="J23" s="1480">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77"/>
      <c r="H24" s="1494">
        <v>1</v>
      </c>
      <c r="I24" s="1494">
        <v>2.97</v>
      </c>
      <c r="J24" s="1494">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80">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81"/>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81"/>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82"/>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75">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76"/>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76"/>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77"/>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75">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76">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76">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77">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75">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76">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76">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77">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75">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76">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76">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77">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75">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76">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76">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77">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75">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76">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76">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77">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75">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76">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76">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77">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75">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76">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76">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77">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75">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76">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76">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77">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75">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76">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76">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77">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75">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76">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76">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77">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2993</v>
      </c>
      <c r="C1" s="3284" t="s">
        <v>2994</v>
      </c>
      <c r="D1" s="3285"/>
      <c r="E1" s="3285"/>
      <c r="F1" s="3285"/>
      <c r="G1" s="3285"/>
      <c r="H1" s="3285"/>
      <c r="I1" s="3285"/>
      <c r="J1" s="3285"/>
      <c r="K1" s="3285"/>
      <c r="L1" s="3285"/>
      <c r="M1" s="3285"/>
      <c r="N1" s="3285"/>
      <c r="O1" s="3285"/>
      <c r="P1" s="3285"/>
      <c r="Q1" s="3285"/>
      <c r="R1" s="3285"/>
      <c r="S1" s="3286"/>
      <c r="T1" s="1204" t="s">
        <v>2995</v>
      </c>
    </row>
    <row r="2" spans="1:45" s="706" customFormat="1">
      <c r="A2" s="1205"/>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7" t="s">
        <v>2997</v>
      </c>
      <c r="C5" s="1216"/>
      <c r="D5" s="1217"/>
      <c r="E5" s="1217"/>
      <c r="F5" s="1709"/>
      <c r="G5" s="1709"/>
      <c r="H5" s="1709"/>
      <c r="I5" s="1709"/>
      <c r="J5" s="1709"/>
      <c r="K5" s="1709"/>
      <c r="L5" s="1710"/>
      <c r="M5" s="1711"/>
      <c r="N5" s="1711"/>
      <c r="O5" s="1709"/>
      <c r="P5" s="1709"/>
      <c r="Q5" s="1709"/>
      <c r="R5" s="1709"/>
      <c r="S5" s="1712"/>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8" t="s">
        <v>2998</v>
      </c>
      <c r="C7" s="1121"/>
      <c r="D7" s="1115"/>
      <c r="E7" s="1115"/>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8" t="s">
        <v>2999</v>
      </c>
      <c r="C9" s="1121"/>
      <c r="D9" s="1115"/>
      <c r="E9" s="1115"/>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7" t="s">
        <v>3000</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7" t="s">
        <v>3001</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7" t="s">
        <v>3002</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3003</v>
      </c>
      <c r="B17" s="2916"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7" t="s">
        <v>3005</v>
      </c>
      <c r="E19" s="1790"/>
      <c r="F19" s="1790"/>
      <c r="G19" s="1790"/>
      <c r="H19" s="1280"/>
      <c r="I19" s="167"/>
      <c r="J19" s="167"/>
      <c r="K19" s="167"/>
      <c r="L19" s="167"/>
      <c r="M19" s="167"/>
      <c r="N19" s="167"/>
      <c r="O19" s="167"/>
      <c r="P19" s="167"/>
      <c r="Q19" s="167"/>
      <c r="R19" s="787"/>
      <c r="S19" s="137"/>
    </row>
    <row r="20" spans="1:45" ht="16.5" thickBot="1">
      <c r="A20" s="714" t="s">
        <v>3006</v>
      </c>
      <c r="B20" s="337" t="e">
        <f ca="1">IF(D20="——",S22,S22-F20)</f>
        <v>#REF!</v>
      </c>
      <c r="C20" s="167"/>
      <c r="D20" s="2918" t="s">
        <v>3007</v>
      </c>
      <c r="E20" s="1791"/>
      <c r="F20" s="1204" t="e">
        <f ca="1">SUMIF(INDIRECT("'"&amp;H20&amp;"'"&amp;"!A:A"),"承租人权益价值",INDIRECT("'"&amp;H20&amp;"'"&amp;"!c:c"))</f>
        <v>#REF!</v>
      </c>
      <c r="G20" s="1204" t="s">
        <v>3008</v>
      </c>
      <c r="H20" s="2919"/>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066" t="s">
        <v>33</v>
      </c>
      <c r="D22" s="3067"/>
      <c r="E22" s="3067"/>
      <c r="F22" s="3067"/>
      <c r="G22" s="3067"/>
      <c r="H22" s="3067"/>
      <c r="I22" s="3067"/>
      <c r="J22" s="3067"/>
      <c r="K22" s="3067"/>
      <c r="L22" s="3067"/>
      <c r="M22" s="3067"/>
      <c r="N22" s="3067"/>
      <c r="O22" s="3067"/>
      <c r="P22" s="3067"/>
      <c r="Q22" s="3283"/>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59"/>
      <c r="B4" s="2969" t="s">
        <v>1630</v>
      </c>
      <c r="C4" s="2969"/>
      <c r="D4" s="2969"/>
      <c r="E4" s="1959"/>
    </row>
    <row r="5" spans="1:5" ht="16.5" thickTop="1">
      <c r="A5" s="1957"/>
      <c r="B5" s="2967" t="s">
        <v>1622</v>
      </c>
      <c r="C5" s="1960" t="s">
        <v>1623</v>
      </c>
      <c r="D5" s="1041">
        <f ca="1">结果表!H101</f>
        <v>30194</v>
      </c>
      <c r="E5" s="1957"/>
    </row>
    <row r="6" spans="1:5" ht="15.75">
      <c r="A6" s="1957"/>
      <c r="B6" s="2967"/>
      <c r="C6" s="1960" t="s">
        <v>1624</v>
      </c>
      <c r="D6" s="1041" t="str">
        <f ca="1">NUMBERSTRING(INT(D5*10000),2)&amp;"元整"</f>
        <v>叁亿零壹佰玖拾肆万元整</v>
      </c>
      <c r="E6" s="1957"/>
    </row>
    <row r="7" spans="1:5" ht="15.75">
      <c r="A7" s="1957"/>
      <c r="B7" s="2972"/>
      <c r="C7" s="1961" t="s">
        <v>1625</v>
      </c>
      <c r="D7" s="1042">
        <f ca="1">结果表!H102</f>
        <v>36481</v>
      </c>
      <c r="E7" s="1957"/>
    </row>
    <row r="8" spans="1:5" ht="15.75">
      <c r="A8" s="1957"/>
      <c r="B8" s="2973" t="str">
        <f>结果表!E103</f>
        <v>2.估价师知悉的法定优先受偿款</v>
      </c>
      <c r="C8" s="1962" t="s">
        <v>1626</v>
      </c>
      <c r="D8" s="1042">
        <f>结果表!H103</f>
        <v>0</v>
      </c>
      <c r="E8" s="1957"/>
    </row>
    <row r="9" spans="1:5" ht="15.75">
      <c r="A9" s="1957"/>
      <c r="B9" s="2975"/>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66" t="str">
        <f>结果表!E107</f>
        <v>3.房地产抵押价值</v>
      </c>
      <c r="C13" s="1965" t="s">
        <v>1623</v>
      </c>
      <c r="D13" s="1044">
        <f ca="1">结果表!H107</f>
        <v>30194</v>
      </c>
      <c r="E13" s="1957"/>
    </row>
    <row r="14" spans="1:5" ht="15.75">
      <c r="A14" s="1957"/>
      <c r="B14" s="2967"/>
      <c r="C14" s="1960" t="s">
        <v>1624</v>
      </c>
      <c r="D14" s="1041" t="str">
        <f ca="1">NUMBERSTRING(INT(D13*10000),2)&amp;"元整"</f>
        <v>叁亿零壹佰玖拾肆万元整</v>
      </c>
      <c r="E14" s="1957"/>
    </row>
    <row r="15" spans="1:5" ht="15">
      <c r="A15" s="1957"/>
      <c r="B15" s="2972"/>
      <c r="C15" s="1961" t="s">
        <v>1634</v>
      </c>
      <c r="D15" s="1053">
        <f ca="1">结果表!H108</f>
        <v>36481</v>
      </c>
      <c r="E15" s="1957"/>
    </row>
    <row r="16" spans="1:5" ht="15">
      <c r="A16" s="1957"/>
      <c r="B16" s="2973" t="str">
        <f>结果表!E109</f>
        <v>——</v>
      </c>
      <c r="C16" s="1965" t="s">
        <v>1635</v>
      </c>
      <c r="D16" s="1966" t="str">
        <f>结果表!H109</f>
        <v>——</v>
      </c>
      <c r="E16" s="1957"/>
    </row>
    <row r="17" spans="1:5" ht="15.75">
      <c r="A17" s="1957"/>
      <c r="B17" s="2974"/>
      <c r="C17" s="1960" t="s">
        <v>1636</v>
      </c>
      <c r="D17" s="1041" t="e">
        <f>NUMBERSTRING(INT(D16*10000),2)&amp;"元整"</f>
        <v>#VALUE!</v>
      </c>
      <c r="E17" s="1957"/>
    </row>
    <row r="18" spans="1:5" ht="15">
      <c r="A18" s="1957"/>
      <c r="B18" s="2975"/>
      <c r="C18" s="1961" t="s">
        <v>1625</v>
      </c>
      <c r="D18" s="1053" t="str">
        <f>结果表!H110</f>
        <v>——</v>
      </c>
      <c r="E18" s="1957"/>
    </row>
    <row r="19" spans="1:5" ht="15.75">
      <c r="A19" s="1957"/>
      <c r="B19" s="2966" t="str">
        <f>结果表!E111</f>
        <v>——</v>
      </c>
      <c r="C19" s="1965" t="s">
        <v>1623</v>
      </c>
      <c r="D19" s="1042" t="str">
        <f>结果表!H111</f>
        <v>——</v>
      </c>
      <c r="E19" s="1957"/>
    </row>
    <row r="20" spans="1:5" ht="15.75">
      <c r="A20" s="1957"/>
      <c r="B20" s="2967"/>
      <c r="C20" s="1960" t="s">
        <v>1636</v>
      </c>
      <c r="D20" s="1041" t="e">
        <f>NUMBERSTRING(INT(D19*10000),2)&amp;"元整"</f>
        <v>#VALUE!</v>
      </c>
      <c r="E20" s="1957"/>
    </row>
    <row r="21" spans="1:5" ht="15.75" thickBot="1">
      <c r="A21" s="1957"/>
      <c r="B21" s="2968"/>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33560</v>
      </c>
      <c r="C2" s="2" t="s">
        <v>133</v>
      </c>
      <c r="D2" s="242"/>
      <c r="E2" s="242"/>
      <c r="F2" s="242"/>
      <c r="G2" s="242"/>
    </row>
    <row r="3" spans="1:7" s="243" customFormat="1" ht="18" customHeight="1" thickBot="1">
      <c r="A3" s="246" t="s">
        <v>85</v>
      </c>
      <c r="B3" s="247">
        <f ca="1">ROUND(B2*10000/'数据-汇总表'!E3,0)</f>
        <v>40548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416</v>
      </c>
      <c r="D20" s="275"/>
      <c r="E20" s="275"/>
      <c r="F20" s="276">
        <f>'数据-取费表'!B37</f>
        <v>0.02</v>
      </c>
      <c r="G20" s="1289"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4">
        <f ca="1">ROUND(SUM(C23:C25),0)</f>
        <v>2040</v>
      </c>
      <c r="D22" s="278">
        <f ca="1">C26</f>
        <v>1E-3</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4238</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4238</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29805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3311</v>
      </c>
      <c r="D34" s="260"/>
      <c r="E34" s="263"/>
      <c r="F34" s="300">
        <f>IF('数据-取费表'!B24=0,1,'数据-取费表'!N16)</f>
        <v>1</v>
      </c>
      <c r="G34" s="262" t="s">
        <v>116</v>
      </c>
    </row>
    <row r="35" spans="1:7" ht="13.5" customHeight="1">
      <c r="A35" s="953" t="s">
        <v>796</v>
      </c>
      <c r="B35" s="258" t="s">
        <v>60</v>
      </c>
      <c r="C35" s="263">
        <f>ROUND(C34*F35,0)</f>
        <v>99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50</v>
      </c>
      <c r="D38" s="263"/>
      <c r="E38" s="263"/>
      <c r="F38" s="302">
        <f>'数据-取费表'!B36</f>
        <v>1.4999999999999999E-2</v>
      </c>
      <c r="G38" s="262" t="s">
        <v>117</v>
      </c>
    </row>
    <row r="39" spans="1:7" s="257" customFormat="1" ht="13.5" customHeight="1">
      <c r="A39" s="950" t="s">
        <v>783</v>
      </c>
      <c r="B39" s="253" t="s">
        <v>104</v>
      </c>
      <c r="C39" s="275">
        <f>ROUND(C33*F20,0)</f>
        <v>73</v>
      </c>
      <c r="D39" s="275"/>
      <c r="E39" s="275"/>
      <c r="F39" s="276"/>
      <c r="G39" s="1289"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175</v>
      </c>
      <c r="D41" s="278">
        <f ca="1">C44</f>
        <v>1E-3</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172</v>
      </c>
      <c r="D42" s="281"/>
      <c r="E42" s="281"/>
      <c r="F42" s="282"/>
      <c r="G42" s="3151" t="s">
        <v>121</v>
      </c>
    </row>
    <row r="43" spans="1:7" ht="13.5" customHeight="1">
      <c r="A43" s="953" t="s">
        <v>792</v>
      </c>
      <c r="B43" s="258" t="s">
        <v>1064</v>
      </c>
      <c r="C43" s="281">
        <f ca="1">ROUND(IF('数据-取费表'!B22&lt;=1,C39*F22*'数据-取费表'!B21/2,C39*(POWER((1+F22),'数据-取费表'!B21/2)-1)),0)</f>
        <v>3</v>
      </c>
      <c r="D43" s="281"/>
      <c r="E43" s="281"/>
      <c r="F43" s="282"/>
      <c r="G43" s="3152"/>
    </row>
    <row r="44" spans="1:7" ht="13.5" customHeight="1">
      <c r="A44" s="953" t="s">
        <v>793</v>
      </c>
      <c r="B44" s="258" t="s">
        <v>1066</v>
      </c>
      <c r="C44" s="281">
        <f ca="1">ROUND(IF('数据-取费表'!B22&lt;=1,C40*F22*'数据-取费表'!B21/2,C40*(POWER((1+F22),'数据-取费表'!B21/2)-1)),4)</f>
        <v>1E-3</v>
      </c>
      <c r="D44" s="281"/>
      <c r="E44" s="281"/>
      <c r="F44" s="282"/>
      <c r="G44" s="3153"/>
    </row>
    <row r="45" spans="1:7" s="257" customFormat="1" ht="13.5" customHeight="1">
      <c r="A45" s="950" t="s">
        <v>786</v>
      </c>
      <c r="B45" s="287" t="s">
        <v>112</v>
      </c>
      <c r="C45" s="288">
        <f>C46</f>
        <v>740</v>
      </c>
      <c r="D45" s="278">
        <f>C47</f>
        <v>4.0000000000000001E-3</v>
      </c>
      <c r="E45" s="279" t="s">
        <v>129</v>
      </c>
      <c r="F45" s="289"/>
      <c r="G45" s="290" t="s">
        <v>1072</v>
      </c>
    </row>
    <row r="46" spans="1:7" s="257" customFormat="1" ht="13.5" customHeight="1">
      <c r="A46" s="953" t="s">
        <v>794</v>
      </c>
      <c r="B46" s="291" t="s">
        <v>1065</v>
      </c>
      <c r="C46" s="292">
        <f>ROUND((C33+C39)*F27,0)</f>
        <v>740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5006</v>
      </c>
      <c r="D49" s="275"/>
      <c r="E49" s="275"/>
      <c r="F49" s="307"/>
      <c r="G49" s="277" t="s">
        <v>1073</v>
      </c>
    </row>
    <row r="50" spans="1:7" s="301" customFormat="1" ht="24">
      <c r="A50" s="950" t="s">
        <v>789</v>
      </c>
      <c r="B50" s="253" t="s">
        <v>124</v>
      </c>
      <c r="C50" s="275"/>
      <c r="D50" s="275"/>
      <c r="E50" s="275"/>
      <c r="F50" s="307">
        <f>IF('数据-取费表'!B24=0,'数据-取费表'!N16,1)</f>
        <v>0.75</v>
      </c>
      <c r="G50" s="290" t="s">
        <v>125</v>
      </c>
    </row>
    <row r="51" spans="1:7" ht="16.5" customHeight="1">
      <c r="A51" s="950" t="s">
        <v>790</v>
      </c>
      <c r="B51" s="253" t="s">
        <v>132</v>
      </c>
      <c r="C51" s="275">
        <f ca="1">ROUND(C49*F50,0)</f>
        <v>3755</v>
      </c>
      <c r="D51" s="275"/>
      <c r="E51" s="275"/>
      <c r="F51" s="307"/>
      <c r="G51" s="277" t="s">
        <v>64</v>
      </c>
    </row>
    <row r="52" spans="1:7" s="251" customFormat="1" ht="16.5" thickBot="1">
      <c r="A52" s="308" t="s">
        <v>65</v>
      </c>
      <c r="B52" s="309"/>
      <c r="C52" s="310">
        <f ca="1">C31+C51</f>
        <v>33560</v>
      </c>
      <c r="D52" s="309"/>
      <c r="E52" s="309"/>
      <c r="F52" s="309"/>
      <c r="G52" s="311"/>
    </row>
    <row r="55" spans="1:7" ht="15">
      <c r="B55" s="313" t="s">
        <v>66</v>
      </c>
      <c r="C55" s="314"/>
    </row>
    <row r="56" spans="1:7">
      <c r="B56" s="316" t="s">
        <v>67</v>
      </c>
      <c r="C56" s="317">
        <f ca="1">ROUND(C51/C52,3)</f>
        <v>0.112</v>
      </c>
    </row>
    <row r="57" spans="1:7">
      <c r="B57" s="316" t="s">
        <v>68</v>
      </c>
      <c r="C57" s="318">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7" t="s">
        <v>156</v>
      </c>
      <c r="B1" s="3287"/>
      <c r="C1" s="3287"/>
      <c r="D1" s="3287"/>
      <c r="E1" s="3287"/>
      <c r="F1" s="3287"/>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8" t="s">
        <v>169</v>
      </c>
      <c r="B2" s="3288"/>
      <c r="C2" s="3288"/>
      <c r="D2" s="3288"/>
      <c r="E2" s="3288"/>
      <c r="F2" s="3288"/>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9"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0"/>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7" t="s">
        <v>871</v>
      </c>
      <c r="B1" s="328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43452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8"/>
      <c r="B3" s="2978"/>
      <c r="C3" s="2978"/>
      <c r="D3" s="1045" t="s">
        <v>1638</v>
      </c>
      <c r="E3" s="1045" t="s">
        <v>1644</v>
      </c>
      <c r="F3" s="1045" t="s">
        <v>1638</v>
      </c>
      <c r="G3" s="1045" t="s">
        <v>1639</v>
      </c>
      <c r="H3" s="1045" t="s">
        <v>1638</v>
      </c>
      <c r="I3" s="1045" t="s">
        <v>1639</v>
      </c>
    </row>
    <row r="4" spans="1:9" ht="30">
      <c r="A4" s="1971" t="str">
        <f>项目基本情况!S2</f>
        <v>北京市北京市海淀区中关村大街18号房地产</v>
      </c>
      <c r="B4" s="1045">
        <f>项目基本情况!C17</f>
        <v>8276.64</v>
      </c>
      <c r="C4" s="1045">
        <f>项目基本情况!C18</f>
        <v>927.85</v>
      </c>
      <c r="D4" s="1045">
        <f ca="1">结果表!D118</f>
        <v>26782</v>
      </c>
      <c r="E4" s="1045">
        <f ca="1">结果表!E118</f>
        <v>32359</v>
      </c>
      <c r="F4" s="1045">
        <f ca="1">结果表!F118</f>
        <v>3412</v>
      </c>
      <c r="G4" s="1045">
        <f ca="1">结果表!G118</f>
        <v>4122</v>
      </c>
      <c r="H4" s="1045">
        <f ca="1">结果表!H118</f>
        <v>30194</v>
      </c>
      <c r="I4" s="1045">
        <f ca="1">结果表!I118</f>
        <v>36481</v>
      </c>
    </row>
    <row r="5" spans="1:9" ht="30" customHeight="1">
      <c r="A5" s="2978" t="s">
        <v>1640</v>
      </c>
      <c r="B5" s="2978"/>
      <c r="C5" s="2978"/>
      <c r="D5" s="2979" t="str">
        <f ca="1">结果表!D119</f>
        <v>贰亿陆仟柒佰捌拾贰万元整</v>
      </c>
      <c r="E5" s="2979"/>
      <c r="F5" s="2979" t="str">
        <f ca="1">结果表!F119</f>
        <v>叁仟肆佰壹拾贰万元整</v>
      </c>
      <c r="G5" s="2979"/>
      <c r="H5" s="2979" t="str">
        <f ca="1">结果表!H119</f>
        <v>叁亿零壹佰玖拾肆万元整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1640</v>
      </c>
      <c r="B7" s="2978"/>
      <c r="C7" s="2978"/>
      <c r="D7" s="2981" t="str">
        <f>结果表!D121</f>
        <v>零元整</v>
      </c>
      <c r="E7" s="2982"/>
      <c r="F7" s="2982"/>
      <c r="G7" s="2982"/>
      <c r="H7" s="2982"/>
      <c r="I7" s="2983"/>
    </row>
    <row r="8" spans="1:9" ht="15.75">
      <c r="A8" s="2980" t="str">
        <f>结果表!A122</f>
        <v>房地产抵押价值</v>
      </c>
      <c r="B8" s="2980"/>
      <c r="C8" s="2980"/>
      <c r="D8" s="2980">
        <f ca="1">结果表!D122</f>
        <v>30194</v>
      </c>
      <c r="E8" s="2980"/>
      <c r="F8" s="2980"/>
      <c r="G8" s="2980"/>
      <c r="H8" s="2980"/>
      <c r="I8" s="2980"/>
    </row>
    <row r="9" spans="1:9" ht="15">
      <c r="A9" s="2978" t="s">
        <v>1640</v>
      </c>
      <c r="B9" s="2978"/>
      <c r="C9" s="2978"/>
      <c r="D9" s="2979" t="str">
        <f ca="1">结果表!D123</f>
        <v>叁亿零壹佰玖拾肆万元整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1640</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87" t="s">
        <v>1662</v>
      </c>
      <c r="B1" s="2987"/>
      <c r="C1" s="2987"/>
      <c r="D1" s="2987"/>
    </row>
    <row r="2" spans="1:4" ht="18">
      <c r="A2" s="2988" t="s">
        <v>1646</v>
      </c>
      <c r="B2" s="2988"/>
      <c r="C2" s="2988"/>
      <c r="D2" s="2988"/>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吴薇</v>
      </c>
      <c r="B5" s="1977">
        <f ca="1">项目基本情况!E4</f>
        <v>1419970001</v>
      </c>
      <c r="C5" s="1980"/>
      <c r="D5" s="1979" t="s">
        <v>1651</v>
      </c>
    </row>
    <row r="6" spans="1:4" ht="18">
      <c r="A6" s="2988" t="s">
        <v>1652</v>
      </c>
      <c r="B6" s="2988"/>
      <c r="C6" s="2988"/>
      <c r="D6" s="2988"/>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2989" t="s">
        <v>1655</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3" t="s">
        <v>1656</v>
      </c>
      <c r="B16" s="2993"/>
      <c r="C16" s="2993"/>
      <c r="D16" s="2993"/>
    </row>
    <row r="17" spans="1:4" ht="144" customHeight="1">
      <c r="A17" s="2993" t="s">
        <v>1657</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1658</v>
      </c>
      <c r="B22" s="2995"/>
      <c r="C22" s="2995"/>
      <c r="D22" s="2995"/>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01" t="s">
        <v>1669</v>
      </c>
      <c r="B15" s="2996" t="s">
        <v>136</v>
      </c>
      <c r="C15" s="2997"/>
    </row>
    <row r="16" spans="1:7" ht="13.5">
      <c r="A16" s="3002"/>
      <c r="B16" s="2996" t="s">
        <v>69</v>
      </c>
      <c r="C16" s="2997"/>
    </row>
    <row r="17" spans="1:3" ht="13.5">
      <c r="A17" s="3002"/>
      <c r="B17" s="2999" t="s">
        <v>1670</v>
      </c>
      <c r="C17" s="1998" t="s">
        <v>1669</v>
      </c>
    </row>
    <row r="18" spans="1:3" ht="13.5">
      <c r="A18" s="3002"/>
      <c r="B18" s="2999"/>
      <c r="C18" s="1998" t="s">
        <v>1671</v>
      </c>
    </row>
    <row r="19" spans="1:3" ht="13.5">
      <c r="A19" s="3002"/>
      <c r="B19" s="2999"/>
      <c r="C19" s="1998" t="s">
        <v>1672</v>
      </c>
    </row>
    <row r="20" spans="1:3" ht="13.5">
      <c r="A20" s="3003"/>
      <c r="B20" s="2998" t="s">
        <v>1673</v>
      </c>
      <c r="C20" s="2997"/>
    </row>
    <row r="21" spans="1:3" ht="13.5">
      <c r="A21" s="1999" t="s">
        <v>1674</v>
      </c>
      <c r="B21" s="2000"/>
      <c r="C21" s="2001"/>
    </row>
    <row r="22" spans="1:3" ht="13.5">
      <c r="A22" s="3000" t="s">
        <v>1675</v>
      </c>
      <c r="B22" s="2998" t="s">
        <v>1676</v>
      </c>
      <c r="C22" s="2997"/>
    </row>
    <row r="23" spans="1:3" ht="13.5">
      <c r="A23" s="3000"/>
      <c r="B23" s="2998" t="s">
        <v>1677</v>
      </c>
      <c r="C23" s="2997"/>
    </row>
    <row r="24" spans="1:3" ht="13.5">
      <c r="A24" s="3000"/>
      <c r="B24" s="2998" t="s">
        <v>1678</v>
      </c>
      <c r="C24" s="2997"/>
    </row>
    <row r="25" spans="1:3" ht="13.5">
      <c r="A25" s="3000"/>
      <c r="B25" s="2999" t="s">
        <v>1679</v>
      </c>
      <c r="C25" s="1998" t="s">
        <v>1680</v>
      </c>
    </row>
    <row r="26" spans="1:3" ht="13.5">
      <c r="A26" s="3000"/>
      <c r="B26" s="2999"/>
      <c r="C26" s="1998" t="s">
        <v>1681</v>
      </c>
    </row>
    <row r="27" spans="1:3" ht="13.5">
      <c r="A27" s="3000"/>
      <c r="B27" s="2999"/>
      <c r="C27" s="1998" t="s">
        <v>1682</v>
      </c>
    </row>
    <row r="28" spans="1:3" ht="13.5">
      <c r="A28" s="3000"/>
      <c r="B28" s="2999"/>
      <c r="C28" s="1998" t="s">
        <v>1683</v>
      </c>
    </row>
    <row r="29" spans="1:3" ht="13.5">
      <c r="A29" s="3000"/>
      <c r="B29" s="2999"/>
      <c r="C29" s="1998" t="s">
        <v>1684</v>
      </c>
    </row>
    <row r="30" spans="1:3" ht="13.5">
      <c r="A30" s="3000"/>
      <c r="B30" s="2999"/>
      <c r="C30" s="1998" t="s">
        <v>1685</v>
      </c>
    </row>
    <row r="31" spans="1:3" ht="13.5">
      <c r="A31" s="3000"/>
      <c r="B31" s="2999"/>
      <c r="C31" s="1998" t="s">
        <v>1686</v>
      </c>
    </row>
    <row r="32" spans="1:3" ht="13.5">
      <c r="A32" s="3000"/>
      <c r="B32" s="2999"/>
      <c r="C32" s="1998" t="s">
        <v>1687</v>
      </c>
    </row>
    <row r="33" spans="1:3" ht="13.5">
      <c r="A33" s="3000"/>
      <c r="B33" s="2999"/>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43454</v>
      </c>
      <c r="C2" s="1021" t="s">
        <v>826</v>
      </c>
      <c r="D2" s="1021"/>
    </row>
    <row r="3" spans="1:6" ht="24" customHeight="1">
      <c r="A3" s="1022" t="s">
        <v>827</v>
      </c>
      <c r="B3" s="1023" t="s">
        <v>828</v>
      </c>
      <c r="C3" s="2343" t="s">
        <v>829</v>
      </c>
      <c r="D3" s="2346" t="s">
        <v>830</v>
      </c>
      <c r="E3" s="1024" t="s">
        <v>831</v>
      </c>
      <c r="F3" s="1023" t="s">
        <v>829</v>
      </c>
    </row>
    <row r="4" spans="1:6" ht="24" customHeight="1">
      <c r="A4" s="1700" t="s">
        <v>832</v>
      </c>
      <c r="B4" s="1024">
        <f ca="1">IF(C4&lt;B2,"已过期",1119970066)</f>
        <v>1119970066</v>
      </c>
      <c r="C4" s="2344">
        <v>43849</v>
      </c>
      <c r="D4" s="2347" t="s">
        <v>832</v>
      </c>
      <c r="E4" s="1024">
        <f ca="1">IF(F4&lt;B2,"已过期",96010014)</f>
        <v>96010014</v>
      </c>
      <c r="F4" s="1032">
        <v>47118</v>
      </c>
    </row>
    <row r="5" spans="1:6" ht="24" customHeight="1">
      <c r="A5" s="1700" t="s">
        <v>833</v>
      </c>
      <c r="B5" s="1024">
        <f ca="1">IF(C5&lt;B2,"已过期",1119970074)</f>
        <v>1119970074</v>
      </c>
      <c r="C5" s="2344">
        <v>43849</v>
      </c>
      <c r="D5" s="2347" t="s">
        <v>833</v>
      </c>
      <c r="E5" s="1024">
        <f ca="1">IF(F5&lt;B2,"已过期",2002110027)</f>
        <v>2002110027</v>
      </c>
      <c r="F5" s="1032">
        <v>46752</v>
      </c>
    </row>
    <row r="6" spans="1:6" ht="24" customHeight="1">
      <c r="A6" s="1700" t="s">
        <v>834</v>
      </c>
      <c r="B6" s="1024">
        <f ca="1">IF(C6&lt;B2,"已过期",1119970111)</f>
        <v>1119970111</v>
      </c>
      <c r="C6" s="2344">
        <v>43849</v>
      </c>
      <c r="D6" s="2347" t="s">
        <v>834</v>
      </c>
      <c r="E6" s="1024">
        <f ca="1">IF(F6&lt;B2,"已过期",94010078)</f>
        <v>94010078</v>
      </c>
      <c r="F6" s="1032">
        <v>46387</v>
      </c>
    </row>
    <row r="7" spans="1:6" ht="24" customHeight="1">
      <c r="A7" s="1700" t="s">
        <v>835</v>
      </c>
      <c r="B7" s="1024">
        <f ca="1">IF(C7&lt;B2,"已过期",1120050019)</f>
        <v>1120050019</v>
      </c>
      <c r="C7" s="2344">
        <v>44395</v>
      </c>
      <c r="D7" s="2347" t="s">
        <v>835</v>
      </c>
      <c r="E7" s="1024">
        <f ca="1">IF(F7&lt;B2,"已过期",2002110030)</f>
        <v>2002110030</v>
      </c>
      <c r="F7" s="1032">
        <v>46387</v>
      </c>
    </row>
    <row r="8" spans="1:6" ht="24" customHeight="1">
      <c r="A8" s="1700" t="s">
        <v>836</v>
      </c>
      <c r="B8" s="1024">
        <f ca="1">IF(C8&lt;B2,"已过期",1120000080)</f>
        <v>1120000080</v>
      </c>
      <c r="C8" s="2344">
        <v>43849</v>
      </c>
      <c r="D8" s="2347" t="s">
        <v>836</v>
      </c>
      <c r="E8" s="1024">
        <f ca="1">IF(F8&lt;B2,"已过期",2000110082)</f>
        <v>2000110082</v>
      </c>
      <c r="F8" s="1032">
        <v>46387</v>
      </c>
    </row>
    <row r="9" spans="1:6" ht="24" customHeight="1">
      <c r="A9" s="1700" t="s">
        <v>837</v>
      </c>
      <c r="B9" s="1024">
        <f ca="1">IF(C9&lt;B2,"已过期",1419970001)</f>
        <v>1419970001</v>
      </c>
      <c r="C9" s="2344">
        <v>43867</v>
      </c>
      <c r="D9" s="2347" t="s">
        <v>837</v>
      </c>
      <c r="E9" s="1024">
        <f ca="1">IF(F9&lt;B2,"已过期",2002110125)</f>
        <v>2002110125</v>
      </c>
      <c r="F9" s="1032">
        <v>47118</v>
      </c>
    </row>
    <row r="10" spans="1:6" ht="24" customHeight="1">
      <c r="A10" s="1700" t="s">
        <v>838</v>
      </c>
      <c r="B10" s="1024">
        <f ca="1">IF(C10&lt;B2,"已过期",1120060040)</f>
        <v>1120060040</v>
      </c>
      <c r="C10" s="2344">
        <v>43483</v>
      </c>
      <c r="D10" s="2347" t="s">
        <v>838</v>
      </c>
      <c r="E10" s="1024">
        <f ca="1">IF(F10&lt;B2,"已过期",2004110096)</f>
        <v>2004110096</v>
      </c>
      <c r="F10" s="1032">
        <v>47118</v>
      </c>
    </row>
    <row r="11" spans="1:6" ht="24" customHeight="1">
      <c r="A11" s="1700" t="s">
        <v>839</v>
      </c>
      <c r="B11" s="1024">
        <f ca="1">IF(C11&lt;B2,"已过期",1120100036)</f>
        <v>1120100036</v>
      </c>
      <c r="C11" s="2344">
        <v>43622</v>
      </c>
      <c r="D11" s="2347" t="s">
        <v>839</v>
      </c>
      <c r="E11" s="1024">
        <f ca="1">IF(F11&lt;B2,"已过期",2010110070)</f>
        <v>2010110070</v>
      </c>
      <c r="F11" s="1032">
        <v>47907</v>
      </c>
    </row>
    <row r="12" spans="1:6" ht="24" customHeight="1">
      <c r="A12" s="1700" t="s">
        <v>3032</v>
      </c>
      <c r="B12" s="1024">
        <v>1120110054</v>
      </c>
      <c r="C12" s="2939">
        <v>43937</v>
      </c>
      <c r="D12" s="1700" t="s">
        <v>3032</v>
      </c>
      <c r="E12" s="1024">
        <v>2008110060</v>
      </c>
      <c r="F12" s="1032">
        <v>47177</v>
      </c>
    </row>
    <row r="13" spans="1:6" ht="24" customHeight="1">
      <c r="A13" s="1700" t="s">
        <v>840</v>
      </c>
      <c r="B13" s="1024">
        <f ca="1">IF(C13&lt;B2,"已过期",1120070131)</f>
        <v>1120070131</v>
      </c>
      <c r="C13" s="2344">
        <v>43814</v>
      </c>
      <c r="D13" s="2347" t="s">
        <v>840</v>
      </c>
      <c r="E13" s="1024">
        <v>2014110011</v>
      </c>
      <c r="F13" s="1032">
        <v>49302</v>
      </c>
    </row>
    <row r="14" spans="1:6" ht="24" customHeight="1">
      <c r="A14" s="1700" t="s">
        <v>841</v>
      </c>
      <c r="B14" s="1024">
        <f ca="1">IF(C14&lt;B2,"已过期",1120130020)</f>
        <v>1120130020</v>
      </c>
      <c r="C14" s="2344">
        <v>43622</v>
      </c>
      <c r="D14" s="2347"/>
      <c r="E14" s="1024"/>
      <c r="F14" s="1024"/>
    </row>
    <row r="15" spans="1:6" ht="24" customHeight="1">
      <c r="A15" s="1701" t="s">
        <v>1149</v>
      </c>
      <c r="B15" s="1024">
        <v>1120070085</v>
      </c>
      <c r="C15" s="2344">
        <v>43814</v>
      </c>
      <c r="D15" s="2348" t="s">
        <v>1149</v>
      </c>
      <c r="E15" s="1024">
        <v>2004110128</v>
      </c>
      <c r="F15" s="1025">
        <v>47118</v>
      </c>
    </row>
    <row r="16" spans="1:6" ht="24" customHeight="1">
      <c r="A16" s="1700" t="s">
        <v>842</v>
      </c>
      <c r="B16" s="1024">
        <f ca="1">IF(C16&lt;B2,"已过期",1120140022)</f>
        <v>1120140022</v>
      </c>
      <c r="C16" s="2344">
        <v>44029</v>
      </c>
      <c r="D16" s="2347" t="s">
        <v>842</v>
      </c>
      <c r="E16" s="1024">
        <f ca="1">IF(F16&lt;B2,"已过期",2008110059)</f>
        <v>2008110059</v>
      </c>
      <c r="F16" s="1032">
        <v>47177</v>
      </c>
    </row>
    <row r="17" spans="1:7" ht="24" customHeight="1">
      <c r="A17" s="1700"/>
      <c r="B17" s="1024"/>
      <c r="C17" s="2344"/>
      <c r="D17" s="2347"/>
      <c r="E17" s="1024"/>
      <c r="F17" s="1032"/>
    </row>
    <row r="18" spans="1:7" ht="24" customHeight="1">
      <c r="A18" s="1700"/>
      <c r="B18" s="1024"/>
      <c r="C18" s="2344"/>
      <c r="D18" s="2347"/>
      <c r="E18" s="1024"/>
      <c r="F18" s="1032"/>
    </row>
    <row r="19" spans="1:7" ht="24" customHeight="1">
      <c r="A19" s="1700"/>
      <c r="B19" s="1024"/>
      <c r="C19" s="2344"/>
      <c r="D19" s="2347"/>
      <c r="E19" s="1024"/>
      <c r="F19" s="1024"/>
    </row>
    <row r="20" spans="1:7" ht="24" customHeight="1">
      <c r="A20" s="1700"/>
      <c r="B20" s="1024"/>
      <c r="C20" s="2344"/>
      <c r="D20" s="2347"/>
      <c r="E20" s="1024"/>
      <c r="F20" s="1024"/>
    </row>
    <row r="21" spans="1:7" ht="24" customHeight="1">
      <c r="A21" s="1700"/>
      <c r="B21" s="1024"/>
      <c r="C21" s="2344"/>
      <c r="D21" s="2347" t="s">
        <v>843</v>
      </c>
      <c r="E21" s="1024">
        <f ca="1">IF(F21&lt;B2,"已过期",2011110090)</f>
        <v>2011110090</v>
      </c>
      <c r="F21" s="1032">
        <v>48302</v>
      </c>
    </row>
    <row r="22" spans="1:7" ht="24" customHeight="1">
      <c r="A22" s="1700" t="s">
        <v>844</v>
      </c>
      <c r="B22" s="1024">
        <f ca="1">IF(C22&lt;B2,"已过期",1120020033)</f>
        <v>1120020033</v>
      </c>
      <c r="C22" s="2939">
        <v>44339</v>
      </c>
      <c r="D22" s="2347" t="s">
        <v>844</v>
      </c>
      <c r="E22" s="1024">
        <f ca="1">IF(F22&lt;B2,"已过期",2000110137)</f>
        <v>2000110137</v>
      </c>
      <c r="F22" s="1032">
        <v>46387</v>
      </c>
    </row>
    <row r="23" spans="1:7" ht="24" customHeight="1">
      <c r="A23" s="1700" t="s">
        <v>845</v>
      </c>
      <c r="B23" s="1024">
        <f ca="1">IF(C23&lt;B2,"已过期",1120130048)</f>
        <v>1120130048</v>
      </c>
      <c r="C23" s="2344">
        <v>43686</v>
      </c>
      <c r="D23" s="2347"/>
      <c r="E23" s="1024"/>
      <c r="F23" s="1024"/>
    </row>
    <row r="24" spans="1:7" s="1026" customFormat="1" ht="24" customHeight="1">
      <c r="A24" s="1701" t="s">
        <v>1333</v>
      </c>
      <c r="B24" s="1701" t="s">
        <v>1333</v>
      </c>
      <c r="C24" s="2345" t="s">
        <v>1333</v>
      </c>
      <c r="D24" s="2348" t="s">
        <v>1333</v>
      </c>
      <c r="E24" s="1701" t="s">
        <v>1333</v>
      </c>
      <c r="F24" s="1701" t="s">
        <v>1333</v>
      </c>
    </row>
    <row r="25" spans="1:7" ht="24" customHeight="1">
      <c r="A25" s="3004" t="s">
        <v>846</v>
      </c>
      <c r="B25" s="3004"/>
      <c r="C25" s="3004"/>
      <c r="D25" s="3004"/>
      <c r="E25" s="3004"/>
      <c r="F25" s="3004"/>
      <c r="G25" s="3004"/>
    </row>
    <row r="26" spans="1:7" s="1027" customFormat="1" ht="24" customHeight="1">
      <c r="A26" s="3005" t="s">
        <v>847</v>
      </c>
      <c r="B26" s="3005"/>
      <c r="C26" s="3006"/>
      <c r="D26" s="3007" t="s">
        <v>848</v>
      </c>
      <c r="E26" s="3005"/>
      <c r="F26" s="3005"/>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8">
        <v>44377</v>
      </c>
    </row>
    <row r="29" spans="1:7" s="1029" customFormat="1" ht="24" customHeight="1">
      <c r="A29" s="1030"/>
      <c r="B29" s="1030"/>
      <c r="C29" s="2350"/>
      <c r="D29" s="2352"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2018-12-20T05:37:46Z</dcterms:modified>
</cp:coreProperties>
</file>