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24"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办公）" sheetId="68" r:id="rId19"/>
    <sheet name="成本法 (元)" sheetId="69" state="hidden" r:id="rId20"/>
    <sheet name="假设开发法" sheetId="12" state="hidden" r:id="rId21"/>
    <sheet name="收益法（办公）" sheetId="15" r:id="rId22"/>
    <sheet name="比较法-办公" sheetId="34" r:id="rId23"/>
    <sheet name="结果表（商业）" sheetId="83" r:id="rId24"/>
    <sheet name="成本法（商业）" sheetId="79" r:id="rId25"/>
    <sheet name="收益法（商业）" sheetId="81" r:id="rId26"/>
    <sheet name="比较法-商业" sheetId="33" state="hidden" r:id="rId27"/>
    <sheet name="结果表（地下车库）" sheetId="84" r:id="rId28"/>
    <sheet name="成本法（地下车库）" sheetId="80" r:id="rId29"/>
    <sheet name="收益法（地下车库）" sheetId="82" r:id="rId30"/>
    <sheet name="收益法 (元)" sheetId="67" state="hidden" r:id="rId31"/>
    <sheet name="收益法（汇总）" sheetId="70" state="hidden" r:id="rId32"/>
    <sheet name="酒店收入计算" sheetId="66"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面积表" sheetId="77"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案例" sheetId="78" r:id="rId52"/>
  </sheets>
  <definedNames>
    <definedName name="_xlnm._FilterDatabase" localSheetId="22"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6" hidden="1">'比较法-商业'!$A$1:$L$49</definedName>
    <definedName name="_xlnm._FilterDatabase" localSheetId="33" hidden="1">'比较法-住宅'!$A$1:$L$49</definedName>
    <definedName name="_xlnm._FilterDatabase" localSheetId="45" hidden="1">面积表!$A$2:$L$823</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21">'收益法（办公）'!$A$1:$AK$69</definedName>
    <definedName name="_xlnm.Print_Area" localSheetId="29">'收益法（地下车库）'!$A$1:$AK$69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8" i="1" l="1"/>
  <c r="N7" i="1"/>
  <c r="N6" i="1"/>
  <c r="U8" i="1" l="1"/>
  <c r="G21" i="6"/>
  <c r="I11" i="77"/>
  <c r="J9" i="77"/>
  <c r="I8" i="77"/>
  <c r="J8" i="77"/>
  <c r="F828" i="77"/>
  <c r="I11" i="39" l="1"/>
  <c r="G11" i="39"/>
  <c r="E11" i="39"/>
  <c r="C11" i="39"/>
  <c r="F34" i="80" l="1"/>
  <c r="F34" i="79"/>
  <c r="E111" i="84"/>
  <c r="H111" i="84"/>
  <c r="D126" i="84"/>
  <c r="D127" i="84"/>
  <c r="A126" i="84"/>
  <c r="E109" i="84"/>
  <c r="F34" i="68"/>
  <c r="C17" i="84"/>
  <c r="D17" i="84"/>
  <c r="C18" i="84"/>
  <c r="D18" i="84"/>
  <c r="C24" i="84"/>
  <c r="H105" i="84"/>
  <c r="H106" i="84"/>
  <c r="A124" i="84"/>
  <c r="E107" i="84"/>
  <c r="H107" i="84"/>
  <c r="D122" i="84"/>
  <c r="D123" i="84"/>
  <c r="A122" i="84"/>
  <c r="H103" i="84"/>
  <c r="D120" i="84"/>
  <c r="D121" i="84"/>
  <c r="A120" i="84"/>
  <c r="K120" i="84"/>
  <c r="S2" i="4"/>
  <c r="A118" i="84"/>
  <c r="H112" i="84"/>
  <c r="H104" i="84"/>
  <c r="D101" i="84"/>
  <c r="C101" i="84"/>
  <c r="D89" i="84"/>
  <c r="C89" i="84"/>
  <c r="C87" i="84"/>
  <c r="C91" i="84"/>
  <c r="C92" i="84"/>
  <c r="D93" i="84"/>
  <c r="C94" i="84"/>
  <c r="E90" i="84"/>
  <c r="C76" i="84"/>
  <c r="D77" i="84"/>
  <c r="C77" i="84"/>
  <c r="C74" i="84"/>
  <c r="D78" i="84"/>
  <c r="H77" i="84"/>
  <c r="D68" i="84"/>
  <c r="D48" i="84"/>
  <c r="M52" i="84"/>
  <c r="I55" i="84"/>
  <c r="D59" i="84"/>
  <c r="M55" i="84"/>
  <c r="M56" i="84"/>
  <c r="J55" i="84"/>
  <c r="J56" i="84"/>
  <c r="J57" i="84"/>
  <c r="J59" i="84"/>
  <c r="J61" i="84"/>
  <c r="F59" i="84"/>
  <c r="E59" i="84"/>
  <c r="N56" i="84"/>
  <c r="K56" i="84"/>
  <c r="F56" i="84"/>
  <c r="O55" i="84"/>
  <c r="N55" i="84"/>
  <c r="K55" i="84"/>
  <c r="F55" i="84"/>
  <c r="O54" i="84"/>
  <c r="N54" i="84"/>
  <c r="F54" i="84"/>
  <c r="O53" i="84"/>
  <c r="N53" i="84"/>
  <c r="F53" i="84"/>
  <c r="F48" i="84"/>
  <c r="O52" i="84"/>
  <c r="E48" i="84"/>
  <c r="N52" i="84"/>
  <c r="F52" i="84"/>
  <c r="K49" i="84"/>
  <c r="M47" i="84"/>
  <c r="F33" i="84"/>
  <c r="D27" i="84"/>
  <c r="C25" i="84"/>
  <c r="L4" i="84"/>
  <c r="K4" i="84"/>
  <c r="A2" i="84"/>
  <c r="H1" i="84"/>
  <c r="E111" i="83"/>
  <c r="H111" i="83"/>
  <c r="D126" i="83"/>
  <c r="D127" i="83"/>
  <c r="A126" i="83"/>
  <c r="E109" i="83"/>
  <c r="C17" i="83"/>
  <c r="D17" i="83"/>
  <c r="C18" i="83"/>
  <c r="D18" i="83"/>
  <c r="C24" i="83"/>
  <c r="H105" i="83"/>
  <c r="H106" i="83"/>
  <c r="A124" i="83"/>
  <c r="E107" i="83"/>
  <c r="H107" i="83"/>
  <c r="D122" i="83"/>
  <c r="D123" i="83"/>
  <c r="A122" i="83"/>
  <c r="H103" i="83"/>
  <c r="D120" i="83"/>
  <c r="D121" i="83"/>
  <c r="A120" i="83"/>
  <c r="K120" i="83"/>
  <c r="A118" i="83"/>
  <c r="H112" i="83"/>
  <c r="H104" i="83"/>
  <c r="D101" i="83"/>
  <c r="C101" i="83"/>
  <c r="D89" i="83"/>
  <c r="C89" i="83"/>
  <c r="C87" i="83"/>
  <c r="C91" i="83"/>
  <c r="C92" i="83"/>
  <c r="D93" i="83"/>
  <c r="C94" i="83"/>
  <c r="E90" i="83"/>
  <c r="C76" i="83"/>
  <c r="D77" i="83"/>
  <c r="C77" i="83"/>
  <c r="C74" i="83"/>
  <c r="D78" i="83"/>
  <c r="H77" i="83"/>
  <c r="D68" i="83"/>
  <c r="D48" i="83"/>
  <c r="M52" i="83"/>
  <c r="I55" i="83"/>
  <c r="D59" i="83"/>
  <c r="M55" i="83"/>
  <c r="M56" i="83"/>
  <c r="J55" i="83"/>
  <c r="J56" i="83"/>
  <c r="J57" i="83"/>
  <c r="J59" i="83"/>
  <c r="J61" i="83"/>
  <c r="F59" i="83"/>
  <c r="E59" i="83"/>
  <c r="N56" i="83"/>
  <c r="K56" i="83"/>
  <c r="F56" i="83"/>
  <c r="O55" i="83"/>
  <c r="N55" i="83"/>
  <c r="K55" i="83"/>
  <c r="F55" i="83"/>
  <c r="O54" i="83"/>
  <c r="N54" i="83"/>
  <c r="F54" i="83"/>
  <c r="O53" i="83"/>
  <c r="N53" i="83"/>
  <c r="F53" i="83"/>
  <c r="F48" i="83"/>
  <c r="O52" i="83"/>
  <c r="E48" i="83"/>
  <c r="N52" i="83"/>
  <c r="F52" i="83"/>
  <c r="K49" i="83"/>
  <c r="M47" i="83"/>
  <c r="F33" i="83"/>
  <c r="D27" i="83"/>
  <c r="C25" i="83"/>
  <c r="L4" i="83"/>
  <c r="K4" i="83"/>
  <c r="A2" i="83"/>
  <c r="H1" i="83"/>
  <c r="F15" i="82"/>
  <c r="F17" i="82"/>
  <c r="F18" i="82"/>
  <c r="F20" i="82"/>
  <c r="F23" i="82"/>
  <c r="F21" i="82"/>
  <c r="F28" i="82"/>
  <c r="C28" i="82"/>
  <c r="F32" i="82"/>
  <c r="F33" i="82"/>
  <c r="F61" i="82" s="1"/>
  <c r="F34" i="82"/>
  <c r="M47" i="82"/>
  <c r="J50" i="82"/>
  <c r="J51" i="82"/>
  <c r="K59" i="82"/>
  <c r="P74" i="82"/>
  <c r="Q72" i="82"/>
  <c r="F60" i="82"/>
  <c r="F62" i="82"/>
  <c r="P61" i="82"/>
  <c r="Q59" i="82"/>
  <c r="Q58" i="82"/>
  <c r="Q51" i="82"/>
  <c r="D46" i="82"/>
  <c r="M18" i="82"/>
  <c r="M19" i="82"/>
  <c r="M20" i="82"/>
  <c r="D24" i="82"/>
  <c r="D23" i="82"/>
  <c r="D22" i="82"/>
  <c r="G1" i="81"/>
  <c r="F15" i="81"/>
  <c r="F17" i="81"/>
  <c r="F18" i="81"/>
  <c r="F20" i="81"/>
  <c r="F23" i="81"/>
  <c r="F21" i="81"/>
  <c r="F28" i="81"/>
  <c r="C28" i="81"/>
  <c r="F32" i="81"/>
  <c r="F33" i="81"/>
  <c r="F61" i="81" s="1"/>
  <c r="F34" i="81"/>
  <c r="M47" i="81"/>
  <c r="J50" i="81"/>
  <c r="J51" i="81"/>
  <c r="K59" i="81"/>
  <c r="P74" i="81"/>
  <c r="Q72" i="81"/>
  <c r="F60" i="81"/>
  <c r="F62" i="81"/>
  <c r="P61" i="81"/>
  <c r="Q59" i="81"/>
  <c r="Q58" i="81"/>
  <c r="Q51" i="81"/>
  <c r="D46" i="81"/>
  <c r="M18" i="81"/>
  <c r="M19" i="81"/>
  <c r="M20" i="81"/>
  <c r="D24" i="81"/>
  <c r="D23" i="81"/>
  <c r="D22" i="81"/>
  <c r="F35" i="80"/>
  <c r="E37" i="80"/>
  <c r="F38" i="80"/>
  <c r="F20" i="80"/>
  <c r="F21" i="80"/>
  <c r="C40" i="80"/>
  <c r="F30" i="80"/>
  <c r="C48" i="80"/>
  <c r="F7" i="80"/>
  <c r="C8" i="80"/>
  <c r="C19" i="80"/>
  <c r="C21" i="80"/>
  <c r="C30" i="80"/>
  <c r="G41" i="80"/>
  <c r="F36" i="80"/>
  <c r="G22" i="80"/>
  <c r="E19" i="80"/>
  <c r="E10" i="80"/>
  <c r="E9" i="80"/>
  <c r="G1" i="79"/>
  <c r="F35" i="79"/>
  <c r="E37" i="79"/>
  <c r="F38" i="79"/>
  <c r="F20" i="79"/>
  <c r="F21" i="79"/>
  <c r="C40" i="79"/>
  <c r="F30" i="79"/>
  <c r="C48" i="79"/>
  <c r="F7" i="79"/>
  <c r="C8" i="79"/>
  <c r="C19" i="79"/>
  <c r="C21" i="79"/>
  <c r="C30" i="79"/>
  <c r="G41" i="79"/>
  <c r="F36" i="79"/>
  <c r="G22" i="79"/>
  <c r="E19" i="79"/>
  <c r="E10" i="79"/>
  <c r="E9" i="79"/>
  <c r="I7" i="34"/>
  <c r="G7" i="34"/>
  <c r="E7" i="34"/>
  <c r="I46" i="39"/>
  <c r="G46" i="39"/>
  <c r="E46" i="39"/>
  <c r="I38" i="39"/>
  <c r="G38" i="39"/>
  <c r="E38" i="39"/>
  <c r="I7" i="39"/>
  <c r="G7" i="39"/>
  <c r="E7" i="39"/>
  <c r="I5" i="39"/>
  <c r="G5" i="39"/>
  <c r="E5" i="39"/>
  <c r="C822" i="77"/>
  <c r="C769" i="77"/>
  <c r="C823" i="77"/>
  <c r="C764" i="77"/>
  <c r="C670" i="77"/>
  <c r="C665" i="77"/>
  <c r="C583" i="77"/>
  <c r="C666" i="77"/>
  <c r="C579" i="77"/>
  <c r="C534" i="77"/>
  <c r="C478" i="77"/>
  <c r="C416" i="77"/>
  <c r="C373" i="77"/>
  <c r="C417" i="77" s="1"/>
  <c r="C298" i="77"/>
  <c r="C115" i="77"/>
  <c r="J4" i="77" s="1"/>
  <c r="E57" i="39" s="1"/>
  <c r="C97" i="77"/>
  <c r="C68" i="77"/>
  <c r="C26" i="77"/>
  <c r="I4" i="77" s="1"/>
  <c r="I13" i="3" s="1"/>
  <c r="D3" i="4"/>
  <c r="L3" i="71"/>
  <c r="K3" i="71"/>
  <c r="I3" i="71"/>
  <c r="J3" i="71"/>
  <c r="AD5" i="71"/>
  <c r="AG5" i="71"/>
  <c r="AH5" i="71"/>
  <c r="AE5" i="71"/>
  <c r="AF5" i="71"/>
  <c r="N5" i="71"/>
  <c r="Q5" i="71"/>
  <c r="P5" i="71"/>
  <c r="O5" i="71"/>
  <c r="Q6" i="71"/>
  <c r="P6" i="71"/>
  <c r="O6" i="71"/>
  <c r="N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A19" i="62"/>
  <c r="A12" i="62"/>
  <c r="A120" i="9"/>
  <c r="H2" i="52"/>
  <c r="A1" i="52"/>
  <c r="A3" i="53"/>
  <c r="Q7" i="71"/>
  <c r="P7" i="71"/>
  <c r="O7" i="71"/>
  <c r="N7" i="71"/>
  <c r="D5" i="43"/>
  <c r="A15" i="51"/>
  <c r="C76" i="9"/>
  <c r="I107" i="40"/>
  <c r="K6" i="4"/>
  <c r="B22" i="31"/>
  <c r="N56" i="9"/>
  <c r="M56" i="9"/>
  <c r="K56" i="9"/>
  <c r="E17" i="74"/>
  <c r="F17" i="74"/>
  <c r="E18" i="74"/>
  <c r="F18" i="74"/>
  <c r="E19" i="74"/>
  <c r="F19" i="74"/>
  <c r="E20" i="74"/>
  <c r="F20" i="74"/>
  <c r="E21" i="74"/>
  <c r="F21" i="74"/>
  <c r="E22" i="74"/>
  <c r="F22" i="74"/>
  <c r="E23" i="74"/>
  <c r="F23" i="74"/>
  <c r="B3" i="74"/>
  <c r="C91" i="9"/>
  <c r="B8" i="72"/>
  <c r="M19" i="43"/>
  <c r="O8" i="71"/>
  <c r="P8" i="71"/>
  <c r="Q8" i="71"/>
  <c r="N8" i="71"/>
  <c r="AE3" i="71"/>
  <c r="AF3" i="71"/>
  <c r="AG3" i="71"/>
  <c r="AH3"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H20" i="71"/>
  <c r="AG20" i="71"/>
  <c r="AE20" i="71"/>
  <c r="AF20" i="71"/>
  <c r="AD20" i="71"/>
  <c r="AD21" i="71"/>
  <c r="AE21" i="71"/>
  <c r="AF21" i="71"/>
  <c r="AG21" i="71"/>
  <c r="AH21"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0" i="71"/>
  <c r="F69" i="71"/>
  <c r="E69" i="71"/>
  <c r="E68" i="71"/>
  <c r="E67" i="71"/>
  <c r="C69" i="71"/>
  <c r="D69" i="71"/>
  <c r="B69" i="71"/>
  <c r="F68" i="71"/>
  <c r="F67" i="71"/>
  <c r="B68" i="71"/>
  <c r="B67" i="71"/>
  <c r="D66" i="71"/>
  <c r="F65" i="71"/>
  <c r="E65" i="71"/>
  <c r="E64" i="71"/>
  <c r="E63" i="71"/>
  <c r="C65" i="71"/>
  <c r="D65" i="71"/>
  <c r="B65" i="71"/>
  <c r="F64" i="71"/>
  <c r="F63" i="71"/>
  <c r="B64" i="71"/>
  <c r="B63"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Q53" i="71"/>
  <c r="P53" i="71"/>
  <c r="O53" i="71"/>
  <c r="N53" i="71"/>
  <c r="F53" i="71"/>
  <c r="V53" i="71"/>
  <c r="E53" i="71"/>
  <c r="U53" i="71"/>
  <c r="C53" i="71"/>
  <c r="T53" i="71"/>
  <c r="B53" i="71"/>
  <c r="S53" i="71"/>
  <c r="Q52" i="71"/>
  <c r="P52" i="71"/>
  <c r="O52" i="71"/>
  <c r="N52" i="71"/>
  <c r="F52" i="71"/>
  <c r="F51" i="71"/>
  <c r="B52" i="71"/>
  <c r="B51" i="71"/>
  <c r="Q51" i="71"/>
  <c r="P51" i="71"/>
  <c r="O51" i="71"/>
  <c r="N51" i="71"/>
  <c r="Q50" i="71"/>
  <c r="P50" i="71"/>
  <c r="O50" i="71"/>
  <c r="N50" i="71"/>
  <c r="D50" i="71"/>
  <c r="F49" i="71"/>
  <c r="V49" i="71"/>
  <c r="E49" i="71"/>
  <c r="P49" i="71"/>
  <c r="C49" i="71"/>
  <c r="B49" i="71"/>
  <c r="S49" i="71"/>
  <c r="F48" i="71"/>
  <c r="F47" i="71"/>
  <c r="Q47" i="71"/>
  <c r="B48"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O38" i="71"/>
  <c r="C39" i="71"/>
  <c r="N38" i="71"/>
  <c r="B39" i="71"/>
  <c r="B40" i="71"/>
  <c r="B41" i="71"/>
  <c r="S41" i="71"/>
  <c r="D38" i="71"/>
  <c r="Q37" i="71"/>
  <c r="P37" i="71"/>
  <c r="O37" i="71"/>
  <c r="N37" i="71"/>
  <c r="Q36" i="71"/>
  <c r="P36" i="71"/>
  <c r="O36" i="71"/>
  <c r="N36" i="71"/>
  <c r="Q35" i="71"/>
  <c r="P35" i="71"/>
  <c r="O35" i="71"/>
  <c r="N35" i="71"/>
  <c r="Q34" i="71"/>
  <c r="F35" i="71"/>
  <c r="F36" i="71"/>
  <c r="F37" i="71"/>
  <c r="V37" i="71"/>
  <c r="P34" i="71"/>
  <c r="E35" i="71"/>
  <c r="O34" i="71"/>
  <c r="C35" i="71"/>
  <c r="N34" i="71"/>
  <c r="B35" i="71"/>
  <c r="B36" i="71"/>
  <c r="B37" i="71"/>
  <c r="S37" i="71"/>
  <c r="D34" i="71"/>
  <c r="Q33" i="71"/>
  <c r="P33" i="71"/>
  <c r="O33" i="71"/>
  <c r="N33" i="71"/>
  <c r="Q32" i="71"/>
  <c r="P32" i="71"/>
  <c r="O32" i="71"/>
  <c r="N32" i="71"/>
  <c r="Q31" i="71"/>
  <c r="P31" i="71"/>
  <c r="O31" i="71"/>
  <c r="N31" i="71"/>
  <c r="Q30" i="71"/>
  <c r="F31" i="71"/>
  <c r="P30" i="71"/>
  <c r="E31" i="71"/>
  <c r="E32" i="71"/>
  <c r="E33" i="71"/>
  <c r="U33" i="71"/>
  <c r="O30" i="71"/>
  <c r="C31" i="71"/>
  <c r="N30" i="71"/>
  <c r="B31" i="71"/>
  <c r="B32" i="71"/>
  <c r="B33" i="71"/>
  <c r="S33" i="71"/>
  <c r="D30" i="71"/>
  <c r="T29" i="71"/>
  <c r="Q29" i="71"/>
  <c r="P29" i="71"/>
  <c r="O29" i="71"/>
  <c r="N29" i="71"/>
  <c r="D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Q24" i="71"/>
  <c r="P24" i="71"/>
  <c r="O24" i="71"/>
  <c r="N24" i="71"/>
  <c r="Q23" i="71"/>
  <c r="P23" i="71"/>
  <c r="O23" i="71"/>
  <c r="N23" i="71"/>
  <c r="F23" i="71"/>
  <c r="F24" i="71"/>
  <c r="F25" i="71"/>
  <c r="V25" i="71"/>
  <c r="Q22" i="71"/>
  <c r="P22" i="71"/>
  <c r="E23" i="71"/>
  <c r="E24" i="71"/>
  <c r="E25" i="71"/>
  <c r="U25" i="71"/>
  <c r="O22" i="71"/>
  <c r="C23" i="71"/>
  <c r="N22" i="71"/>
  <c r="B23" i="71"/>
  <c r="B24" i="71"/>
  <c r="B25" i="71"/>
  <c r="S25" i="71"/>
  <c r="D22" i="71"/>
  <c r="Q21" i="71"/>
  <c r="P21" i="71"/>
  <c r="O21" i="71"/>
  <c r="N21" i="71"/>
  <c r="AB20" i="71"/>
  <c r="Q20" i="71"/>
  <c r="P20" i="71"/>
  <c r="AA20" i="71"/>
  <c r="O20" i="71"/>
  <c r="Y20" i="71"/>
  <c r="Z20" i="71"/>
  <c r="N20" i="71"/>
  <c r="X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Q13" i="71"/>
  <c r="AB13" i="71"/>
  <c r="P13" i="71"/>
  <c r="O13" i="71"/>
  <c r="Y13" i="71"/>
  <c r="Z13" i="71"/>
  <c r="N13" i="71"/>
  <c r="Q12" i="71"/>
  <c r="AB12" i="71"/>
  <c r="P12" i="71"/>
  <c r="O12" i="71"/>
  <c r="Y12" i="71"/>
  <c r="Z12" i="71"/>
  <c r="N12" i="71"/>
  <c r="Q11" i="71"/>
  <c r="AB11" i="71"/>
  <c r="P11" i="71"/>
  <c r="O11" i="71"/>
  <c r="Y11" i="71"/>
  <c r="Z11" i="71"/>
  <c r="N11" i="71"/>
  <c r="F11" i="71"/>
  <c r="F12" i="71"/>
  <c r="F13" i="71"/>
  <c r="V13" i="71"/>
  <c r="Q10" i="71"/>
  <c r="P10" i="71"/>
  <c r="O10" i="71"/>
  <c r="N10" i="71"/>
  <c r="D10" i="71"/>
  <c r="O9" i="71"/>
  <c r="Y5" i="71"/>
  <c r="Z5" i="71"/>
  <c r="N9" i="71"/>
  <c r="X5" i="71"/>
  <c r="B11" i="71"/>
  <c r="B12" i="71"/>
  <c r="B13" i="71"/>
  <c r="S13" i="71"/>
  <c r="X10" i="71"/>
  <c r="E11" i="71"/>
  <c r="E12" i="71"/>
  <c r="E13" i="71"/>
  <c r="U13" i="71"/>
  <c r="AA10" i="71"/>
  <c r="B15" i="71"/>
  <c r="B16" i="71"/>
  <c r="B17" i="71"/>
  <c r="S17" i="71"/>
  <c r="X14" i="71"/>
  <c r="B19" i="71"/>
  <c r="B20" i="71"/>
  <c r="B21" i="71"/>
  <c r="S21" i="71"/>
  <c r="X18" i="71"/>
  <c r="E19" i="71"/>
  <c r="E20" i="71"/>
  <c r="E21" i="71"/>
  <c r="U21" i="71"/>
  <c r="AA18" i="71"/>
  <c r="N49" i="71"/>
  <c r="E15" i="71"/>
  <c r="E16" i="71"/>
  <c r="E17" i="71"/>
  <c r="U17" i="71"/>
  <c r="AA14" i="71"/>
  <c r="C11" i="71"/>
  <c r="Y10" i="71"/>
  <c r="Z10" i="71"/>
  <c r="AB10" i="71"/>
  <c r="X11" i="71"/>
  <c r="AA11" i="71"/>
  <c r="X12" i="71"/>
  <c r="AA12" i="71"/>
  <c r="X13" i="71"/>
  <c r="AA13" i="71"/>
  <c r="C15" i="71"/>
  <c r="C16" i="71"/>
  <c r="Y14" i="71"/>
  <c r="Z14" i="71"/>
  <c r="AB14" i="71"/>
  <c r="X15" i="71"/>
  <c r="AA15" i="71"/>
  <c r="X16" i="71"/>
  <c r="AA16" i="71"/>
  <c r="X17" i="71"/>
  <c r="AA17" i="71"/>
  <c r="C19" i="71"/>
  <c r="Y18" i="71"/>
  <c r="Z18" i="71"/>
  <c r="AB18" i="71"/>
  <c r="X19" i="71"/>
  <c r="AA19" i="71"/>
  <c r="F32" i="71"/>
  <c r="F33" i="71"/>
  <c r="V33" i="71"/>
  <c r="C9" i="71"/>
  <c r="Y3" i="71"/>
  <c r="Z3" i="71"/>
  <c r="Y6" i="71"/>
  <c r="Z6" i="71"/>
  <c r="Y7" i="71"/>
  <c r="Z7" i="71"/>
  <c r="Y8" i="71"/>
  <c r="Z8" i="71"/>
  <c r="Y9" i="71"/>
  <c r="Z9" i="71"/>
  <c r="B9" i="71"/>
  <c r="B8" i="71"/>
  <c r="B7" i="71"/>
  <c r="B6" i="71"/>
  <c r="B5" i="71"/>
  <c r="X6" i="71"/>
  <c r="X7" i="71"/>
  <c r="X8" i="71"/>
  <c r="X3" i="71"/>
  <c r="X9" i="71"/>
  <c r="C12" i="71"/>
  <c r="D11" i="71"/>
  <c r="D15" i="71"/>
  <c r="C20" i="71"/>
  <c r="D19" i="71"/>
  <c r="C24" i="71"/>
  <c r="D23" i="71"/>
  <c r="C28" i="71"/>
  <c r="D28" i="71"/>
  <c r="D27" i="71"/>
  <c r="C32" i="71"/>
  <c r="D31" i="71"/>
  <c r="P9" i="71"/>
  <c r="AA5" i="71"/>
  <c r="E36" i="71"/>
  <c r="E37" i="71"/>
  <c r="U37" i="71"/>
  <c r="E40" i="71"/>
  <c r="E41" i="71"/>
  <c r="U41" i="71"/>
  <c r="E44" i="71"/>
  <c r="E45" i="71"/>
  <c r="U45" i="71"/>
  <c r="Q46" i="71"/>
  <c r="U49" i="71"/>
  <c r="E48" i="71"/>
  <c r="Q9" i="71"/>
  <c r="AB5" i="71"/>
  <c r="C36" i="71"/>
  <c r="D35" i="71"/>
  <c r="C40" i="71"/>
  <c r="D39" i="71"/>
  <c r="C44" i="71"/>
  <c r="D43" i="71"/>
  <c r="N48" i="71"/>
  <c r="B47" i="71"/>
  <c r="Q48" i="71"/>
  <c r="T49" i="71"/>
  <c r="O49" i="71"/>
  <c r="D49" i="71"/>
  <c r="C48" i="71"/>
  <c r="Q49" i="71"/>
  <c r="C52" i="71"/>
  <c r="E52" i="71"/>
  <c r="E51" i="71"/>
  <c r="D53" i="71"/>
  <c r="C56" i="71"/>
  <c r="E56" i="71"/>
  <c r="E55" i="71"/>
  <c r="D57" i="71"/>
  <c r="C60" i="71"/>
  <c r="E60" i="71"/>
  <c r="E59" i="71"/>
  <c r="D61" i="71"/>
  <c r="C64" i="71"/>
  <c r="C68" i="71"/>
  <c r="T9" i="71"/>
  <c r="C8" i="71"/>
  <c r="S9" i="71"/>
  <c r="F9" i="71"/>
  <c r="F8" i="71"/>
  <c r="F7" i="71"/>
  <c r="F6" i="71"/>
  <c r="F5" i="71"/>
  <c r="AB3" i="71"/>
  <c r="AB6" i="71"/>
  <c r="AB7" i="71"/>
  <c r="AB8" i="71"/>
  <c r="AB9" i="71"/>
  <c r="E9" i="71"/>
  <c r="E8" i="71"/>
  <c r="E7" i="71"/>
  <c r="E6" i="71"/>
  <c r="E5" i="71"/>
  <c r="AA3" i="71"/>
  <c r="AA6" i="71"/>
  <c r="AA7" i="71"/>
  <c r="AA8" i="71"/>
  <c r="AA9" i="71"/>
  <c r="D9" i="71"/>
  <c r="U9" i="71"/>
  <c r="C47" i="71"/>
  <c r="O48" i="71"/>
  <c r="D48" i="71"/>
  <c r="C45" i="71"/>
  <c r="D44" i="71"/>
  <c r="D64" i="71"/>
  <c r="C63" i="71"/>
  <c r="D63" i="71"/>
  <c r="D56" i="71"/>
  <c r="C55" i="71"/>
  <c r="D55" i="71"/>
  <c r="N46" i="71"/>
  <c r="N47" i="71"/>
  <c r="D68" i="71"/>
  <c r="C67" i="71"/>
  <c r="D67" i="71"/>
  <c r="D60" i="71"/>
  <c r="C59" i="71"/>
  <c r="D59" i="71"/>
  <c r="D52" i="71"/>
  <c r="C51" i="71"/>
  <c r="D51" i="71"/>
  <c r="C41" i="71"/>
  <c r="D40" i="71"/>
  <c r="C37" i="71"/>
  <c r="D36" i="71"/>
  <c r="P48" i="71"/>
  <c r="E47" i="71"/>
  <c r="C33" i="71"/>
  <c r="D32" i="71"/>
  <c r="C25" i="71"/>
  <c r="D24" i="71"/>
  <c r="C21" i="71"/>
  <c r="D20" i="71"/>
  <c r="C17" i="71"/>
  <c r="D16" i="71"/>
  <c r="C13" i="71"/>
  <c r="D12" i="71"/>
  <c r="C7" i="71"/>
  <c r="D8" i="71"/>
  <c r="V9" i="71"/>
  <c r="P46" i="71"/>
  <c r="P47" i="71"/>
  <c r="O47" i="71"/>
  <c r="D47" i="71"/>
  <c r="O46" i="71"/>
  <c r="T13" i="71"/>
  <c r="D13" i="71"/>
  <c r="T17" i="71"/>
  <c r="D17" i="71"/>
  <c r="T21" i="71"/>
  <c r="D21" i="71"/>
  <c r="T25" i="71"/>
  <c r="D25" i="71"/>
  <c r="T33" i="71"/>
  <c r="D33" i="71"/>
  <c r="T37" i="71"/>
  <c r="D37" i="71"/>
  <c r="T41" i="71"/>
  <c r="D41" i="71"/>
  <c r="T45" i="71"/>
  <c r="D45" i="71"/>
  <c r="D7" i="71"/>
  <c r="C6" i="71"/>
  <c r="O27" i="6"/>
  <c r="N27" i="6"/>
  <c r="P20" i="6"/>
  <c r="P21" i="6"/>
  <c r="P22" i="6"/>
  <c r="P23" i="6"/>
  <c r="P24" i="6"/>
  <c r="P25" i="6"/>
  <c r="P26" i="6"/>
  <c r="P19" i="6"/>
  <c r="AP8" i="1"/>
  <c r="AP9" i="1"/>
  <c r="AP10" i="1"/>
  <c r="AP11" i="1"/>
  <c r="AP12" i="1"/>
  <c r="AP13" i="1"/>
  <c r="L21" i="6"/>
  <c r="L22" i="6"/>
  <c r="L23" i="6"/>
  <c r="L24" i="6"/>
  <c r="L25" i="6"/>
  <c r="L26" i="6"/>
  <c r="D6" i="71"/>
  <c r="C5" i="71"/>
  <c r="D5" i="71"/>
  <c r="P27" i="6"/>
  <c r="A7" i="70"/>
  <c r="A8" i="70"/>
  <c r="A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G94" i="40"/>
  <c r="H25" i="40"/>
  <c r="J25" i="40"/>
  <c r="F103" i="39"/>
  <c r="G103" i="39"/>
  <c r="H29"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C51" i="10"/>
  <c r="A13" i="51"/>
  <c r="B11" i="72" s="1"/>
  <c r="S1" i="4"/>
  <c r="B1" i="4"/>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G100" i="43"/>
  <c r="I100" i="43"/>
  <c r="K100" i="43"/>
  <c r="B48" i="43"/>
  <c r="B84" i="43"/>
  <c r="B83" i="43"/>
  <c r="B72" i="43"/>
  <c r="B61" i="43"/>
  <c r="B50" i="43"/>
  <c r="D82" i="43"/>
  <c r="D83" i="43"/>
  <c r="D84" i="43"/>
  <c r="D85" i="43"/>
  <c r="D86" i="43"/>
  <c r="D87" i="43"/>
  <c r="D88" i="43"/>
  <c r="D81" i="43"/>
  <c r="D6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6" i="1"/>
  <c r="I20" i="43"/>
  <c r="F8" i="1"/>
  <c r="F9" i="1"/>
  <c r="F10" i="1"/>
  <c r="D10" i="1"/>
  <c r="G10" i="1"/>
  <c r="F11" i="1"/>
  <c r="D11" i="1"/>
  <c r="G11" i="1"/>
  <c r="F12" i="1"/>
  <c r="F13" i="1"/>
  <c r="D6" i="1"/>
  <c r="D9" i="1"/>
  <c r="D12" i="1"/>
  <c r="D13" i="1"/>
  <c r="D7" i="1"/>
  <c r="D8" i="1"/>
  <c r="A7" i="1"/>
  <c r="A8" i="1"/>
  <c r="A9" i="1"/>
  <c r="A10" i="1"/>
  <c r="K10" i="1"/>
  <c r="M10" i="1" s="1"/>
  <c r="A11" i="1"/>
  <c r="A12" i="1"/>
  <c r="A13" i="1"/>
  <c r="A6" i="1"/>
  <c r="F3" i="35"/>
  <c r="B11" i="1"/>
  <c r="E11" i="1"/>
  <c r="B7" i="1"/>
  <c r="E7" i="1"/>
  <c r="B13" i="1"/>
  <c r="E13"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BA85" i="3"/>
  <c r="AX85" i="3"/>
  <c r="AW85" i="3"/>
  <c r="AV85" i="3"/>
  <c r="AC85" i="3"/>
  <c r="G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G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A76" i="3"/>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BA71" i="3"/>
  <c r="AX71" i="3"/>
  <c r="AW71" i="3"/>
  <c r="AV71" i="3"/>
  <c r="AC71" i="3"/>
  <c r="G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A67" i="3"/>
  <c r="BB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c r="BM64" i="3"/>
  <c r="BK64" i="3"/>
  <c r="BJ64" i="3"/>
  <c r="BI64" i="3"/>
  <c r="BH64" i="3"/>
  <c r="BG64" i="3"/>
  <c r="BF64" i="3"/>
  <c r="BE64" i="3"/>
  <c r="BD64" i="3"/>
  <c r="BC64" i="3"/>
  <c r="BB64" i="3"/>
  <c r="BA64" i="3"/>
  <c r="AX64" i="3"/>
  <c r="AW64" i="3"/>
  <c r="AV64" i="3"/>
  <c r="AC64" i="3"/>
  <c r="G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A62" i="3"/>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G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G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A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A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A46" i="3"/>
  <c r="BB46" i="3"/>
  <c r="AX46" i="3"/>
  <c r="AW46" i="3"/>
  <c r="AV46" i="3"/>
  <c r="AC46" i="3"/>
  <c r="H46" i="3"/>
  <c r="BT45" i="3"/>
  <c r="BS45" i="3"/>
  <c r="BR45" i="3"/>
  <c r="BQ45" i="3"/>
  <c r="BP45" i="3"/>
  <c r="BO45" i="3"/>
  <c r="BN45" i="3"/>
  <c r="BL45" i="3"/>
  <c r="BM45" i="3"/>
  <c r="BK45" i="3"/>
  <c r="BJ45" i="3"/>
  <c r="BI45" i="3"/>
  <c r="BH45" i="3"/>
  <c r="BG45" i="3"/>
  <c r="BF45" i="3"/>
  <c r="BE45" i="3"/>
  <c r="BD45" i="3"/>
  <c r="BC45" i="3"/>
  <c r="BB45" i="3"/>
  <c r="BA45" i="3"/>
  <c r="AX45" i="3"/>
  <c r="AW45" i="3"/>
  <c r="AV45" i="3"/>
  <c r="AC45" i="3"/>
  <c r="H45" i="3"/>
  <c r="BT44" i="3"/>
  <c r="BS44" i="3"/>
  <c r="BR44" i="3"/>
  <c r="BQ44" i="3"/>
  <c r="BP44" i="3"/>
  <c r="BO44" i="3"/>
  <c r="BN44" i="3"/>
  <c r="BL44" i="3"/>
  <c r="BM44" i="3"/>
  <c r="BK44" i="3"/>
  <c r="BJ44" i="3"/>
  <c r="BI44" i="3"/>
  <c r="BH44" i="3"/>
  <c r="BG44" i="3"/>
  <c r="BF44" i="3"/>
  <c r="BE44" i="3"/>
  <c r="BD44" i="3"/>
  <c r="BC44" i="3"/>
  <c r="BB44" i="3"/>
  <c r="BA44" i="3"/>
  <c r="AX44" i="3"/>
  <c r="AW44" i="3"/>
  <c r="AV44" i="3"/>
  <c r="AC44" i="3"/>
  <c r="G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G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L36" i="3"/>
  <c r="BM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K35" i="3"/>
  <c r="BJ35" i="3"/>
  <c r="BI35" i="3"/>
  <c r="BH35" i="3"/>
  <c r="BG35" i="3"/>
  <c r="BF35" i="3"/>
  <c r="BE35" i="3"/>
  <c r="BD35" i="3"/>
  <c r="BC35" i="3"/>
  <c r="BA35" i="3"/>
  <c r="BB35" i="3"/>
  <c r="AX35" i="3"/>
  <c r="AW35" i="3"/>
  <c r="AV35" i="3"/>
  <c r="AC35" i="3"/>
  <c r="H35" i="3"/>
  <c r="BT34" i="3"/>
  <c r="BS34" i="3"/>
  <c r="BR34" i="3"/>
  <c r="BQ34" i="3"/>
  <c r="BP34" i="3"/>
  <c r="BO34" i="3"/>
  <c r="BN34" i="3"/>
  <c r="BL34" i="3"/>
  <c r="BM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K33" i="3"/>
  <c r="BJ33" i="3"/>
  <c r="BI33" i="3"/>
  <c r="BH33" i="3"/>
  <c r="BG33" i="3"/>
  <c r="BF33" i="3"/>
  <c r="BE33" i="3"/>
  <c r="BD33" i="3"/>
  <c r="BC33" i="3"/>
  <c r="BB33" i="3"/>
  <c r="BA33" i="3"/>
  <c r="AX33" i="3"/>
  <c r="AW33" i="3"/>
  <c r="AV33" i="3"/>
  <c r="AC33" i="3"/>
  <c r="G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A31" i="3"/>
  <c r="BB31" i="3"/>
  <c r="AX31" i="3"/>
  <c r="AW31" i="3"/>
  <c r="AV31" i="3"/>
  <c r="AC31" i="3"/>
  <c r="G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L25" i="3"/>
  <c r="BM25" i="3"/>
  <c r="BK25" i="3"/>
  <c r="BJ25" i="3"/>
  <c r="BI25" i="3"/>
  <c r="BH25" i="3"/>
  <c r="BG25" i="3"/>
  <c r="BF25" i="3"/>
  <c r="BE25" i="3"/>
  <c r="BD25" i="3"/>
  <c r="BC25" i="3"/>
  <c r="BB25" i="3"/>
  <c r="BA25" i="3"/>
  <c r="AX25" i="3"/>
  <c r="AW25" i="3"/>
  <c r="AV25" i="3"/>
  <c r="AC25" i="3"/>
  <c r="G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A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G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A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G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L203" i="3"/>
  <c r="BM203" i="3"/>
  <c r="BK203" i="3"/>
  <c r="BJ203" i="3"/>
  <c r="BI203" i="3"/>
  <c r="BH203" i="3"/>
  <c r="BG203" i="3"/>
  <c r="BF203" i="3"/>
  <c r="BE203" i="3"/>
  <c r="BD203" i="3"/>
  <c r="BC203" i="3"/>
  <c r="BB203" i="3"/>
  <c r="AX203" i="3"/>
  <c r="AW203" i="3"/>
  <c r="AV203" i="3"/>
  <c r="AC203" i="3"/>
  <c r="G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A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G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L195" i="3"/>
  <c r="BM195" i="3"/>
  <c r="BK195" i="3"/>
  <c r="BJ195" i="3"/>
  <c r="BI195" i="3"/>
  <c r="BH195" i="3"/>
  <c r="BG195" i="3"/>
  <c r="BF195" i="3"/>
  <c r="BE195" i="3"/>
  <c r="BD195" i="3"/>
  <c r="BC195" i="3"/>
  <c r="BB195" i="3"/>
  <c r="AX195" i="3"/>
  <c r="AW195" i="3"/>
  <c r="AV195" i="3"/>
  <c r="AC195" i="3"/>
  <c r="G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A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G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L187" i="3"/>
  <c r="BM187" i="3"/>
  <c r="BK187" i="3"/>
  <c r="BJ187" i="3"/>
  <c r="BI187" i="3"/>
  <c r="BH187" i="3"/>
  <c r="BG187" i="3"/>
  <c r="BF187" i="3"/>
  <c r="BE187" i="3"/>
  <c r="BD187" i="3"/>
  <c r="BC187" i="3"/>
  <c r="BB187" i="3"/>
  <c r="AX187" i="3"/>
  <c r="AW187" i="3"/>
  <c r="AV187" i="3"/>
  <c r="AC187" i="3"/>
  <c r="G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A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G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L179" i="3"/>
  <c r="BM179" i="3"/>
  <c r="BK179" i="3"/>
  <c r="BJ179" i="3"/>
  <c r="BI179" i="3"/>
  <c r="BH179" i="3"/>
  <c r="BG179" i="3"/>
  <c r="BF179" i="3"/>
  <c r="BE179" i="3"/>
  <c r="BD179" i="3"/>
  <c r="BC179" i="3"/>
  <c r="BB179" i="3"/>
  <c r="AX179" i="3"/>
  <c r="AW179" i="3"/>
  <c r="AV179" i="3"/>
  <c r="AC179" i="3"/>
  <c r="G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A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L171" i="3"/>
  <c r="BM171" i="3"/>
  <c r="BK171" i="3"/>
  <c r="BJ171" i="3"/>
  <c r="BI171" i="3"/>
  <c r="BH171" i="3"/>
  <c r="BG171" i="3"/>
  <c r="BF171" i="3"/>
  <c r="BE171" i="3"/>
  <c r="BD171" i="3"/>
  <c r="BC171" i="3"/>
  <c r="BB171" i="3"/>
  <c r="AX171" i="3"/>
  <c r="AW171" i="3"/>
  <c r="AV171" i="3"/>
  <c r="AC171" i="3"/>
  <c r="G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A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G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c r="BM163" i="3"/>
  <c r="BK163" i="3"/>
  <c r="BJ163" i="3"/>
  <c r="BI163" i="3"/>
  <c r="BH163" i="3"/>
  <c r="BG163" i="3"/>
  <c r="BF163" i="3"/>
  <c r="BE163" i="3"/>
  <c r="BD163" i="3"/>
  <c r="BC163" i="3"/>
  <c r="BB163" i="3"/>
  <c r="AX163" i="3"/>
  <c r="AW163" i="3"/>
  <c r="AV163" i="3"/>
  <c r="AC163" i="3"/>
  <c r="G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A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L155" i="3"/>
  <c r="BM155" i="3"/>
  <c r="BK155" i="3"/>
  <c r="BJ155" i="3"/>
  <c r="BI155" i="3"/>
  <c r="BH155" i="3"/>
  <c r="BG155" i="3"/>
  <c r="BF155" i="3"/>
  <c r="BE155" i="3"/>
  <c r="BD155" i="3"/>
  <c r="BC155" i="3"/>
  <c r="BB155" i="3"/>
  <c r="AX155" i="3"/>
  <c r="AW155" i="3"/>
  <c r="AV155" i="3"/>
  <c r="AC155" i="3"/>
  <c r="G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A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G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L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c r="BM146" i="3"/>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L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L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A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L292" i="3"/>
  <c r="BM292" i="3"/>
  <c r="BK292" i="3"/>
  <c r="BJ292" i="3"/>
  <c r="BI292" i="3"/>
  <c r="BH292" i="3"/>
  <c r="BG292" i="3"/>
  <c r="BF292" i="3"/>
  <c r="BE292" i="3"/>
  <c r="BD292" i="3"/>
  <c r="BC292" i="3"/>
  <c r="BB292" i="3"/>
  <c r="BA292" i="3"/>
  <c r="AZ292" i="3"/>
  <c r="AX292" i="3"/>
  <c r="AW292" i="3"/>
  <c r="AV292" i="3"/>
  <c r="AC292" i="3"/>
  <c r="G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L261" i="3"/>
  <c r="BM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L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G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A246" i="3"/>
  <c r="BB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L241" i="3"/>
  <c r="BM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L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L239" i="3"/>
  <c r="BM239" i="3"/>
  <c r="BK239" i="3"/>
  <c r="BJ239" i="3"/>
  <c r="BI239" i="3"/>
  <c r="BH239" i="3"/>
  <c r="BG239" i="3"/>
  <c r="BF239" i="3"/>
  <c r="BE239" i="3"/>
  <c r="BD239" i="3"/>
  <c r="BC239" i="3"/>
  <c r="BB239" i="3"/>
  <c r="BA239" i="3"/>
  <c r="AX239" i="3"/>
  <c r="AW239" i="3"/>
  <c r="AV239" i="3"/>
  <c r="AC239" i="3"/>
  <c r="G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A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L229" i="3"/>
  <c r="BM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L228" i="3"/>
  <c r="BM228" i="3"/>
  <c r="BK228" i="3"/>
  <c r="BJ228" i="3"/>
  <c r="BI228" i="3"/>
  <c r="BH228" i="3"/>
  <c r="BG228" i="3"/>
  <c r="BF228" i="3"/>
  <c r="BE228" i="3"/>
  <c r="BD228" i="3"/>
  <c r="BC228" i="3"/>
  <c r="BB228" i="3"/>
  <c r="BA228" i="3"/>
  <c r="AZ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c r="BM219" i="3"/>
  <c r="BK219" i="3"/>
  <c r="BJ219" i="3"/>
  <c r="BI219" i="3"/>
  <c r="BH219" i="3"/>
  <c r="BG219" i="3"/>
  <c r="BF219" i="3"/>
  <c r="BE219" i="3"/>
  <c r="BD219" i="3"/>
  <c r="BC219" i="3"/>
  <c r="BB219" i="3"/>
  <c r="BA219" i="3"/>
  <c r="AZ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A211" i="3"/>
  <c r="BB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L397" i="3"/>
  <c r="BM397" i="3"/>
  <c r="BK397" i="3"/>
  <c r="BJ397" i="3"/>
  <c r="BI397" i="3"/>
  <c r="BH397" i="3"/>
  <c r="BG397" i="3"/>
  <c r="BF397" i="3"/>
  <c r="BE397" i="3"/>
  <c r="BD397" i="3"/>
  <c r="BC397" i="3"/>
  <c r="BB397" i="3"/>
  <c r="BA397" i="3"/>
  <c r="AZ397" i="3"/>
  <c r="AX397" i="3"/>
  <c r="AW397" i="3"/>
  <c r="AV397" i="3"/>
  <c r="AC397" i="3"/>
  <c r="G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A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G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A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N348" i="3"/>
  <c r="BL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L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A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G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L478" i="3"/>
  <c r="BM478" i="3"/>
  <c r="BK478" i="3"/>
  <c r="BJ478" i="3"/>
  <c r="BI478" i="3"/>
  <c r="BH478" i="3"/>
  <c r="BG478" i="3"/>
  <c r="BF478" i="3"/>
  <c r="BE478" i="3"/>
  <c r="BD478" i="3"/>
  <c r="BC478" i="3"/>
  <c r="BB478" i="3"/>
  <c r="BA478" i="3"/>
  <c r="AX478" i="3"/>
  <c r="AW478" i="3"/>
  <c r="AV478" i="3"/>
  <c r="AC478" i="3"/>
  <c r="G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A476" i="3"/>
  <c r="BB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G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A465" i="3"/>
  <c r="BB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L460" i="3"/>
  <c r="BM460" i="3"/>
  <c r="BK460" i="3"/>
  <c r="BJ460" i="3"/>
  <c r="BI460" i="3"/>
  <c r="BH460" i="3"/>
  <c r="BG460" i="3"/>
  <c r="BF460" i="3"/>
  <c r="BE460" i="3"/>
  <c r="BD460" i="3"/>
  <c r="BC460" i="3"/>
  <c r="BB460" i="3"/>
  <c r="BA460" i="3"/>
  <c r="AX460" i="3"/>
  <c r="AW460" i="3"/>
  <c r="AV460" i="3"/>
  <c r="AC460" i="3"/>
  <c r="G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A458" i="3"/>
  <c r="BB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G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A451" i="3"/>
  <c r="BB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L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L447" i="3"/>
  <c r="BM447" i="3"/>
  <c r="BK447" i="3"/>
  <c r="BJ447" i="3"/>
  <c r="BI447" i="3"/>
  <c r="BH447" i="3"/>
  <c r="BG447" i="3"/>
  <c r="BF447" i="3"/>
  <c r="BE447" i="3"/>
  <c r="BD447" i="3"/>
  <c r="BC447" i="3"/>
  <c r="BB447" i="3"/>
  <c r="BA447" i="3"/>
  <c r="AX447" i="3"/>
  <c r="AW447" i="3"/>
  <c r="AV447" i="3"/>
  <c r="AC447" i="3"/>
  <c r="G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A445" i="3"/>
  <c r="BB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G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A438" i="3"/>
  <c r="BB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G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A433" i="3"/>
  <c r="BB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L426" i="3"/>
  <c r="BM426" i="3"/>
  <c r="BK426" i="3"/>
  <c r="BJ426" i="3"/>
  <c r="BI426" i="3"/>
  <c r="BH426" i="3"/>
  <c r="BG426" i="3"/>
  <c r="BF426" i="3"/>
  <c r="BE426" i="3"/>
  <c r="BD426" i="3"/>
  <c r="BC426" i="3"/>
  <c r="BB426" i="3"/>
  <c r="BA426" i="3"/>
  <c r="AX426" i="3"/>
  <c r="AW426" i="3"/>
  <c r="AV426" i="3"/>
  <c r="AC426" i="3"/>
  <c r="G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A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G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A417" i="3"/>
  <c r="BB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L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L409" i="3"/>
  <c r="BM409" i="3"/>
  <c r="BK409" i="3"/>
  <c r="BJ409" i="3"/>
  <c r="BI409" i="3"/>
  <c r="BH409" i="3"/>
  <c r="BG409" i="3"/>
  <c r="BF409" i="3"/>
  <c r="BE409" i="3"/>
  <c r="BD409" i="3"/>
  <c r="BC409" i="3"/>
  <c r="BB409" i="3"/>
  <c r="BA409" i="3"/>
  <c r="AX409" i="3"/>
  <c r="AW409" i="3"/>
  <c r="AV409" i="3"/>
  <c r="AC409" i="3"/>
  <c r="G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A406" i="3"/>
  <c r="BB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G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A401" i="3"/>
  <c r="BB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c r="B13" i="53"/>
  <c r="B29" i="72"/>
  <c r="R35" i="4"/>
  <c r="Q35" i="4"/>
  <c r="P35" i="4"/>
  <c r="O35" i="4"/>
  <c r="N35" i="4"/>
  <c r="M35" i="4"/>
  <c r="L35" i="4"/>
  <c r="K34" i="4"/>
  <c r="T34" i="4"/>
  <c r="G13" i="1"/>
  <c r="I15" i="4"/>
  <c r="H15" i="4"/>
  <c r="G15" i="4"/>
  <c r="E15" i="4"/>
  <c r="D15" i="4"/>
  <c r="F7" i="1"/>
  <c r="G7" i="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N16" i="3"/>
  <c r="BN17" i="3"/>
  <c r="BP13" i="3"/>
  <c r="BP14" i="3"/>
  <c r="BP15" i="3"/>
  <c r="BP16" i="3"/>
  <c r="BP17" i="3"/>
  <c r="O8" i="1"/>
  <c r="P8" i="1"/>
  <c r="F23" i="15"/>
  <c r="D24" i="15"/>
  <c r="E22" i="6"/>
  <c r="E23" i="6"/>
  <c r="E24" i="6"/>
  <c r="E25" i="6"/>
  <c r="E26" i="6"/>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D81" i="39"/>
  <c r="E81" i="39" s="1"/>
  <c r="D76" i="40"/>
  <c r="E76" i="40"/>
  <c r="F76" i="40"/>
  <c r="G76" i="40"/>
  <c r="H76" i="40"/>
  <c r="I76" i="40"/>
  <c r="J76" i="40"/>
  <c r="K76" i="40"/>
  <c r="L76" i="40"/>
  <c r="M76" i="40"/>
  <c r="B120" i="40"/>
  <c r="B118" i="40"/>
  <c r="B116" i="40"/>
  <c r="J38" i="40"/>
  <c r="AC38"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E101" i="39"/>
  <c r="F101" i="39"/>
  <c r="D99" i="39"/>
  <c r="E99" i="39" s="1"/>
  <c r="Q39" i="39"/>
  <c r="Z39" i="39"/>
  <c r="Q40" i="39"/>
  <c r="Z40" i="39"/>
  <c r="Q41" i="39"/>
  <c r="Z41" i="39"/>
  <c r="Q42" i="39"/>
  <c r="Z42" i="39"/>
  <c r="Q43" i="39"/>
  <c r="Z43" i="39"/>
  <c r="Q44" i="39"/>
  <c r="Z44" i="39"/>
  <c r="Q45" i="39"/>
  <c r="Z45" i="39"/>
  <c r="Q38" i="39"/>
  <c r="Z38" i="39"/>
  <c r="Q36" i="39"/>
  <c r="Z36" i="39"/>
  <c r="Q37" i="39"/>
  <c r="Z37" i="39"/>
  <c r="B131"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F26" i="37"/>
  <c r="AA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Q9" i="36"/>
  <c r="Z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H34" i="35"/>
  <c r="AB34" i="35"/>
  <c r="B77" i="35"/>
  <c r="B75" i="35"/>
  <c r="J24" i="35"/>
  <c r="AC24" i="35"/>
  <c r="B73" i="35"/>
  <c r="J23" i="35"/>
  <c r="AC23" i="35"/>
  <c r="B57" i="35"/>
  <c r="J11" i="35"/>
  <c r="AC11" i="35"/>
  <c r="B61" i="35"/>
  <c r="B59" i="35"/>
  <c r="H12" i="35"/>
  <c r="B131" i="34"/>
  <c r="B129" i="34"/>
  <c r="H46" i="34"/>
  <c r="U46" i="34"/>
  <c r="B127" i="34"/>
  <c r="B99" i="34"/>
  <c r="B97" i="34"/>
  <c r="B95" i="34"/>
  <c r="J30" i="34"/>
  <c r="W30" i="34"/>
  <c r="B93" i="34"/>
  <c r="B75" i="34"/>
  <c r="B73" i="34"/>
  <c r="B71" i="34"/>
  <c r="B130" i="33"/>
  <c r="B128" i="33"/>
  <c r="B126" i="33"/>
  <c r="B98" i="33"/>
  <c r="B96" i="33"/>
  <c r="B94" i="33"/>
  <c r="B74" i="33"/>
  <c r="B72" i="33"/>
  <c r="H13" i="33"/>
  <c r="AB13"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F34" i="35"/>
  <c r="Q33" i="35"/>
  <c r="Z33" i="35"/>
  <c r="Q32" i="35"/>
  <c r="Z32" i="35"/>
  <c r="H32" i="35"/>
  <c r="AB32" i="35"/>
  <c r="F32" i="35"/>
  <c r="AA32" i="35"/>
  <c r="Q31" i="35"/>
  <c r="Z31" i="35"/>
  <c r="AB31" i="35"/>
  <c r="AA31" i="35"/>
  <c r="Q30" i="35"/>
  <c r="Z30" i="35"/>
  <c r="Q29" i="35"/>
  <c r="Z29" i="35"/>
  <c r="Q28" i="35"/>
  <c r="Z28" i="35"/>
  <c r="J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F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AB9"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J46" i="21"/>
  <c r="W46" i="21"/>
  <c r="B128" i="21"/>
  <c r="J45" i="21"/>
  <c r="W45" i="21"/>
  <c r="B126" i="21"/>
  <c r="B98" i="21"/>
  <c r="H31" i="21"/>
  <c r="B96" i="21"/>
  <c r="B94" i="21"/>
  <c r="J29" i="21"/>
  <c r="AC29" i="21"/>
  <c r="B92" i="21"/>
  <c r="B90" i="21"/>
  <c r="J27" i="21"/>
  <c r="W27" i="21"/>
  <c r="B74" i="21"/>
  <c r="F14" i="21"/>
  <c r="S1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S41" i="21"/>
  <c r="AA41" i="21"/>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F29" i="36"/>
  <c r="AA29" i="36"/>
  <c r="W8" i="36"/>
  <c r="F16" i="36"/>
  <c r="AA16" i="36"/>
  <c r="W28" i="36"/>
  <c r="S30" i="36"/>
  <c r="AA31" i="36"/>
  <c r="AC31" i="36"/>
  <c r="W31" i="36"/>
  <c r="J33" i="36"/>
  <c r="W33" i="36"/>
  <c r="H22" i="35"/>
  <c r="AB22" i="35"/>
  <c r="AC27" i="35"/>
  <c r="U31" i="35"/>
  <c r="W34" i="35"/>
  <c r="W22" i="35"/>
  <c r="S31" i="35"/>
  <c r="U34" i="35"/>
  <c r="F36" i="34"/>
  <c r="J35" i="34"/>
  <c r="S34" i="34"/>
  <c r="U34" i="34"/>
  <c r="H39" i="33"/>
  <c r="AB39" i="33"/>
  <c r="S9" i="33"/>
  <c r="U33" i="33"/>
  <c r="U35" i="33"/>
  <c r="W33" i="33"/>
  <c r="W39" i="33"/>
  <c r="H39" i="37"/>
  <c r="AB39" i="37"/>
  <c r="S27" i="35"/>
  <c r="F11" i="40"/>
  <c r="AA11" i="40"/>
  <c r="H11" i="40"/>
  <c r="AB11" i="40"/>
  <c r="W8" i="40"/>
  <c r="AC40" i="40"/>
  <c r="AA9" i="40"/>
  <c r="AC9" i="40"/>
  <c r="S34" i="40"/>
  <c r="S40" i="40"/>
  <c r="W31" i="40"/>
  <c r="U34" i="40"/>
  <c r="S38" i="40"/>
  <c r="U40" i="40"/>
  <c r="F42" i="39"/>
  <c r="AA42" i="39"/>
  <c r="F41" i="39"/>
  <c r="S41" i="39"/>
  <c r="H40" i="39"/>
  <c r="AB40" i="39"/>
  <c r="H39" i="39"/>
  <c r="U39" i="39"/>
  <c r="S34" i="39"/>
  <c r="H34" i="39"/>
  <c r="U34" i="39"/>
  <c r="E109" i="39"/>
  <c r="H31" i="39"/>
  <c r="AB31" i="39"/>
  <c r="F31" i="39"/>
  <c r="AA3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J27" i="39"/>
  <c r="AC27" i="39"/>
  <c r="F27" i="39"/>
  <c r="F11" i="21"/>
  <c r="S11" i="21"/>
  <c r="S40" i="21"/>
  <c r="U34" i="21"/>
  <c r="S34" i="21"/>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S44" i="39"/>
  <c r="F37" i="39"/>
  <c r="AA37" i="39"/>
  <c r="J34" i="36"/>
  <c r="W34" i="36"/>
  <c r="U30" i="36"/>
  <c r="J30" i="35"/>
  <c r="W30" i="35"/>
  <c r="H30" i="35"/>
  <c r="AB30" i="35"/>
  <c r="F22" i="35"/>
  <c r="AA22" i="35"/>
  <c r="H10" i="35"/>
  <c r="U10" i="35"/>
  <c r="AC16" i="36"/>
  <c r="W30" i="36"/>
  <c r="H16" i="36"/>
  <c r="AB16" i="36"/>
  <c r="E85" i="36"/>
  <c r="F85" i="36"/>
  <c r="G85" i="36"/>
  <c r="H85" i="36"/>
  <c r="I85" i="36"/>
  <c r="J85" i="36"/>
  <c r="K85" i="36"/>
  <c r="L85" i="36"/>
  <c r="M85" i="36"/>
  <c r="J29" i="36"/>
  <c r="AC29" i="36"/>
  <c r="F12" i="36"/>
  <c r="S12" i="36"/>
  <c r="F24" i="36"/>
  <c r="AA24" i="36"/>
  <c r="F34" i="36"/>
  <c r="S34"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J33" i="37"/>
  <c r="AC33" i="37"/>
  <c r="U42" i="34"/>
  <c r="H40" i="34"/>
  <c r="U40" i="34"/>
  <c r="E114" i="34"/>
  <c r="H36" i="34"/>
  <c r="U36" i="34"/>
  <c r="F37" i="34"/>
  <c r="AA37" i="34"/>
  <c r="S35" i="34"/>
  <c r="F28" i="34"/>
  <c r="AA28" i="34"/>
  <c r="F27" i="34"/>
  <c r="AA27" i="34"/>
  <c r="F25" i="34"/>
  <c r="S25" i="34"/>
  <c r="H23" i="34"/>
  <c r="U23" i="34"/>
  <c r="J23" i="34"/>
  <c r="F19" i="34"/>
  <c r="H17" i="34"/>
  <c r="U17" i="34"/>
  <c r="F15" i="34"/>
  <c r="S15" i="34"/>
  <c r="J15" i="34"/>
  <c r="H15" i="34"/>
  <c r="AB15" i="34"/>
  <c r="W8" i="34"/>
  <c r="J28" i="34"/>
  <c r="W28" i="34"/>
  <c r="F41" i="33"/>
  <c r="AA41" i="33"/>
  <c r="S38" i="33"/>
  <c r="E113" i="33"/>
  <c r="F113" i="33"/>
  <c r="G113" i="33"/>
  <c r="H113" i="33"/>
  <c r="I113" i="33"/>
  <c r="J113" i="33"/>
  <c r="K113" i="33"/>
  <c r="L113" i="33"/>
  <c r="M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AA12" i="36"/>
  <c r="AB30" i="36"/>
  <c r="AC34" i="36"/>
  <c r="U30" i="35"/>
  <c r="U33" i="35"/>
  <c r="F29" i="35"/>
  <c r="S29" i="35"/>
  <c r="H29" i="35"/>
  <c r="AB29" i="35"/>
  <c r="H33" i="37"/>
  <c r="AB33" i="37"/>
  <c r="F33" i="37"/>
  <c r="AA33"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41" i="33"/>
  <c r="H37" i="33"/>
  <c r="AB37" i="33"/>
  <c r="H15" i="33"/>
  <c r="AB15" i="33"/>
  <c r="H11" i="33"/>
  <c r="AB11" i="33"/>
  <c r="F28" i="40"/>
  <c r="AA28" i="40"/>
  <c r="AA29" i="35"/>
  <c r="AA42" i="34"/>
  <c r="S42"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H14" i="21"/>
  <c r="U14" i="21"/>
  <c r="H28" i="21"/>
  <c r="AB28" i="21"/>
  <c r="F28" i="21"/>
  <c r="AA28" i="21"/>
  <c r="J28" i="21"/>
  <c r="W28" i="21"/>
  <c r="H30" i="21"/>
  <c r="U30" i="21"/>
  <c r="F30" i="21"/>
  <c r="S30" i="21"/>
  <c r="J30" i="21"/>
  <c r="AC30" i="21"/>
  <c r="J44" i="21"/>
  <c r="AC44" i="21"/>
  <c r="H44" i="21"/>
  <c r="U44" i="21"/>
  <c r="F44" i="21"/>
  <c r="AA44" i="21"/>
  <c r="H46" i="21"/>
  <c r="U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F13" i="33"/>
  <c r="S13" i="33"/>
  <c r="J29" i="33"/>
  <c r="AC29" i="33"/>
  <c r="H29" i="33"/>
  <c r="U29" i="33"/>
  <c r="F29" i="33"/>
  <c r="S29" i="33"/>
  <c r="J31" i="33"/>
  <c r="W31" i="33"/>
  <c r="H31" i="33"/>
  <c r="AB31" i="33"/>
  <c r="F31" i="33"/>
  <c r="H45" i="33"/>
  <c r="U45" i="33"/>
  <c r="J45" i="33"/>
  <c r="W45" i="33"/>
  <c r="F45" i="33"/>
  <c r="AA45" i="33"/>
  <c r="J14" i="34"/>
  <c r="W14" i="34"/>
  <c r="F14" i="34"/>
  <c r="S14" i="34"/>
  <c r="H14" i="34"/>
  <c r="H30" i="34"/>
  <c r="F30" i="34"/>
  <c r="S30" i="34"/>
  <c r="H32" i="34"/>
  <c r="F32" i="34"/>
  <c r="J32" i="34"/>
  <c r="W32" i="34"/>
  <c r="F46" i="34"/>
  <c r="J46" i="34"/>
  <c r="H11" i="35"/>
  <c r="U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AA14" i="33"/>
  <c r="J36" i="37"/>
  <c r="AC36" i="37"/>
  <c r="G105" i="37"/>
  <c r="AB11" i="36"/>
  <c r="AB11" i="35"/>
  <c r="J10" i="36"/>
  <c r="AC10" i="36"/>
  <c r="AB26" i="33"/>
  <c r="W31" i="34"/>
  <c r="AC13" i="36"/>
  <c r="W13" i="36"/>
  <c r="W11" i="36"/>
  <c r="W11" i="35"/>
  <c r="AB46" i="34"/>
  <c r="AC30" i="34"/>
  <c r="AA14" i="34"/>
  <c r="S45" i="33"/>
  <c r="AB45" i="33"/>
  <c r="U31" i="33"/>
  <c r="W29" i="33"/>
  <c r="U13" i="33"/>
  <c r="AC28" i="21"/>
  <c r="S44" i="34"/>
  <c r="BA586" i="3"/>
  <c r="BA585" i="3"/>
  <c r="F17" i="21"/>
  <c r="AA17" i="21"/>
  <c r="H17" i="21"/>
  <c r="AB17" i="21"/>
  <c r="F15" i="21"/>
  <c r="S15" i="21"/>
  <c r="AB11" i="21"/>
  <c r="J41" i="39"/>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c r="BL576" i="3"/>
  <c r="AZ576" i="3"/>
  <c r="BL572" i="3"/>
  <c r="BL568" i="3"/>
  <c r="BL564" i="3"/>
  <c r="AZ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BA578" i="3"/>
  <c r="AZ578" i="3"/>
  <c r="BA576" i="3"/>
  <c r="BA574" i="3"/>
  <c r="AZ574" i="3"/>
  <c r="BA572" i="3"/>
  <c r="AZ572" i="3"/>
  <c r="BA570" i="3"/>
  <c r="AZ570" i="3"/>
  <c r="BA568" i="3"/>
  <c r="AZ568" i="3"/>
  <c r="BA566" i="3"/>
  <c r="AZ566" i="3"/>
  <c r="BA564" i="3"/>
  <c r="BA562" i="3"/>
  <c r="AZ562" i="3"/>
  <c r="BA560" i="3"/>
  <c r="BA558" i="3"/>
  <c r="AZ558" i="3"/>
  <c r="BA556" i="3"/>
  <c r="AZ556" i="3"/>
  <c r="BA554" i="3"/>
  <c r="AZ554" i="3"/>
  <c r="BA552" i="3"/>
  <c r="BA548" i="3"/>
  <c r="BA546" i="3"/>
  <c r="BA544" i="3"/>
  <c r="AZ544" i="3"/>
  <c r="BA542" i="3"/>
  <c r="BA540" i="3"/>
  <c r="BA538" i="3"/>
  <c r="BA536" i="3"/>
  <c r="AZ536" i="3"/>
  <c r="BA534" i="3"/>
  <c r="AZ534" i="3"/>
  <c r="BA532" i="3"/>
  <c r="BA530" i="3"/>
  <c r="BA528" i="3"/>
  <c r="AZ528" i="3"/>
  <c r="BA526" i="3"/>
  <c r="AZ526" i="3"/>
  <c r="BA524" i="3"/>
  <c r="AZ524" i="3"/>
  <c r="BA522" i="3"/>
  <c r="BA520" i="3"/>
  <c r="BA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BQ577" i="3"/>
  <c r="BL577" i="3"/>
  <c r="AZ577" i="3"/>
  <c r="BQ575" i="3"/>
  <c r="BL575" i="3"/>
  <c r="AZ575" i="3"/>
  <c r="BQ573" i="3"/>
  <c r="BL573" i="3"/>
  <c r="AZ573" i="3"/>
  <c r="BQ571" i="3"/>
  <c r="BL571" i="3"/>
  <c r="AZ571" i="3"/>
  <c r="BQ569" i="3"/>
  <c r="BL569" i="3"/>
  <c r="AZ569" i="3"/>
  <c r="BQ567" i="3"/>
  <c r="BL567" i="3"/>
  <c r="AZ567" i="3"/>
  <c r="BQ565" i="3"/>
  <c r="BL565" i="3"/>
  <c r="BQ563" i="3"/>
  <c r="BL563" i="3"/>
  <c r="BQ561" i="3"/>
  <c r="BL561" i="3"/>
  <c r="AZ561" i="3"/>
  <c r="BQ559" i="3"/>
  <c r="BL559" i="3"/>
  <c r="AZ559" i="3"/>
  <c r="G559" i="3"/>
  <c r="G555" i="3"/>
  <c r="G553" i="3"/>
  <c r="G549" i="3"/>
  <c r="G547" i="3"/>
  <c r="G545" i="3"/>
  <c r="G543" i="3"/>
  <c r="G541" i="3"/>
  <c r="G539" i="3"/>
  <c r="G537" i="3"/>
  <c r="BQ555" i="3"/>
  <c r="BL555" i="3"/>
  <c r="BQ553" i="3"/>
  <c r="BL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AZ509" i="3"/>
  <c r="BL508" i="3"/>
  <c r="AZ508" i="3"/>
  <c r="G507" i="3"/>
  <c r="G505" i="3"/>
  <c r="G503" i="3"/>
  <c r="G501" i="3"/>
  <c r="G499" i="3"/>
  <c r="G497" i="3"/>
  <c r="G495" i="3"/>
  <c r="BQ507" i="3"/>
  <c r="BL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94" i="37"/>
  <c r="G94" i="37"/>
  <c r="H94" i="37"/>
  <c r="I94" i="37"/>
  <c r="J94" i="37"/>
  <c r="K94" i="37"/>
  <c r="L94" i="37"/>
  <c r="M94" i="37"/>
  <c r="F31" i="37"/>
  <c r="S31" i="37"/>
  <c r="F12" i="39"/>
  <c r="S12" i="39"/>
  <c r="J42" i="39"/>
  <c r="AC42" i="39"/>
  <c r="H21" i="40"/>
  <c r="AB21" i="40"/>
  <c r="H31" i="37"/>
  <c r="U31" i="37"/>
  <c r="F71" i="37"/>
  <c r="G71" i="37"/>
  <c r="J15" i="37"/>
  <c r="W15" i="37"/>
  <c r="AT6" i="3"/>
  <c r="AA25" i="21"/>
  <c r="C12" i="43"/>
  <c r="H19" i="40"/>
  <c r="U19" i="40"/>
  <c r="F88" i="40"/>
  <c r="G88" i="40"/>
  <c r="F19" i="40"/>
  <c r="S19" i="40"/>
  <c r="S14" i="40"/>
  <c r="AC13" i="40"/>
  <c r="AB33" i="40"/>
  <c r="W23" i="39"/>
  <c r="AC43" i="39"/>
  <c r="W43" i="39"/>
  <c r="AB44" i="39"/>
  <c r="U44" i="39"/>
  <c r="G101" i="39"/>
  <c r="H37" i="39"/>
  <c r="AB37" i="39"/>
  <c r="AC37" i="39"/>
  <c r="W37"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A12" i="52"/>
  <c r="B56" i="72"/>
  <c r="G4" i="4"/>
  <c r="I4" i="4"/>
  <c r="K5" i="4"/>
  <c r="B47" i="48" s="1"/>
  <c r="A2" i="9"/>
  <c r="N2" i="43"/>
  <c r="N8" i="43"/>
  <c r="F59" i="43"/>
  <c r="AZ497" i="3"/>
  <c r="BL549" i="3"/>
  <c r="AZ494" i="3"/>
  <c r="AZ502" i="3"/>
  <c r="AZ514" i="3"/>
  <c r="AZ522" i="3"/>
  <c r="AZ530" i="3"/>
  <c r="AZ546" i="3"/>
  <c r="G546" i="3"/>
  <c r="G524" i="3"/>
  <c r="G303" i="3"/>
  <c r="BL304" i="3"/>
  <c r="G305" i="3"/>
  <c r="BL306" i="3"/>
  <c r="BA308" i="3"/>
  <c r="AZ308" i="3"/>
  <c r="BA309" i="3"/>
  <c r="BL309" i="3"/>
  <c r="AZ309" i="3"/>
  <c r="G310" i="3"/>
  <c r="BA311" i="3"/>
  <c r="G319" i="3"/>
  <c r="BL320" i="3"/>
  <c r="G321" i="3"/>
  <c r="BL322" i="3"/>
  <c r="BA324" i="3"/>
  <c r="AZ324" i="3"/>
  <c r="BA325" i="3"/>
  <c r="AZ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BL378" i="3"/>
  <c r="AZ378" i="3"/>
  <c r="G379" i="3"/>
  <c r="BA380" i="3"/>
  <c r="G388" i="3"/>
  <c r="BL389" i="3"/>
  <c r="G390" i="3"/>
  <c r="BL391" i="3"/>
  <c r="BA393" i="3"/>
  <c r="BA394" i="3"/>
  <c r="AZ394" i="3"/>
  <c r="BL394" i="3"/>
  <c r="G113" i="3"/>
  <c r="BA115" i="3"/>
  <c r="BL116" i="3"/>
  <c r="G117" i="3"/>
  <c r="BA119" i="3"/>
  <c r="BL120" i="3"/>
  <c r="G121" i="3"/>
  <c r="BA123" i="3"/>
  <c r="BL124" i="3"/>
  <c r="AZ124" i="3"/>
  <c r="G125" i="3"/>
  <c r="BA127" i="3"/>
  <c r="BL128" i="3"/>
  <c r="AZ128" i="3"/>
  <c r="G129" i="3"/>
  <c r="BA131" i="3"/>
  <c r="BL132" i="3"/>
  <c r="AZ132" i="3"/>
  <c r="G133" i="3"/>
  <c r="BA135" i="3"/>
  <c r="BL136" i="3"/>
  <c r="G137" i="3"/>
  <c r="BA139" i="3"/>
  <c r="BL140" i="3"/>
  <c r="AZ140" i="3"/>
  <c r="G141" i="3"/>
  <c r="BA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9" i="3"/>
  <c r="AZ136" i="3"/>
  <c r="AZ144" i="3"/>
  <c r="AZ120" i="3"/>
  <c r="G534" i="3"/>
  <c r="G530" i="3"/>
  <c r="G522" i="3"/>
  <c r="G516" i="3"/>
  <c r="G512" i="3"/>
  <c r="G506" i="3"/>
  <c r="G498" i="3"/>
  <c r="G494" i="3"/>
  <c r="G16" i="3"/>
  <c r="G15" i="3"/>
  <c r="BA304" i="3"/>
  <c r="AZ304" i="3"/>
  <c r="BA305" i="3"/>
  <c r="AZ305" i="3"/>
  <c r="BL305" i="3"/>
  <c r="G306" i="3"/>
  <c r="G309" i="3"/>
  <c r="BL310" i="3"/>
  <c r="BA312" i="3"/>
  <c r="AZ312" i="3"/>
  <c r="BA313" i="3"/>
  <c r="BL313" i="3"/>
  <c r="G314" i="3"/>
  <c r="G317" i="3"/>
  <c r="BL318" i="3"/>
  <c r="AZ318" i="3"/>
  <c r="BA320" i="3"/>
  <c r="BA321" i="3"/>
  <c r="BL321" i="3"/>
  <c r="G322" i="3"/>
  <c r="G325" i="3"/>
  <c r="BL326" i="3"/>
  <c r="BA328" i="3"/>
  <c r="AZ328" i="3"/>
  <c r="BA329" i="3"/>
  <c r="BL329" i="3"/>
  <c r="G330" i="3"/>
  <c r="G333" i="3"/>
  <c r="BL334" i="3"/>
  <c r="BA336" i="3"/>
  <c r="BA337" i="3"/>
  <c r="BL337" i="3"/>
  <c r="G338" i="3"/>
  <c r="G341" i="3"/>
  <c r="BA342" i="3"/>
  <c r="BL342" i="3"/>
  <c r="AZ342" i="3"/>
  <c r="BA344" i="3"/>
  <c r="BL344" i="3"/>
  <c r="AZ344" i="3"/>
  <c r="BA346" i="3"/>
  <c r="BA347" i="3"/>
  <c r="AZ347" i="3"/>
  <c r="BL347" i="3"/>
  <c r="G350" i="3"/>
  <c r="BA351" i="3"/>
  <c r="AZ351" i="3"/>
  <c r="BL351" i="3"/>
  <c r="G352" i="3"/>
  <c r="G354" i="3"/>
  <c r="BA355" i="3"/>
  <c r="AZ355" i="3"/>
  <c r="BA356" i="3"/>
  <c r="BL356" i="3"/>
  <c r="G357" i="3"/>
  <c r="G360" i="3"/>
  <c r="BL361" i="3"/>
  <c r="BA363" i="3"/>
  <c r="AZ363" i="3"/>
  <c r="BA364" i="3"/>
  <c r="AZ364" i="3"/>
  <c r="BL364" i="3"/>
  <c r="G365" i="3"/>
  <c r="G368" i="3"/>
  <c r="BL369" i="3"/>
  <c r="BA371" i="3"/>
  <c r="BA372" i="3"/>
  <c r="BL372" i="3"/>
  <c r="G373" i="3"/>
  <c r="G376" i="3"/>
  <c r="BL377" i="3"/>
  <c r="BL379" i="3"/>
  <c r="BA381" i="3"/>
  <c r="AZ381" i="3"/>
  <c r="BA382" i="3"/>
  <c r="BL382" i="3"/>
  <c r="AZ382" i="3"/>
  <c r="G383" i="3"/>
  <c r="G386" i="3"/>
  <c r="BL387" i="3"/>
  <c r="BA389" i="3"/>
  <c r="AZ389" i="3"/>
  <c r="BA390" i="3"/>
  <c r="BL390" i="3"/>
  <c r="G391" i="3"/>
  <c r="G394" i="3"/>
  <c r="AZ138" i="3"/>
  <c r="AZ142" i="3"/>
  <c r="AZ146" i="3"/>
  <c r="AZ500" i="3"/>
  <c r="BA16" i="3"/>
  <c r="AZ16" i="3"/>
  <c r="BL303" i="3"/>
  <c r="AZ303" i="3"/>
  <c r="G304" i="3"/>
  <c r="BA306" i="3"/>
  <c r="AZ306" i="3"/>
  <c r="BL307" i="3"/>
  <c r="AZ307" i="3"/>
  <c r="G308" i="3"/>
  <c r="BA310" i="3"/>
  <c r="AZ310" i="3"/>
  <c r="BL311" i="3"/>
  <c r="AZ311" i="3"/>
  <c r="G312" i="3"/>
  <c r="BA314" i="3"/>
  <c r="AZ314" i="3"/>
  <c r="BL315" i="3"/>
  <c r="G316" i="3"/>
  <c r="BA318" i="3"/>
  <c r="BL319" i="3"/>
  <c r="AZ319" i="3"/>
  <c r="G320" i="3"/>
  <c r="BA322" i="3"/>
  <c r="AZ322" i="3"/>
  <c r="BL323" i="3"/>
  <c r="AZ323" i="3"/>
  <c r="G324" i="3"/>
  <c r="BA326" i="3"/>
  <c r="AZ326" i="3"/>
  <c r="BL327" i="3"/>
  <c r="AZ327" i="3"/>
  <c r="G328" i="3"/>
  <c r="BA330" i="3"/>
  <c r="AZ330" i="3"/>
  <c r="BL331" i="3"/>
  <c r="G332" i="3"/>
  <c r="BA334" i="3"/>
  <c r="AZ334" i="3"/>
  <c r="BL335" i="3"/>
  <c r="G336" i="3"/>
  <c r="BA338" i="3"/>
  <c r="AZ338" i="3"/>
  <c r="BL339" i="3"/>
  <c r="AZ339" i="3"/>
  <c r="G340" i="3"/>
  <c r="BL343" i="3"/>
  <c r="G344" i="3"/>
  <c r="G348" i="3"/>
  <c r="G355" i="3"/>
  <c r="AZ209" i="3"/>
  <c r="AZ335" i="3"/>
  <c r="G342" i="3"/>
  <c r="BL345" i="3"/>
  <c r="G346" i="3"/>
  <c r="AZ348" i="3"/>
  <c r="BL349" i="3"/>
  <c r="AZ349" i="3"/>
  <c r="BL352" i="3"/>
  <c r="G353" i="3"/>
  <c r="BA357" i="3"/>
  <c r="AZ357" i="3"/>
  <c r="BL358" i="3"/>
  <c r="AZ358" i="3"/>
  <c r="G359" i="3"/>
  <c r="BA361" i="3"/>
  <c r="AZ361" i="3"/>
  <c r="BL362" i="3"/>
  <c r="G363" i="3"/>
  <c r="BA365" i="3"/>
  <c r="AZ365" i="3"/>
  <c r="BL366" i="3"/>
  <c r="G367" i="3"/>
  <c r="BA369" i="3"/>
  <c r="AZ369" i="3"/>
  <c r="BL370" i="3"/>
  <c r="G371" i="3"/>
  <c r="BA373" i="3"/>
  <c r="AZ373" i="3"/>
  <c r="BL374" i="3"/>
  <c r="AZ374" i="3"/>
  <c r="G375" i="3"/>
  <c r="BA377" i="3"/>
  <c r="AZ377" i="3"/>
  <c r="AZ229" i="3"/>
  <c r="AZ241" i="3"/>
  <c r="AZ261" i="3"/>
  <c r="AZ370" i="3"/>
  <c r="BA379" i="3"/>
  <c r="AZ379" i="3"/>
  <c r="BL380" i="3"/>
  <c r="G381" i="3"/>
  <c r="BA383" i="3"/>
  <c r="BL384" i="3"/>
  <c r="G385" i="3"/>
  <c r="BA387" i="3"/>
  <c r="AZ387" i="3"/>
  <c r="BL388" i="3"/>
  <c r="G389" i="3"/>
  <c r="BA391" i="3"/>
  <c r="AZ391" i="3"/>
  <c r="BL392" i="3"/>
  <c r="G393" i="3"/>
  <c r="AZ263" i="3"/>
  <c r="BO5" i="3"/>
  <c r="BM5" i="3"/>
  <c r="F29" i="6"/>
  <c r="BJ5" i="3"/>
  <c r="BH5" i="3"/>
  <c r="BF5" i="3"/>
  <c r="AZ317" i="3"/>
  <c r="AZ333" i="3"/>
  <c r="AZ341" i="3"/>
  <c r="BQ5" i="3"/>
  <c r="AC5" i="3"/>
  <c r="AZ549" i="3"/>
  <c r="AZ506" i="3"/>
  <c r="AZ496" i="3"/>
  <c r="G548" i="3"/>
  <c r="G538" i="3"/>
  <c r="G520" i="3"/>
  <c r="G502" i="3"/>
  <c r="BS5" i="3"/>
  <c r="BP5" i="3"/>
  <c r="BN5" i="3"/>
  <c r="AZ343" i="3"/>
  <c r="BK5" i="3"/>
  <c r="BI5" i="3"/>
  <c r="BG5" i="3"/>
  <c r="BE5" i="3"/>
  <c r="G17" i="3"/>
  <c r="BA17" i="3"/>
  <c r="BT5" i="3"/>
  <c r="AZ352" i="3"/>
  <c r="AZ356" i="3"/>
  <c r="AZ360" i="3"/>
  <c r="BA15" i="3"/>
  <c r="BR5" i="3"/>
  <c r="AZ380" i="3"/>
  <c r="AZ499" i="3"/>
  <c r="G509" i="3"/>
  <c r="BL493" i="3"/>
  <c r="AZ376" i="3"/>
  <c r="AZ390" i="3"/>
  <c r="AZ493" i="3"/>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86" i="3"/>
  <c r="C40" i="11"/>
  <c r="AZ240" i="3"/>
  <c r="AZ21" i="3"/>
  <c r="AZ45" i="3"/>
  <c r="AZ66" i="3"/>
  <c r="AZ72" i="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K9" i="1"/>
  <c r="M9" i="1" s="1"/>
  <c r="O9" i="1"/>
  <c r="P9" i="1"/>
  <c r="D59" i="43"/>
  <c r="D63" i="43"/>
  <c r="D66" i="43"/>
  <c r="D62" i="43"/>
  <c r="D65" i="43"/>
  <c r="D61" i="43"/>
  <c r="D64" i="43"/>
  <c r="D60" i="43"/>
  <c r="H87" i="43"/>
  <c r="G28" i="6"/>
  <c r="H82" i="43"/>
  <c r="H75" i="43"/>
  <c r="H49" i="43"/>
  <c r="H50" i="43"/>
  <c r="AZ507" i="3"/>
  <c r="AZ521" i="3"/>
  <c r="AZ553" i="3"/>
  <c r="AZ579" i="3"/>
  <c r="AZ581" i="3"/>
  <c r="AZ518" i="3"/>
  <c r="AZ538" i="3"/>
  <c r="AA13" i="35"/>
  <c r="F12" i="34"/>
  <c r="J12" i="34"/>
  <c r="AA10" i="36"/>
  <c r="S10" i="36"/>
  <c r="J12" i="36"/>
  <c r="H12" i="36"/>
  <c r="J23" i="36"/>
  <c r="AC23" i="36"/>
  <c r="H23" i="36"/>
  <c r="AB23" i="36"/>
  <c r="AB14" i="37"/>
  <c r="U14" i="37"/>
  <c r="AB9" i="39"/>
  <c r="U9" i="39"/>
  <c r="AZ372" i="3"/>
  <c r="AZ337" i="3"/>
  <c r="U12" i="37"/>
  <c r="AZ555" i="3"/>
  <c r="AZ557" i="3"/>
  <c r="AZ532" i="3"/>
  <c r="AZ540" i="3"/>
  <c r="S11" i="36"/>
  <c r="AA14" i="37"/>
  <c r="AA44" i="33"/>
  <c r="AA9" i="34"/>
  <c r="S9" i="34"/>
  <c r="AA34" i="35"/>
  <c r="S34" i="35"/>
  <c r="J9" i="36"/>
  <c r="AC9" i="36"/>
  <c r="H9" i="36"/>
  <c r="AB9" i="40"/>
  <c r="U9" i="40"/>
  <c r="AZ486" i="3"/>
  <c r="H48" i="43"/>
  <c r="AZ345" i="3"/>
  <c r="AZ371" i="3"/>
  <c r="AZ336" i="3"/>
  <c r="AZ329" i="3"/>
  <c r="AZ321" i="3"/>
  <c r="AC12" i="37"/>
  <c r="AZ565" i="3"/>
  <c r="AZ542" i="3"/>
  <c r="AZ552" i="3"/>
  <c r="AB30" i="21"/>
  <c r="U46" i="33"/>
  <c r="G585" i="3"/>
  <c r="AC28" i="35"/>
  <c r="W28" i="35"/>
  <c r="U12" i="35"/>
  <c r="AB12" i="35"/>
  <c r="H36" i="35"/>
  <c r="AB36" i="35"/>
  <c r="J36" i="35"/>
  <c r="H45" i="39"/>
  <c r="F45" i="39"/>
  <c r="S45" i="39"/>
  <c r="J45" i="39"/>
  <c r="AZ320" i="3"/>
  <c r="AZ313" i="3"/>
  <c r="B77" i="43"/>
  <c r="C25" i="39"/>
  <c r="H12" i="34"/>
  <c r="F23" i="36"/>
  <c r="AA23" i="36"/>
  <c r="H33" i="36"/>
  <c r="F33" i="36"/>
  <c r="AA33" i="36"/>
  <c r="AB31" i="36"/>
  <c r="U31" i="36"/>
  <c r="AB38" i="40"/>
  <c r="U38" i="40"/>
  <c r="AC32" i="40"/>
  <c r="W32" i="40"/>
  <c r="J39" i="40"/>
  <c r="H39" i="40"/>
  <c r="U41" i="21"/>
  <c r="AB41" i="21"/>
  <c r="AA40" i="33"/>
  <c r="S40" i="33"/>
  <c r="W38" i="34"/>
  <c r="AC38" i="34"/>
  <c r="AB34" i="37"/>
  <c r="U34" i="37"/>
  <c r="W31" i="35"/>
  <c r="AC31" i="35"/>
  <c r="AZ409" i="3"/>
  <c r="AZ410" i="3"/>
  <c r="AZ411" i="3"/>
  <c r="AZ426" i="3"/>
  <c r="AZ427" i="3"/>
  <c r="AZ443" i="3"/>
  <c r="AZ447" i="3"/>
  <c r="AZ448" i="3"/>
  <c r="AZ450" i="3"/>
  <c r="AZ460" i="3"/>
  <c r="AZ462" i="3"/>
  <c r="AZ478" i="3"/>
  <c r="AZ479" i="3"/>
  <c r="AZ481" i="3"/>
  <c r="AZ230" i="3"/>
  <c r="J12" i="21"/>
  <c r="AC12" i="21"/>
  <c r="H23" i="35"/>
  <c r="H24" i="36"/>
  <c r="AB24" i="36"/>
  <c r="G582" i="3"/>
  <c r="G552" i="3"/>
  <c r="BA551" i="3"/>
  <c r="G551" i="3"/>
  <c r="BL548" i="3"/>
  <c r="AZ548" i="3"/>
  <c r="G526" i="3"/>
  <c r="BL15" i="3"/>
  <c r="AZ15" i="3"/>
  <c r="BA398" i="3"/>
  <c r="AZ398" i="3"/>
  <c r="G401" i="3"/>
  <c r="BL401" i="3"/>
  <c r="BA404" i="3"/>
  <c r="AZ404" i="3"/>
  <c r="BL406" i="3"/>
  <c r="AZ406" i="3"/>
  <c r="BA413" i="3"/>
  <c r="AZ413" i="3"/>
  <c r="BA414" i="3"/>
  <c r="AZ414" i="3"/>
  <c r="G417" i="3"/>
  <c r="BL417" i="3"/>
  <c r="BA420" i="3"/>
  <c r="AZ420" i="3"/>
  <c r="BL422" i="3"/>
  <c r="AZ422" i="3"/>
  <c r="BA429" i="3"/>
  <c r="AZ429" i="3"/>
  <c r="BA430" i="3"/>
  <c r="AZ430" i="3"/>
  <c r="G433" i="3"/>
  <c r="BL433" i="3"/>
  <c r="BA436" i="3"/>
  <c r="AZ436" i="3"/>
  <c r="BL438" i="3"/>
  <c r="AZ438" i="3"/>
  <c r="G445" i="3"/>
  <c r="BL445" i="3"/>
  <c r="AZ445" i="3"/>
  <c r="BL451" i="3"/>
  <c r="AZ451" i="3"/>
  <c r="BA455" i="3"/>
  <c r="AZ455" i="3"/>
  <c r="BA456" i="3"/>
  <c r="AZ456" i="3"/>
  <c r="BL458" i="3"/>
  <c r="AZ458" i="3"/>
  <c r="G464" i="3"/>
  <c r="G465" i="3"/>
  <c r="BL465" i="3"/>
  <c r="BA470" i="3"/>
  <c r="AZ470" i="3"/>
  <c r="BA471" i="3"/>
  <c r="AZ471" i="3"/>
  <c r="BA472" i="3"/>
  <c r="AZ472" i="3"/>
  <c r="G475" i="3"/>
  <c r="G476" i="3"/>
  <c r="BL476" i="3"/>
  <c r="AZ476" i="3"/>
  <c r="G483" i="3"/>
  <c r="BA488" i="3"/>
  <c r="AZ488" i="3"/>
  <c r="BA489" i="3"/>
  <c r="AZ489" i="3"/>
  <c r="BL491" i="3"/>
  <c r="AZ491" i="3"/>
  <c r="G313" i="3"/>
  <c r="BA315" i="3"/>
  <c r="AZ315" i="3"/>
  <c r="G329" i="3"/>
  <c r="BA331" i="3"/>
  <c r="AZ331" i="3"/>
  <c r="BL353" i="3"/>
  <c r="AZ353" i="3"/>
  <c r="AZ395" i="3"/>
  <c r="G228" i="3"/>
  <c r="BA234" i="3"/>
  <c r="BL237" i="3"/>
  <c r="AZ239" i="3"/>
  <c r="BL249" i="3"/>
  <c r="AZ260" i="3"/>
  <c r="G271" i="3"/>
  <c r="BL276" i="3"/>
  <c r="BA284" i="3"/>
  <c r="AZ284" i="3"/>
  <c r="BL586" i="3"/>
  <c r="BL585" i="3"/>
  <c r="AZ585" i="3"/>
  <c r="BA400" i="3"/>
  <c r="AZ400" i="3"/>
  <c r="BL402" i="3"/>
  <c r="AZ402" i="3"/>
  <c r="BL408" i="3"/>
  <c r="BA416" i="3"/>
  <c r="AZ416" i="3"/>
  <c r="BL418" i="3"/>
  <c r="AZ418" i="3"/>
  <c r="BL425" i="3"/>
  <c r="AZ425" i="3"/>
  <c r="BA432" i="3"/>
  <c r="AZ432" i="3"/>
  <c r="BL434" i="3"/>
  <c r="AZ434" i="3"/>
  <c r="BL441" i="3"/>
  <c r="BA444" i="3"/>
  <c r="AZ444" i="3"/>
  <c r="BL446" i="3"/>
  <c r="AZ446" i="3"/>
  <c r="BL453" i="3"/>
  <c r="AZ453" i="3"/>
  <c r="BL459" i="3"/>
  <c r="AZ459" i="3"/>
  <c r="BA463" i="3"/>
  <c r="AZ463" i="3"/>
  <c r="BA464" i="3"/>
  <c r="AZ464" i="3"/>
  <c r="BL468" i="3"/>
  <c r="AZ468" i="3"/>
  <c r="BA474" i="3"/>
  <c r="AZ474" i="3"/>
  <c r="BA475" i="3"/>
  <c r="AZ475" i="3"/>
  <c r="BL477" i="3"/>
  <c r="AZ477" i="3"/>
  <c r="BA482" i="3"/>
  <c r="AZ482" i="3"/>
  <c r="BA483" i="3"/>
  <c r="AZ483" i="3"/>
  <c r="BL486" i="3"/>
  <c r="BA354" i="3"/>
  <c r="AZ354" i="3"/>
  <c r="BA367" i="3"/>
  <c r="BA384" i="3"/>
  <c r="AZ384" i="3"/>
  <c r="BL212" i="3"/>
  <c r="BA215" i="3"/>
  <c r="AZ215" i="3"/>
  <c r="AZ217" i="3"/>
  <c r="BL236" i="3"/>
  <c r="BA243" i="3"/>
  <c r="AZ243" i="3"/>
  <c r="BL248" i="3"/>
  <c r="BL269" i="3"/>
  <c r="F26" i="33"/>
  <c r="W9" i="34"/>
  <c r="G566" i="3"/>
  <c r="BL550" i="3"/>
  <c r="BA550" i="3"/>
  <c r="AZ550" i="3"/>
  <c r="G14" i="3"/>
  <c r="BL403" i="3"/>
  <c r="AZ403" i="3"/>
  <c r="BA407" i="3"/>
  <c r="AZ407" i="3"/>
  <c r="G410" i="3"/>
  <c r="G411" i="3"/>
  <c r="G412" i="3"/>
  <c r="BL412" i="3"/>
  <c r="BL419" i="3"/>
  <c r="AZ419" i="3"/>
  <c r="BA423" i="3"/>
  <c r="AZ423" i="3"/>
  <c r="BA424" i="3"/>
  <c r="AZ424" i="3"/>
  <c r="G427" i="3"/>
  <c r="G428" i="3"/>
  <c r="BL428" i="3"/>
  <c r="BL435" i="3"/>
  <c r="AZ435" i="3"/>
  <c r="BA439" i="3"/>
  <c r="AZ439" i="3"/>
  <c r="BA440" i="3"/>
  <c r="AZ440" i="3"/>
  <c r="BL442" i="3"/>
  <c r="AZ442" i="3"/>
  <c r="G448" i="3"/>
  <c r="G449" i="3"/>
  <c r="BL449" i="3"/>
  <c r="AZ449" i="3"/>
  <c r="BA452" i="3"/>
  <c r="AZ452" i="3"/>
  <c r="BL454" i="3"/>
  <c r="AZ454" i="3"/>
  <c r="G461" i="3"/>
  <c r="BL461" i="3"/>
  <c r="AZ461" i="3"/>
  <c r="BA466" i="3"/>
  <c r="AZ466" i="3"/>
  <c r="BA467" i="3"/>
  <c r="AZ467" i="3"/>
  <c r="BL469" i="3"/>
  <c r="AZ469" i="3"/>
  <c r="G479" i="3"/>
  <c r="G480" i="3"/>
  <c r="BL480" i="3"/>
  <c r="AZ480" i="3"/>
  <c r="BA484" i="3"/>
  <c r="AZ484" i="3"/>
  <c r="BA485" i="3"/>
  <c r="AZ485" i="3"/>
  <c r="BL487" i="3"/>
  <c r="AZ487" i="3"/>
  <c r="BA492" i="3"/>
  <c r="AZ492" i="3"/>
  <c r="BL316" i="3"/>
  <c r="AZ316" i="3"/>
  <c r="G318" i="3"/>
  <c r="BL332" i="3"/>
  <c r="AZ332" i="3"/>
  <c r="G334" i="3"/>
  <c r="BL346" i="3"/>
  <c r="AZ346" i="3"/>
  <c r="G349" i="3"/>
  <c r="BA350" i="3"/>
  <c r="AZ350" i="3"/>
  <c r="BA366" i="3"/>
  <c r="AZ366" i="3"/>
  <c r="BL368" i="3"/>
  <c r="G219" i="3"/>
  <c r="BA258" i="3"/>
  <c r="AZ262" i="3"/>
  <c r="BA266" i="3"/>
  <c r="AZ294" i="3"/>
  <c r="AZ38" i="3"/>
  <c r="G366" i="3"/>
  <c r="BA368" i="3"/>
  <c r="BA385" i="3"/>
  <c r="AZ385" i="3"/>
  <c r="BA388" i="3"/>
  <c r="AZ388" i="3"/>
  <c r="BA392" i="3"/>
  <c r="AZ392" i="3"/>
  <c r="G395" i="3"/>
  <c r="BL395" i="3"/>
  <c r="G211" i="3"/>
  <c r="BL211" i="3"/>
  <c r="AZ211" i="3"/>
  <c r="G217" i="3"/>
  <c r="BL217" i="3"/>
  <c r="BA221" i="3"/>
  <c r="AZ221" i="3"/>
  <c r="BA222" i="3"/>
  <c r="AZ222" i="3"/>
  <c r="BA223" i="3"/>
  <c r="AZ223" i="3"/>
  <c r="G226" i="3"/>
  <c r="BL226" i="3"/>
  <c r="AZ226" i="3"/>
  <c r="BA231" i="3"/>
  <c r="AZ231" i="3"/>
  <c r="BA232" i="3"/>
  <c r="AZ232" i="3"/>
  <c r="BA233" i="3"/>
  <c r="AZ233" i="3"/>
  <c r="BL235" i="3"/>
  <c r="AZ235" i="3"/>
  <c r="G245" i="3"/>
  <c r="G246" i="3"/>
  <c r="BL246" i="3"/>
  <c r="AZ246" i="3"/>
  <c r="BA252" i="3"/>
  <c r="AZ252" i="3"/>
  <c r="BA253" i="3"/>
  <c r="AZ253" i="3"/>
  <c r="G256" i="3"/>
  <c r="G257" i="3"/>
  <c r="G258" i="3"/>
  <c r="BL258" i="3"/>
  <c r="G265" i="3"/>
  <c r="G266" i="3"/>
  <c r="BL266" i="3"/>
  <c r="BA272" i="3"/>
  <c r="AZ272" i="3"/>
  <c r="BA273" i="3"/>
  <c r="AZ273" i="3"/>
  <c r="BL275" i="3"/>
  <c r="AZ275" i="3"/>
  <c r="BL278" i="3"/>
  <c r="BA280" i="3"/>
  <c r="AZ280" i="3"/>
  <c r="BA282" i="3"/>
  <c r="AZ282" i="3"/>
  <c r="BA283" i="3"/>
  <c r="AZ283" i="3"/>
  <c r="G288" i="3"/>
  <c r="BL288" i="3"/>
  <c r="AZ288" i="3"/>
  <c r="BL295" i="3"/>
  <c r="G296" i="3"/>
  <c r="BA299" i="3"/>
  <c r="AZ299" i="3"/>
  <c r="BA116" i="3"/>
  <c r="AZ116" i="3"/>
  <c r="AZ201" i="3"/>
  <c r="AZ207" i="3"/>
  <c r="BL393" i="3"/>
  <c r="AZ393" i="3"/>
  <c r="BL396" i="3"/>
  <c r="AZ396" i="3"/>
  <c r="BA210" i="3"/>
  <c r="AZ210" i="3"/>
  <c r="BL213" i="3"/>
  <c r="AZ213" i="3"/>
  <c r="BA216" i="3"/>
  <c r="AZ216" i="3"/>
  <c r="BL218" i="3"/>
  <c r="AZ218" i="3"/>
  <c r="BA225" i="3"/>
  <c r="AZ225" i="3"/>
  <c r="BL227" i="3"/>
  <c r="AZ227" i="3"/>
  <c r="BL238" i="3"/>
  <c r="BA244" i="3"/>
  <c r="AZ244" i="3"/>
  <c r="BA245" i="3"/>
  <c r="AZ245" i="3"/>
  <c r="BL250" i="3"/>
  <c r="AZ250" i="3"/>
  <c r="BA255" i="3"/>
  <c r="AZ255" i="3"/>
  <c r="BA256" i="3"/>
  <c r="AZ256" i="3"/>
  <c r="BA257" i="3"/>
  <c r="AZ257" i="3"/>
  <c r="BL259" i="3"/>
  <c r="AZ259" i="3"/>
  <c r="BA264" i="3"/>
  <c r="AZ264" i="3"/>
  <c r="BA265" i="3"/>
  <c r="AZ265" i="3"/>
  <c r="G268" i="3"/>
  <c r="G269" i="3"/>
  <c r="G270" i="3"/>
  <c r="BL270" i="3"/>
  <c r="AZ270" i="3"/>
  <c r="G277" i="3"/>
  <c r="BL277" i="3"/>
  <c r="AZ277" i="3"/>
  <c r="G278" i="3"/>
  <c r="BA279" i="3"/>
  <c r="AZ279" i="3"/>
  <c r="BA286" i="3"/>
  <c r="G290" i="3"/>
  <c r="BL290" i="3"/>
  <c r="BL291" i="3"/>
  <c r="AZ291" i="3"/>
  <c r="BL294" i="3"/>
  <c r="BA296" i="3"/>
  <c r="AZ296" i="3"/>
  <c r="BA298" i="3"/>
  <c r="AZ298" i="3"/>
  <c r="BL123" i="3"/>
  <c r="AZ123" i="3"/>
  <c r="AZ177" i="3"/>
  <c r="G362" i="3"/>
  <c r="G378" i="3"/>
  <c r="BL383" i="3"/>
  <c r="AZ383" i="3"/>
  <c r="G208" i="3"/>
  <c r="BL208" i="3"/>
  <c r="AZ208" i="3"/>
  <c r="BA212" i="3"/>
  <c r="AZ212" i="3"/>
  <c r="BL214" i="3"/>
  <c r="AZ214" i="3"/>
  <c r="G220" i="3"/>
  <c r="BL220" i="3"/>
  <c r="AZ220" i="3"/>
  <c r="G229" i="3"/>
  <c r="G230" i="3"/>
  <c r="BL230" i="3"/>
  <c r="BA236" i="3"/>
  <c r="AZ236" i="3"/>
  <c r="BA237" i="3"/>
  <c r="AZ237" i="3"/>
  <c r="G240" i="3"/>
  <c r="G241" i="3"/>
  <c r="G242" i="3"/>
  <c r="BL242" i="3"/>
  <c r="AZ242" i="3"/>
  <c r="BA247" i="3"/>
  <c r="AZ247" i="3"/>
  <c r="BA248" i="3"/>
  <c r="BA249" i="3"/>
  <c r="AZ249" i="3"/>
  <c r="BL251" i="3"/>
  <c r="AZ251" i="3"/>
  <c r="G261" i="3"/>
  <c r="G262" i="3"/>
  <c r="BL262" i="3"/>
  <c r="BA267" i="3"/>
  <c r="AZ267" i="3"/>
  <c r="BA268" i="3"/>
  <c r="AZ268" i="3"/>
  <c r="BA269" i="3"/>
  <c r="AZ269" i="3"/>
  <c r="BL271" i="3"/>
  <c r="AZ271" i="3"/>
  <c r="BA276" i="3"/>
  <c r="AZ276" i="3"/>
  <c r="BA278" i="3"/>
  <c r="BL280" i="3"/>
  <c r="G281" i="3"/>
  <c r="BL281" i="3"/>
  <c r="AZ289" i="3"/>
  <c r="AZ290" i="3"/>
  <c r="G294" i="3"/>
  <c r="BA295" i="3"/>
  <c r="AZ295" i="3"/>
  <c r="BL299" i="3"/>
  <c r="G300" i="3"/>
  <c r="BL300" i="3"/>
  <c r="AZ300" i="3"/>
  <c r="BL115" i="3"/>
  <c r="AZ115" i="3"/>
  <c r="AZ46" i="3"/>
  <c r="BA118" i="3"/>
  <c r="AZ118" i="3"/>
  <c r="BA121" i="3"/>
  <c r="AZ121" i="3"/>
  <c r="G124" i="3"/>
  <c r="G127" i="3"/>
  <c r="G130" i="3"/>
  <c r="G131" i="3"/>
  <c r="BL133" i="3"/>
  <c r="AZ133" i="3"/>
  <c r="BL135" i="3"/>
  <c r="AZ135" i="3"/>
  <c r="BL139" i="3"/>
  <c r="AZ139" i="3"/>
  <c r="BL143" i="3"/>
  <c r="AZ143" i="3"/>
  <c r="BL149" i="3"/>
  <c r="BL162" i="3"/>
  <c r="AZ162" i="3"/>
  <c r="BL165" i="3"/>
  <c r="BL178" i="3"/>
  <c r="AZ178" i="3"/>
  <c r="BL181" i="3"/>
  <c r="BL194" i="3"/>
  <c r="AZ194" i="3"/>
  <c r="BL197" i="3"/>
  <c r="BA205" i="3"/>
  <c r="AZ205" i="3"/>
  <c r="BA206" i="3"/>
  <c r="AZ206" i="3"/>
  <c r="BL19" i="3"/>
  <c r="AZ19" i="3"/>
  <c r="BA22" i="3"/>
  <c r="AZ22" i="3"/>
  <c r="BL24" i="3"/>
  <c r="AZ24" i="3"/>
  <c r="BL32" i="3"/>
  <c r="AZ32" i="3"/>
  <c r="BL37" i="3"/>
  <c r="AZ37" i="3"/>
  <c r="BL38" i="3"/>
  <c r="AZ44" i="3"/>
  <c r="BA47" i="3"/>
  <c r="AZ47" i="3"/>
  <c r="BA48" i="3"/>
  <c r="AZ48" i="3"/>
  <c r="BA50" i="3"/>
  <c r="AZ50" i="3"/>
  <c r="BL54" i="3"/>
  <c r="BL56" i="3"/>
  <c r="BL82" i="3"/>
  <c r="G89" i="3"/>
  <c r="BA91" i="3"/>
  <c r="AZ91" i="3"/>
  <c r="BA95" i="3"/>
  <c r="BL97" i="3"/>
  <c r="AZ99" i="3"/>
  <c r="BL103" i="3"/>
  <c r="BA107" i="3"/>
  <c r="BL109" i="3"/>
  <c r="AZ109" i="3"/>
  <c r="AZ126" i="3"/>
  <c r="BA129" i="3"/>
  <c r="AZ129" i="3"/>
  <c r="BA130" i="3"/>
  <c r="AZ130" i="3"/>
  <c r="G135" i="3"/>
  <c r="G138" i="3"/>
  <c r="G139" i="3"/>
  <c r="G142" i="3"/>
  <c r="G143" i="3"/>
  <c r="G146" i="3"/>
  <c r="G147" i="3"/>
  <c r="G148" i="3"/>
  <c r="BL150" i="3"/>
  <c r="AZ150" i="3"/>
  <c r="BL153" i="3"/>
  <c r="AZ153" i="3"/>
  <c r="BA160" i="3"/>
  <c r="AZ160" i="3"/>
  <c r="G164" i="3"/>
  <c r="BL166" i="3"/>
  <c r="AZ166" i="3"/>
  <c r="BL169" i="3"/>
  <c r="AZ169" i="3"/>
  <c r="BA176" i="3"/>
  <c r="AZ176" i="3"/>
  <c r="G180" i="3"/>
  <c r="BL182" i="3"/>
  <c r="AZ182" i="3"/>
  <c r="BL185" i="3"/>
  <c r="AZ185" i="3"/>
  <c r="BA192" i="3"/>
  <c r="AZ192" i="3"/>
  <c r="G196" i="3"/>
  <c r="BL198" i="3"/>
  <c r="AZ198" i="3"/>
  <c r="BL201" i="3"/>
  <c r="BA18" i="3"/>
  <c r="AZ18" i="3"/>
  <c r="BL20" i="3"/>
  <c r="AZ20" i="3"/>
  <c r="G26" i="3"/>
  <c r="BL26" i="3"/>
  <c r="BL33" i="3"/>
  <c r="AZ33" i="3"/>
  <c r="G37" i="3"/>
  <c r="BL39" i="3"/>
  <c r="AZ39" i="3"/>
  <c r="BL41" i="3"/>
  <c r="AZ104" i="3"/>
  <c r="BL117" i="3"/>
  <c r="AZ117" i="3"/>
  <c r="BL119" i="3"/>
  <c r="AZ119" i="3"/>
  <c r="AZ134" i="3"/>
  <c r="AZ137" i="3"/>
  <c r="AZ141" i="3"/>
  <c r="AZ145" i="3"/>
  <c r="BL154" i="3"/>
  <c r="AZ154" i="3"/>
  <c r="BL157" i="3"/>
  <c r="BL170" i="3"/>
  <c r="AZ170" i="3"/>
  <c r="BL173" i="3"/>
  <c r="BL186" i="3"/>
  <c r="AZ186" i="3"/>
  <c r="BL189" i="3"/>
  <c r="BL202" i="3"/>
  <c r="AZ202" i="3"/>
  <c r="AZ25" i="3"/>
  <c r="BL30" i="3"/>
  <c r="AZ30" i="3"/>
  <c r="BL43" i="3"/>
  <c r="AZ43" i="3"/>
  <c r="AZ54" i="3"/>
  <c r="BA285" i="3"/>
  <c r="AZ285" i="3"/>
  <c r="BL287" i="3"/>
  <c r="AZ287" i="3"/>
  <c r="G293" i="3"/>
  <c r="BL293" i="3"/>
  <c r="AZ293" i="3"/>
  <c r="BA301" i="3"/>
  <c r="AZ301" i="3"/>
  <c r="BA302" i="3"/>
  <c r="AZ302" i="3"/>
  <c r="BA113" i="3"/>
  <c r="AZ113" i="3"/>
  <c r="BA114" i="3"/>
  <c r="AZ114" i="3"/>
  <c r="G119" i="3"/>
  <c r="G122" i="3"/>
  <c r="BL122" i="3"/>
  <c r="AZ122" i="3"/>
  <c r="BL125" i="3"/>
  <c r="AZ125" i="3"/>
  <c r="BL127" i="3"/>
  <c r="AZ127" i="3"/>
  <c r="BL131" i="3"/>
  <c r="AZ131" i="3"/>
  <c r="BA152" i="3"/>
  <c r="AZ152" i="3"/>
  <c r="G156" i="3"/>
  <c r="BL158" i="3"/>
  <c r="AZ158" i="3"/>
  <c r="BL161" i="3"/>
  <c r="AZ161" i="3"/>
  <c r="BA168" i="3"/>
  <c r="AZ168" i="3"/>
  <c r="G172" i="3"/>
  <c r="BL174" i="3"/>
  <c r="AZ174" i="3"/>
  <c r="BL177" i="3"/>
  <c r="BA184" i="3"/>
  <c r="AZ184" i="3"/>
  <c r="G188" i="3"/>
  <c r="BL190" i="3"/>
  <c r="AZ190" i="3"/>
  <c r="BL193" i="3"/>
  <c r="AZ193" i="3"/>
  <c r="BA200" i="3"/>
  <c r="AZ200" i="3"/>
  <c r="G204" i="3"/>
  <c r="G206" i="3"/>
  <c r="G207" i="3"/>
  <c r="BL207" i="3"/>
  <c r="G23" i="3"/>
  <c r="BL23" i="3"/>
  <c r="AZ23" i="3"/>
  <c r="BA27" i="3"/>
  <c r="AZ27" i="3"/>
  <c r="BA28" i="3"/>
  <c r="AZ28" i="3"/>
  <c r="BA29" i="3"/>
  <c r="AZ29" i="3"/>
  <c r="BL31" i="3"/>
  <c r="AZ31" i="3"/>
  <c r="G35" i="3"/>
  <c r="BL35" i="3"/>
  <c r="BA41" i="3"/>
  <c r="AZ41" i="3"/>
  <c r="BL57" i="3"/>
  <c r="AZ57" i="3"/>
  <c r="AZ64" i="3"/>
  <c r="BL68" i="3"/>
  <c r="AZ70" i="3"/>
  <c r="BA80" i="3"/>
  <c r="BL83" i="3"/>
  <c r="BA86" i="3"/>
  <c r="AZ86" i="3"/>
  <c r="G99" i="3"/>
  <c r="BA101" i="3"/>
  <c r="AZ101" i="3"/>
  <c r="BA102" i="3"/>
  <c r="G105" i="3"/>
  <c r="AZ108" i="3"/>
  <c r="BL110" i="3"/>
  <c r="AZ110" i="3"/>
  <c r="BA60" i="3"/>
  <c r="AZ60" i="3"/>
  <c r="BA61" i="3"/>
  <c r="AZ61" i="3"/>
  <c r="BL63" i="3"/>
  <c r="AZ63" i="3"/>
  <c r="BL70" i="3"/>
  <c r="BA73" i="3"/>
  <c r="AZ73" i="3"/>
  <c r="BA74" i="3"/>
  <c r="AZ74" i="3"/>
  <c r="BA75" i="3"/>
  <c r="AZ75" i="3"/>
  <c r="BL77" i="3"/>
  <c r="AZ77" i="3"/>
  <c r="BL84" i="3"/>
  <c r="G88" i="3"/>
  <c r="BL88" i="3"/>
  <c r="BA92" i="3"/>
  <c r="AZ92" i="3"/>
  <c r="BA93" i="3"/>
  <c r="AZ93" i="3"/>
  <c r="BA94" i="3"/>
  <c r="AZ94" i="3"/>
  <c r="G97" i="3"/>
  <c r="G98" i="3"/>
  <c r="BL98" i="3"/>
  <c r="AZ98" i="3"/>
  <c r="G104" i="3"/>
  <c r="BL104" i="3"/>
  <c r="BA106" i="3"/>
  <c r="AZ106" i="3"/>
  <c r="BA112" i="3"/>
  <c r="AZ112" i="3"/>
  <c r="G45" i="3"/>
  <c r="G46" i="3"/>
  <c r="BL46" i="3"/>
  <c r="BL51" i="3"/>
  <c r="AZ51" i="3"/>
  <c r="BA56" i="3"/>
  <c r="AZ56" i="3"/>
  <c r="BL58" i="3"/>
  <c r="AZ58" i="3"/>
  <c r="G65" i="3"/>
  <c r="BL65" i="3"/>
  <c r="AZ65" i="3"/>
  <c r="BA68" i="3"/>
  <c r="AZ68" i="3"/>
  <c r="BA69" i="3"/>
  <c r="AZ69" i="3"/>
  <c r="BL71" i="3"/>
  <c r="AZ71" i="3"/>
  <c r="BA81" i="3"/>
  <c r="AZ81" i="3"/>
  <c r="BA82" i="3"/>
  <c r="AZ82" i="3"/>
  <c r="BA83" i="3"/>
  <c r="AZ83" i="3"/>
  <c r="BL85" i="3"/>
  <c r="AZ85" i="3"/>
  <c r="BA87" i="3"/>
  <c r="AZ87" i="3"/>
  <c r="BL89" i="3"/>
  <c r="AZ89" i="3"/>
  <c r="BA96" i="3"/>
  <c r="AZ96" i="3"/>
  <c r="BA97" i="3"/>
  <c r="G100" i="3"/>
  <c r="BL100" i="3"/>
  <c r="AZ100" i="3"/>
  <c r="BA103" i="3"/>
  <c r="AZ103" i="3"/>
  <c r="BL105" i="3"/>
  <c r="AZ105" i="3"/>
  <c r="G109" i="3"/>
  <c r="G110" i="3"/>
  <c r="G111" i="3"/>
  <c r="BL111" i="3"/>
  <c r="M100" i="43"/>
  <c r="E100" i="43"/>
  <c r="I20" i="66"/>
  <c r="BA40" i="3"/>
  <c r="AZ40" i="3"/>
  <c r="BL42" i="3"/>
  <c r="AZ42" i="3"/>
  <c r="G49" i="3"/>
  <c r="BL49" i="3"/>
  <c r="AZ49" i="3"/>
  <c r="BA52" i="3"/>
  <c r="AZ52" i="3"/>
  <c r="BA53" i="3"/>
  <c r="AZ53" i="3"/>
  <c r="BL55" i="3"/>
  <c r="AZ55" i="3"/>
  <c r="G61" i="3"/>
  <c r="G62" i="3"/>
  <c r="BL62" i="3"/>
  <c r="AZ62" i="3"/>
  <c r="BL67" i="3"/>
  <c r="AZ67" i="3"/>
  <c r="G74" i="3"/>
  <c r="G75" i="3"/>
  <c r="G76" i="3"/>
  <c r="BL76" i="3"/>
  <c r="AZ76" i="3"/>
  <c r="BA78" i="3"/>
  <c r="AZ78" i="3"/>
  <c r="BA79" i="3"/>
  <c r="AZ79" i="3"/>
  <c r="BA90" i="3"/>
  <c r="AZ90" i="3"/>
  <c r="G93" i="3"/>
  <c r="G94" i="3"/>
  <c r="G95" i="3"/>
  <c r="BL95" i="3"/>
  <c r="BL102" i="3"/>
  <c r="G107" i="3"/>
  <c r="BL107" i="3"/>
  <c r="L100" i="43"/>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408" i="3"/>
  <c r="AZ437" i="3"/>
  <c r="AZ441" i="3"/>
  <c r="AZ457" i="3"/>
  <c r="AZ473" i="3"/>
  <c r="AZ490" i="3"/>
  <c r="AA39" i="34"/>
  <c r="F28" i="6"/>
  <c r="BL14" i="3"/>
  <c r="AZ266" i="3"/>
  <c r="U30" i="33"/>
  <c r="AC13" i="34"/>
  <c r="AA47" i="34"/>
  <c r="W28" i="37"/>
  <c r="S19" i="39"/>
  <c r="F12" i="33"/>
  <c r="H12" i="39"/>
  <c r="AB12" i="39"/>
  <c r="F39" i="40"/>
  <c r="BA14" i="3"/>
  <c r="AZ14" i="3"/>
  <c r="AZ367" i="3"/>
  <c r="AZ224" i="3"/>
  <c r="AZ234" i="3"/>
  <c r="AZ238" i="3"/>
  <c r="AZ254" i="3"/>
  <c r="AZ281" i="3"/>
  <c r="AZ286" i="3"/>
  <c r="AZ297" i="3"/>
  <c r="AZ149" i="3"/>
  <c r="AZ157" i="3"/>
  <c r="AZ165" i="3"/>
  <c r="AZ173" i="3"/>
  <c r="AZ181" i="3"/>
  <c r="AZ189" i="3"/>
  <c r="AZ197" i="3"/>
  <c r="AZ26" i="3"/>
  <c r="AZ35" i="3"/>
  <c r="S12" i="1"/>
  <c r="R12" i="1"/>
  <c r="B12" i="1"/>
  <c r="E12" i="1"/>
  <c r="S10" i="1"/>
  <c r="AQ10" i="1" s="1"/>
  <c r="R10" i="1"/>
  <c r="B10" i="1"/>
  <c r="E10" i="1"/>
  <c r="D1" i="66"/>
  <c r="E10" i="66"/>
  <c r="AZ80" i="3"/>
  <c r="AZ84" i="3"/>
  <c r="AZ88" i="3"/>
  <c r="AZ107" i="3"/>
  <c r="AZ111" i="3"/>
  <c r="K12" i="1"/>
  <c r="M12" i="1" s="1"/>
  <c r="O12" i="1"/>
  <c r="P12" i="1"/>
  <c r="S13" i="1"/>
  <c r="R13" i="1"/>
  <c r="S11" i="1"/>
  <c r="AQ11" i="1" s="1"/>
  <c r="R11"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AB27" i="39"/>
  <c r="U31"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9" i="43"/>
  <c r="D120" i="9"/>
  <c r="C18" i="9"/>
  <c r="D18" i="9"/>
  <c r="F34" i="67"/>
  <c r="F62" i="67"/>
  <c r="M20" i="67"/>
  <c r="F34" i="15"/>
  <c r="F62" i="15"/>
  <c r="BL17" i="3"/>
  <c r="AZ17" i="3"/>
  <c r="BL13" i="3"/>
  <c r="G30" i="6"/>
  <c r="J56" i="9"/>
  <c r="J57" i="9"/>
  <c r="A24" i="51"/>
  <c r="B18" i="72"/>
  <c r="U29" i="34"/>
  <c r="E5" i="6"/>
  <c r="D19" i="12" s="1"/>
  <c r="C19" i="12" s="1"/>
  <c r="P10" i="1"/>
  <c r="E32" i="6"/>
  <c r="L19" i="6"/>
  <c r="G1" i="68"/>
  <c r="K1" i="12"/>
  <c r="F30" i="6"/>
  <c r="E28" i="6"/>
  <c r="AQ12" i="1"/>
  <c r="E19" i="69"/>
  <c r="E19" i="68"/>
  <c r="E19" i="11"/>
  <c r="E1" i="73"/>
  <c r="G41" i="69"/>
  <c r="G22" i="69"/>
  <c r="G41" i="68"/>
  <c r="G22" i="68"/>
  <c r="G27" i="12"/>
  <c r="G26" i="12"/>
  <c r="G41" i="11"/>
  <c r="G22" i="11"/>
  <c r="G25" i="12"/>
  <c r="C100" i="43"/>
  <c r="E11" i="43"/>
  <c r="E10" i="43"/>
  <c r="E9" i="43"/>
  <c r="E8"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M20" i="43"/>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L20" i="6"/>
  <c r="B6" i="1"/>
  <c r="E6" i="1"/>
  <c r="K11" i="1"/>
  <c r="M11" i="1" s="1"/>
  <c r="O11" i="1"/>
  <c r="P11" i="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U13" i="39"/>
  <c r="AB13" i="39"/>
  <c r="AA13" i="39"/>
  <c r="S13" i="39"/>
  <c r="S14" i="39"/>
  <c r="AA14" i="39"/>
  <c r="U43" i="39"/>
  <c r="AB43"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E59" i="43"/>
  <c r="B57" i="43"/>
  <c r="C24" i="43"/>
  <c r="AZ97" i="3"/>
  <c r="AZ248" i="3"/>
  <c r="U39" i="40"/>
  <c r="AB39" i="40"/>
  <c r="U45" i="39"/>
  <c r="AB45" i="39"/>
  <c r="C7" i="43"/>
  <c r="AZ278" i="3"/>
  <c r="AZ368" i="3"/>
  <c r="U23" i="35"/>
  <c r="AB23" i="35"/>
  <c r="AC36" i="35"/>
  <c r="W36" i="35"/>
  <c r="AA26" i="33"/>
  <c r="S26" i="33"/>
  <c r="W45" i="39"/>
  <c r="AC45" i="39"/>
  <c r="AB9" i="36"/>
  <c r="U9" i="36"/>
  <c r="U12" i="36"/>
  <c r="AB12" i="36"/>
  <c r="W12" i="34"/>
  <c r="AC12" i="34"/>
  <c r="AZ102" i="3"/>
  <c r="AZ95" i="3"/>
  <c r="AZ258" i="3"/>
  <c r="W12" i="36"/>
  <c r="AC12" i="36"/>
  <c r="S12" i="34"/>
  <c r="AA12" i="34"/>
  <c r="J53" i="67"/>
  <c r="O6" i="1"/>
  <c r="P6" i="1"/>
  <c r="F30" i="68"/>
  <c r="C30" i="68"/>
  <c r="F30" i="11"/>
  <c r="C48" i="11"/>
  <c r="F28" i="67"/>
  <c r="C28" i="67"/>
  <c r="F31" i="12"/>
  <c r="C31" i="12"/>
  <c r="F52" i="9"/>
  <c r="M18" i="67"/>
  <c r="F32" i="67"/>
  <c r="F60" i="67"/>
  <c r="F30" i="69"/>
  <c r="C48" i="69"/>
  <c r="F32" i="15"/>
  <c r="F60" i="15"/>
  <c r="M18" i="15"/>
  <c r="F28" i="15"/>
  <c r="C28" i="15"/>
  <c r="D68" i="39"/>
  <c r="D70" i="39"/>
  <c r="E30" i="6"/>
  <c r="K15" i="1"/>
  <c r="C77" i="9"/>
  <c r="C74" i="9"/>
  <c r="C24" i="12"/>
  <c r="AA39" i="40"/>
  <c r="S39" i="40"/>
  <c r="S12" i="33"/>
  <c r="AA12" i="33"/>
  <c r="C16" i="43"/>
  <c r="C5" i="43" s="1"/>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O14" i="1"/>
  <c r="P14" i="1"/>
  <c r="BL5" i="3"/>
  <c r="C19" i="43"/>
  <c r="J59" i="9"/>
  <c r="J61" i="9"/>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AP7" i="1"/>
  <c r="O7" i="1"/>
  <c r="AB45" i="21"/>
  <c r="AC33" i="21"/>
  <c r="W33" i="21"/>
  <c r="S33" i="21"/>
  <c r="AA33" i="21"/>
  <c r="W32" i="21"/>
  <c r="AC32" i="21"/>
  <c r="AB9" i="21"/>
  <c r="U9" i="21"/>
  <c r="AA32" i="21"/>
  <c r="S32" i="21"/>
  <c r="W9" i="21"/>
  <c r="AC9" i="21"/>
  <c r="AB32" i="21"/>
  <c r="U32" i="21"/>
  <c r="AA10" i="21"/>
  <c r="S10" i="21"/>
  <c r="C30" i="69"/>
  <c r="C48" i="68"/>
  <c r="C30" i="11"/>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P7" i="1"/>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F1" i="67"/>
  <c r="Q52" i="67"/>
  <c r="AA7" i="36"/>
  <c r="R36" i="36"/>
  <c r="E36" i="36"/>
  <c r="E40" i="36"/>
  <c r="F40" i="36"/>
  <c r="AC11" i="37"/>
  <c r="W11" i="37"/>
  <c r="AB7" i="37"/>
  <c r="T42" i="37"/>
  <c r="G42" i="37"/>
  <c r="G46" i="37"/>
  <c r="H46" i="37"/>
  <c r="W11" i="34"/>
  <c r="AC11" i="34"/>
  <c r="AB7" i="36"/>
  <c r="T36" i="36"/>
  <c r="C13" i="12"/>
  <c r="F34" i="11"/>
  <c r="C36" i="11" s="1"/>
  <c r="F11" i="12"/>
  <c r="C23" i="12" s="1"/>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s="1"/>
  <c r="F63" i="40"/>
  <c r="E65" i="40"/>
  <c r="E70" i="39"/>
  <c r="F70" i="39"/>
  <c r="AA7" i="34"/>
  <c r="R49" i="34"/>
  <c r="E49" i="34" s="1"/>
  <c r="G36" i="36"/>
  <c r="R37" i="36"/>
  <c r="AB7" i="34"/>
  <c r="T49" i="34"/>
  <c r="G49" i="34" s="1"/>
  <c r="G53" i="34" s="1"/>
  <c r="H53" i="34" s="1"/>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G70" i="39"/>
  <c r="R49" i="21"/>
  <c r="C48" i="21"/>
  <c r="I53" i="21"/>
  <c r="J53" i="21"/>
  <c r="C37" i="36"/>
  <c r="C36" i="36"/>
  <c r="G40" i="36"/>
  <c r="H40" i="36"/>
  <c r="E41" i="36"/>
  <c r="F41" i="36"/>
  <c r="G41" i="36"/>
  <c r="H41" i="36"/>
  <c r="C19" i="68"/>
  <c r="E47" i="37"/>
  <c r="F47" i="37"/>
  <c r="E46" i="37"/>
  <c r="F46" i="37"/>
  <c r="C43" i="37"/>
  <c r="C42" i="37"/>
  <c r="C39" i="35"/>
  <c r="C38" i="35"/>
  <c r="E43" i="35"/>
  <c r="F43" i="35"/>
  <c r="E42" i="35"/>
  <c r="F42" i="35"/>
  <c r="G52" i="21"/>
  <c r="H52" i="21"/>
  <c r="G53" i="21"/>
  <c r="H53" i="21"/>
  <c r="E53" i="21"/>
  <c r="F53" i="21"/>
  <c r="H63" i="40"/>
  <c r="G65" i="40"/>
  <c r="H70" i="39"/>
  <c r="C49" i="21"/>
  <c r="I63" i="40"/>
  <c r="H65" i="40"/>
  <c r="I70" i="39"/>
  <c r="J63" i="40"/>
  <c r="I65" i="40"/>
  <c r="J70" i="39"/>
  <c r="K63" i="40"/>
  <c r="J65" i="40"/>
  <c r="K70" i="39"/>
  <c r="L63" i="40"/>
  <c r="K65" i="40"/>
  <c r="L70" i="39"/>
  <c r="M63" i="40"/>
  <c r="L65" i="40"/>
  <c r="M70" i="39"/>
  <c r="N63" i="40"/>
  <c r="M65" i="40"/>
  <c r="O70" i="39"/>
  <c r="N70" i="39"/>
  <c r="C8" i="69"/>
  <c r="O63" i="40"/>
  <c r="O65" i="40"/>
  <c r="N65" i="40"/>
  <c r="C19" i="69"/>
  <c r="F7" i="40"/>
  <c r="H7" i="40"/>
  <c r="J7" i="40"/>
  <c r="W7" i="40"/>
  <c r="AC7" i="40"/>
  <c r="V42" i="40"/>
  <c r="I42" i="40" s="1"/>
  <c r="I46" i="40" s="1"/>
  <c r="J46" i="40" s="1"/>
  <c r="AB7" i="40"/>
  <c r="T42" i="40"/>
  <c r="G42" i="40" s="1"/>
  <c r="U7" i="40"/>
  <c r="AA7" i="40"/>
  <c r="R42" i="40"/>
  <c r="R43" i="40" s="1"/>
  <c r="S7" i="40"/>
  <c r="E42" i="40"/>
  <c r="E46" i="40" s="1"/>
  <c r="F46" i="40" s="1"/>
  <c r="AG6" i="1"/>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W7" i="39"/>
  <c r="U7" i="39"/>
  <c r="AA7" i="39"/>
  <c r="H112" i="9"/>
  <c r="D21" i="53"/>
  <c r="B39" i="72"/>
  <c r="H111" i="9"/>
  <c r="D126" i="9"/>
  <c r="D59" i="9"/>
  <c r="M55" i="9"/>
  <c r="D19" i="53"/>
  <c r="B38" i="72"/>
  <c r="I14" i="74"/>
  <c r="B8" i="74"/>
  <c r="D127" i="9"/>
  <c r="D13" i="52"/>
  <c r="D12" i="52"/>
  <c r="D20" i="53"/>
  <c r="B40" i="72"/>
  <c r="H107" i="9"/>
  <c r="D122" i="9"/>
  <c r="D13" i="53"/>
  <c r="D14" i="53"/>
  <c r="B32" i="72"/>
  <c r="B30" i="72"/>
  <c r="G14" i="74"/>
  <c r="B6" i="74"/>
  <c r="D123" i="9"/>
  <c r="D9" i="52"/>
  <c r="D8" i="52"/>
  <c r="AD3" i="71"/>
  <c r="P21" i="43"/>
  <c r="P22" i="43"/>
  <c r="P23" i="43"/>
  <c r="B71" i="39"/>
  <c r="P24" i="43"/>
  <c r="B66" i="40"/>
  <c r="P25" i="43"/>
  <c r="E10" i="49" l="1"/>
  <c r="B5" i="49"/>
  <c r="B8" i="49"/>
  <c r="C4" i="4" s="1"/>
  <c r="B4" i="62" s="1"/>
  <c r="B71" i="72" s="1"/>
  <c r="E16" i="49"/>
  <c r="B14" i="49"/>
  <c r="E54" i="34"/>
  <c r="F54" i="34" s="1"/>
  <c r="I53" i="34"/>
  <c r="J53" i="34" s="1"/>
  <c r="G54" i="34"/>
  <c r="H54" i="34" s="1"/>
  <c r="I54" i="34"/>
  <c r="J54" i="34" s="1"/>
  <c r="E53" i="34"/>
  <c r="F53" i="34" s="1"/>
  <c r="R50" i="34"/>
  <c r="C36" i="69"/>
  <c r="T11" i="1"/>
  <c r="E11" i="49"/>
  <c r="E5" i="49"/>
  <c r="E8" i="49"/>
  <c r="B9" i="49"/>
  <c r="E22" i="49"/>
  <c r="B7" i="49"/>
  <c r="E4" i="49"/>
  <c r="B6" i="49"/>
  <c r="E9" i="49"/>
  <c r="E21" i="49"/>
  <c r="B11" i="49"/>
  <c r="B13" i="49"/>
  <c r="B4" i="49"/>
  <c r="E4" i="4" s="1"/>
  <c r="B5" i="62" s="1"/>
  <c r="B73" i="72" s="1"/>
  <c r="E6" i="49"/>
  <c r="E7" i="49"/>
  <c r="B16" i="49"/>
  <c r="B10" i="49"/>
  <c r="T10" i="1"/>
  <c r="AR10" i="1"/>
  <c r="L27" i="6"/>
  <c r="G1" i="82"/>
  <c r="B8" i="1"/>
  <c r="E8" i="1" s="1"/>
  <c r="G1" i="80"/>
  <c r="O16" i="1"/>
  <c r="P16" i="1"/>
  <c r="C11" i="12" s="1"/>
  <c r="C12" i="12" s="1"/>
  <c r="C299" i="77"/>
  <c r="K4" i="77"/>
  <c r="M13" i="3" s="1"/>
  <c r="M5" i="3" s="1"/>
  <c r="C765" i="77"/>
  <c r="I47" i="40"/>
  <c r="J47" i="40" s="1"/>
  <c r="AR11" i="1"/>
  <c r="BD13" i="3"/>
  <c r="BD5" i="3" s="1"/>
  <c r="D9" i="11"/>
  <c r="C9" i="11" s="1"/>
  <c r="D9" i="69"/>
  <c r="C9" i="69" s="1"/>
  <c r="AR13" i="1"/>
  <c r="AQ13" i="1"/>
  <c r="T13" i="1"/>
  <c r="AR12" i="1"/>
  <c r="T12" i="1"/>
  <c r="F19" i="6"/>
  <c r="E19" i="6" s="1"/>
  <c r="BB13" i="3"/>
  <c r="I5" i="3"/>
  <c r="K13" i="3"/>
  <c r="F99" i="39"/>
  <c r="G99" i="39" s="1"/>
  <c r="F25" i="39"/>
  <c r="H25" i="39"/>
  <c r="J25" i="39"/>
  <c r="J11" i="39"/>
  <c r="F81" i="39"/>
  <c r="C43" i="40"/>
  <c r="C42" i="40"/>
  <c r="C15" i="12"/>
  <c r="G47" i="40"/>
  <c r="H47" i="40" s="1"/>
  <c r="G46" i="40"/>
  <c r="H46" i="40" s="1"/>
  <c r="E47" i="40"/>
  <c r="F47" i="40" s="1"/>
  <c r="M8" i="82"/>
  <c r="F16" i="15"/>
  <c r="L47" i="81"/>
  <c r="C76" i="67"/>
  <c r="M26" i="67"/>
  <c r="F8" i="82"/>
  <c r="L47" i="82"/>
  <c r="F38" i="67"/>
  <c r="F20" i="31"/>
  <c r="D2" i="37"/>
  <c r="L48" i="81"/>
  <c r="M27" i="82"/>
  <c r="F7" i="67"/>
  <c r="C76" i="15"/>
  <c r="F16" i="81"/>
  <c r="M9" i="81"/>
  <c r="F7" i="73"/>
  <c r="M27" i="67"/>
  <c r="F9" i="81"/>
  <c r="J15" i="67"/>
  <c r="F6" i="82"/>
  <c r="F27" i="68"/>
  <c r="L48" i="15"/>
  <c r="M22" i="15"/>
  <c r="M8" i="67"/>
  <c r="F13" i="81"/>
  <c r="M8" i="15"/>
  <c r="M28" i="15"/>
  <c r="F36" i="81"/>
  <c r="M24" i="82"/>
  <c r="B13" i="76"/>
  <c r="F36" i="67"/>
  <c r="F37" i="81"/>
  <c r="M8" i="81"/>
  <c r="E10" i="76"/>
  <c r="E9" i="76"/>
  <c r="E2" i="69"/>
  <c r="C36" i="79"/>
  <c r="M27" i="81"/>
  <c r="M23" i="67"/>
  <c r="L47" i="67"/>
  <c r="F27" i="79"/>
  <c r="F26" i="81"/>
  <c r="M24" i="81"/>
  <c r="E2" i="79"/>
  <c r="M27" i="15"/>
  <c r="F4" i="73"/>
  <c r="M6" i="15"/>
  <c r="B12" i="76"/>
  <c r="F9" i="67"/>
  <c r="M28" i="82"/>
  <c r="B7" i="76"/>
  <c r="F6" i="81"/>
  <c r="F37" i="15"/>
  <c r="J15" i="81"/>
  <c r="F37" i="67"/>
  <c r="M22" i="67"/>
  <c r="F38" i="82"/>
  <c r="M22" i="82"/>
  <c r="F38" i="15"/>
  <c r="F16" i="67"/>
  <c r="F26" i="82"/>
  <c r="F36" i="15"/>
  <c r="M26" i="81"/>
  <c r="F43" i="67"/>
  <c r="F26" i="67"/>
  <c r="F38" i="81"/>
  <c r="M28" i="81"/>
  <c r="M23" i="15"/>
  <c r="C36" i="68"/>
  <c r="M29" i="67"/>
  <c r="F13" i="82"/>
  <c r="D2" i="36"/>
  <c r="F36" i="82"/>
  <c r="M9" i="15"/>
  <c r="F5" i="73"/>
  <c r="D4" i="73"/>
  <c r="D9" i="80"/>
  <c r="F13" i="15"/>
  <c r="M22" i="81"/>
  <c r="E12" i="76"/>
  <c r="AO10" i="1"/>
  <c r="C36" i="80"/>
  <c r="F40" i="15"/>
  <c r="E11" i="76"/>
  <c r="F6" i="73"/>
  <c r="E2" i="68"/>
  <c r="L48" i="82"/>
  <c r="M23" i="82"/>
  <c r="L47" i="15"/>
  <c r="F3" i="73"/>
  <c r="E7" i="76"/>
  <c r="M28" i="67"/>
  <c r="F9" i="82"/>
  <c r="F9" i="15"/>
  <c r="B8" i="76"/>
  <c r="B10" i="76"/>
  <c r="D2" i="34"/>
  <c r="M6" i="81"/>
  <c r="D3" i="73"/>
  <c r="B9" i="76"/>
  <c r="M6" i="82"/>
  <c r="M24" i="15"/>
  <c r="D2" i="35"/>
  <c r="D6" i="73"/>
  <c r="F8" i="81"/>
  <c r="J15" i="82"/>
  <c r="M24" i="67"/>
  <c r="L48" i="67"/>
  <c r="D9" i="79"/>
  <c r="F8" i="15"/>
  <c r="E8" i="76"/>
  <c r="F6" i="67"/>
  <c r="F13" i="67"/>
  <c r="F37" i="82"/>
  <c r="M26" i="82"/>
  <c r="F8" i="67"/>
  <c r="F31" i="67" s="1"/>
  <c r="F40" i="67"/>
  <c r="F7" i="82"/>
  <c r="D9" i="68"/>
  <c r="M23" i="81"/>
  <c r="AO11" i="1"/>
  <c r="M26" i="15"/>
  <c r="M9" i="67"/>
  <c r="D2" i="21"/>
  <c r="F42" i="82"/>
  <c r="C76" i="82"/>
  <c r="AO12" i="1"/>
  <c r="M6" i="67"/>
  <c r="F40" i="82"/>
  <c r="F40" i="81"/>
  <c r="E2" i="80"/>
  <c r="F42" i="67"/>
  <c r="J15" i="15"/>
  <c r="F16" i="82"/>
  <c r="F42" i="15"/>
  <c r="D7" i="73"/>
  <c r="AO13" i="1"/>
  <c r="D5" i="73"/>
  <c r="F42" i="81"/>
  <c r="E13" i="76"/>
  <c r="C76" i="81"/>
  <c r="D2" i="33"/>
  <c r="B11" i="76"/>
  <c r="M9" i="82"/>
  <c r="F26" i="15"/>
  <c r="C50" i="34" l="1"/>
  <c r="B3" i="34" s="1"/>
  <c r="U6" i="1" s="1"/>
  <c r="C49" i="34"/>
  <c r="K4" i="4"/>
  <c r="B46" i="48" s="1"/>
  <c r="B4" i="72" s="1"/>
  <c r="K6" i="1"/>
  <c r="D3" i="34"/>
  <c r="B2" i="34" s="1"/>
  <c r="M18" i="9"/>
  <c r="B118" i="9" s="1"/>
  <c r="B14" i="74" s="1"/>
  <c r="G20" i="6"/>
  <c r="K5" i="3"/>
  <c r="H13" i="3"/>
  <c r="BC13" i="3"/>
  <c r="BC5" i="3" s="1"/>
  <c r="BB5" i="3"/>
  <c r="BA13" i="3"/>
  <c r="B16" i="74"/>
  <c r="E21" i="6"/>
  <c r="B10" i="70"/>
  <c r="L58" i="67"/>
  <c r="Q60" i="67" s="1"/>
  <c r="N59" i="67"/>
  <c r="L59" i="67"/>
  <c r="Q74" i="67" s="1"/>
  <c r="M59" i="67"/>
  <c r="B2" i="36"/>
  <c r="B3" i="36" s="1"/>
  <c r="B20" i="31"/>
  <c r="C6" i="67"/>
  <c r="F70" i="67"/>
  <c r="B11" i="70"/>
  <c r="L58" i="15"/>
  <c r="Q73" i="15" s="1"/>
  <c r="L59" i="15"/>
  <c r="Q74" i="15" s="1"/>
  <c r="M59" i="15"/>
  <c r="N59" i="15"/>
  <c r="F66" i="15"/>
  <c r="F64" i="67"/>
  <c r="F66" i="67"/>
  <c r="Q71" i="81"/>
  <c r="L59" i="82"/>
  <c r="Q74" i="82" s="1"/>
  <c r="N59" i="82"/>
  <c r="M59" i="82"/>
  <c r="L58" i="82"/>
  <c r="Q60" i="82" s="1"/>
  <c r="C27" i="15"/>
  <c r="F51" i="15"/>
  <c r="F68" i="81"/>
  <c r="C9" i="68"/>
  <c r="J53" i="82"/>
  <c r="F1" i="82" s="1"/>
  <c r="L56" i="82"/>
  <c r="L57" i="82"/>
  <c r="J57" i="82"/>
  <c r="J55" i="82" s="1"/>
  <c r="J58" i="82" s="1"/>
  <c r="Q50" i="82" s="1"/>
  <c r="L60" i="82"/>
  <c r="Q66" i="82" s="1"/>
  <c r="I54" i="82"/>
  <c r="F66" i="82"/>
  <c r="I1" i="73"/>
  <c r="B39" i="1" s="1"/>
  <c r="M11" i="82" s="1"/>
  <c r="F51" i="82"/>
  <c r="F66" i="81"/>
  <c r="C9" i="79"/>
  <c r="F68" i="82"/>
  <c r="M7" i="82"/>
  <c r="J6" i="82" s="1"/>
  <c r="F50" i="82"/>
  <c r="C9" i="80"/>
  <c r="B2" i="35"/>
  <c r="B3" i="35" s="1"/>
  <c r="C27" i="67"/>
  <c r="Q71" i="15"/>
  <c r="J57" i="67"/>
  <c r="J55" i="67" s="1"/>
  <c r="J58" i="67" s="1"/>
  <c r="Q50" i="67" s="1"/>
  <c r="I54" i="67"/>
  <c r="L56" i="67"/>
  <c r="F68" i="67"/>
  <c r="B13" i="70"/>
  <c r="E20" i="43"/>
  <c r="P17" i="43" s="1"/>
  <c r="F65" i="67"/>
  <c r="F71" i="67"/>
  <c r="Q71" i="67"/>
  <c r="F50" i="67"/>
  <c r="M7" i="67"/>
  <c r="F51" i="67"/>
  <c r="C49" i="67" s="1"/>
  <c r="B12" i="70"/>
  <c r="L59" i="81"/>
  <c r="Q61" i="81" s="1"/>
  <c r="N59" i="81"/>
  <c r="L58" i="81"/>
  <c r="Q60" i="81" s="1"/>
  <c r="M59" i="81"/>
  <c r="J57" i="15"/>
  <c r="J55" i="15" s="1"/>
  <c r="J58" i="15" s="1"/>
  <c r="Q50" i="15" s="1"/>
  <c r="L56" i="15"/>
  <c r="L57" i="15"/>
  <c r="J53" i="15"/>
  <c r="Q52" i="15" s="1"/>
  <c r="I54" i="15"/>
  <c r="L60" i="15"/>
  <c r="Q57" i="15" s="1"/>
  <c r="Q71" i="82"/>
  <c r="F68" i="15"/>
  <c r="C27" i="81"/>
  <c r="F65" i="15"/>
  <c r="F64" i="15"/>
  <c r="C47" i="68"/>
  <c r="D45" i="68" s="1"/>
  <c r="C29" i="68"/>
  <c r="D27" i="68" s="1"/>
  <c r="J53" i="81"/>
  <c r="F1" i="81" s="1"/>
  <c r="L57" i="81"/>
  <c r="L56" i="81"/>
  <c r="J57" i="81"/>
  <c r="J55" i="81" s="1"/>
  <c r="J58" i="81" s="1"/>
  <c r="Q50" i="81" s="1"/>
  <c r="L60" i="81"/>
  <c r="Q66" i="81" s="1"/>
  <c r="I54" i="81"/>
  <c r="F51" i="81"/>
  <c r="F65" i="82"/>
  <c r="F64" i="82"/>
  <c r="F65" i="81"/>
  <c r="F64" i="81"/>
  <c r="C29" i="79"/>
  <c r="D27" i="79" s="1"/>
  <c r="C47" i="79"/>
  <c r="D45" i="79" s="1"/>
  <c r="C27" i="82"/>
  <c r="C6" i="82"/>
  <c r="K1" i="73"/>
  <c r="AC25" i="39"/>
  <c r="W25" i="39"/>
  <c r="AA25" i="39"/>
  <c r="S25" i="39"/>
  <c r="AB25" i="39"/>
  <c r="U25" i="39"/>
  <c r="G81" i="39"/>
  <c r="F11" i="39"/>
  <c r="W11" i="39"/>
  <c r="AC11" i="39"/>
  <c r="B57" i="40"/>
  <c r="B58" i="40"/>
  <c r="B59" i="40"/>
  <c r="B52" i="40"/>
  <c r="F52" i="40" s="1"/>
  <c r="B56" i="40"/>
  <c r="B51" i="40"/>
  <c r="B54" i="40"/>
  <c r="F54" i="40" s="1"/>
  <c r="B55" i="40"/>
  <c r="F55" i="40" s="1"/>
  <c r="B53" i="40"/>
  <c r="F53" i="40" s="1"/>
  <c r="B60" i="40"/>
  <c r="C16" i="67"/>
  <c r="AE7" i="1"/>
  <c r="M17" i="82"/>
  <c r="F59" i="67"/>
  <c r="F6" i="15"/>
  <c r="AE8" i="1"/>
  <c r="F31" i="82"/>
  <c r="F7" i="15"/>
  <c r="F43" i="15"/>
  <c r="M29" i="15"/>
  <c r="M17" i="67"/>
  <c r="F59" i="82"/>
  <c r="G1" i="73"/>
  <c r="F11" i="15" l="1"/>
  <c r="C53" i="15" s="1"/>
  <c r="Q73" i="82"/>
  <c r="F11" i="82"/>
  <c r="C10" i="82" s="1"/>
  <c r="C5" i="82" s="1"/>
  <c r="Q60" i="15"/>
  <c r="M11" i="67"/>
  <c r="J10" i="67" s="1"/>
  <c r="F11" i="81"/>
  <c r="C53" i="81" s="1"/>
  <c r="F11" i="67"/>
  <c r="C53" i="67" s="1"/>
  <c r="C48" i="67" s="1"/>
  <c r="M11" i="15"/>
  <c r="M11" i="81"/>
  <c r="Q61" i="67"/>
  <c r="Q52" i="81"/>
  <c r="Q73" i="67"/>
  <c r="Q52" i="82"/>
  <c r="Q57" i="82"/>
  <c r="Q66" i="15"/>
  <c r="E12" i="6"/>
  <c r="M7" i="15"/>
  <c r="J6" i="15" s="1"/>
  <c r="C6" i="15"/>
  <c r="F50" i="15"/>
  <c r="C49" i="15" s="1"/>
  <c r="F71" i="15"/>
  <c r="M18" i="84"/>
  <c r="B118" i="84" s="1"/>
  <c r="K8" i="1"/>
  <c r="E7" i="12"/>
  <c r="BA5" i="3"/>
  <c r="AZ13" i="3"/>
  <c r="AZ5" i="3" s="1"/>
  <c r="E3" i="6" s="1"/>
  <c r="Q74" i="81"/>
  <c r="O17" i="43"/>
  <c r="E13" i="6"/>
  <c r="E11" i="6"/>
  <c r="E14" i="6"/>
  <c r="E8" i="6"/>
  <c r="E15" i="6"/>
  <c r="E10" i="6"/>
  <c r="H5" i="3"/>
  <c r="G13" i="3"/>
  <c r="G5" i="3" s="1"/>
  <c r="B3" i="3" s="1"/>
  <c r="G27" i="6"/>
  <c r="G31" i="6" s="1"/>
  <c r="E20" i="6"/>
  <c r="B15" i="74"/>
  <c r="B1" i="74" s="1"/>
  <c r="E57" i="40"/>
  <c r="F57" i="40" s="1"/>
  <c r="E62" i="39"/>
  <c r="M6" i="1"/>
  <c r="C49" i="82"/>
  <c r="Q61" i="15"/>
  <c r="Q61" i="82"/>
  <c r="N17" i="43"/>
  <c r="G20" i="43" s="1"/>
  <c r="C20" i="43" s="1"/>
  <c r="C34" i="43" s="1"/>
  <c r="Q73" i="81"/>
  <c r="Q57" i="81"/>
  <c r="M17" i="43"/>
  <c r="F1" i="15"/>
  <c r="B40" i="1"/>
  <c r="J6" i="67"/>
  <c r="J5" i="67" s="1"/>
  <c r="J10" i="82"/>
  <c r="J5" i="82" s="1"/>
  <c r="AA11" i="39"/>
  <c r="S11" i="39"/>
  <c r="H81" i="39"/>
  <c r="I81" i="39" s="1"/>
  <c r="J81" i="39" s="1"/>
  <c r="K81" i="39" s="1"/>
  <c r="L81" i="39" s="1"/>
  <c r="M81" i="39" s="1"/>
  <c r="H11" i="39"/>
  <c r="C10" i="67"/>
  <c r="C5" i="67" s="1"/>
  <c r="AE9" i="1"/>
  <c r="F31" i="15"/>
  <c r="AE6" i="1"/>
  <c r="C16" i="15"/>
  <c r="F41" i="67"/>
  <c r="F41" i="81"/>
  <c r="F41" i="15"/>
  <c r="F59" i="15"/>
  <c r="M17" i="15"/>
  <c r="F41" i="82"/>
  <c r="F43" i="82"/>
  <c r="M29" i="82"/>
  <c r="C10" i="15" l="1"/>
  <c r="C5" i="15" s="1"/>
  <c r="C32" i="15" s="1"/>
  <c r="J10" i="15"/>
  <c r="J5" i="15" s="1"/>
  <c r="J26" i="15" s="1"/>
  <c r="J29" i="15" s="1"/>
  <c r="C53" i="82"/>
  <c r="C48" i="82" s="1"/>
  <c r="C60" i="82" s="1"/>
  <c r="F69" i="67"/>
  <c r="F24" i="82"/>
  <c r="C24" i="82" s="1"/>
  <c r="F22" i="69"/>
  <c r="C44" i="69" s="1"/>
  <c r="D41" i="69" s="1"/>
  <c r="F22" i="80"/>
  <c r="C24" i="80" s="1"/>
  <c r="F24" i="15"/>
  <c r="C24" i="15" s="1"/>
  <c r="C48" i="15"/>
  <c r="C66" i="15" s="1"/>
  <c r="F24" i="67"/>
  <c r="C24" i="67" s="1"/>
  <c r="F24" i="81"/>
  <c r="C24" i="81" s="1"/>
  <c r="F71" i="82"/>
  <c r="M18" i="83"/>
  <c r="B118" i="83" s="1"/>
  <c r="K7" i="1"/>
  <c r="F27" i="6"/>
  <c r="F31" i="6" s="1"/>
  <c r="A3" i="3" s="1"/>
  <c r="I3" i="6" s="1"/>
  <c r="E51" i="40"/>
  <c r="F51" i="40" s="1"/>
  <c r="E56" i="39"/>
  <c r="E16" i="6"/>
  <c r="E61" i="39"/>
  <c r="E56" i="40"/>
  <c r="F56" i="40" s="1"/>
  <c r="D3" i="21"/>
  <c r="B2" i="21" s="1"/>
  <c r="B3" i="21" s="1"/>
  <c r="E6" i="6"/>
  <c r="D37" i="11"/>
  <c r="C37" i="11" s="1"/>
  <c r="D3" i="37"/>
  <c r="B2" i="37" s="1"/>
  <c r="B3" i="37" s="1"/>
  <c r="D3" i="33"/>
  <c r="B2" i="33" s="1"/>
  <c r="B3" i="33" s="1"/>
  <c r="C17" i="4"/>
  <c r="B4" i="52" s="1"/>
  <c r="B43" i="72" s="1"/>
  <c r="D19" i="11"/>
  <c r="C19" i="11" s="1"/>
  <c r="C20" i="11" s="1"/>
  <c r="D14" i="12"/>
  <c r="H108" i="9"/>
  <c r="D15" i="53" s="1"/>
  <c r="B31" i="72" s="1"/>
  <c r="H108" i="84"/>
  <c r="H108" i="83"/>
  <c r="C8" i="74"/>
  <c r="C6" i="74"/>
  <c r="E60" i="40"/>
  <c r="F60" i="40" s="1"/>
  <c r="E65" i="39"/>
  <c r="E64" i="39"/>
  <c r="E59" i="40"/>
  <c r="F59" i="40" s="1"/>
  <c r="E58" i="40"/>
  <c r="F58" i="40" s="1"/>
  <c r="E63" i="39"/>
  <c r="E27" i="6"/>
  <c r="K20" i="6" s="1"/>
  <c r="M8" i="1"/>
  <c r="F22" i="11"/>
  <c r="C44" i="11" s="1"/>
  <c r="D41" i="11" s="1"/>
  <c r="F25" i="12"/>
  <c r="C26" i="12" s="1"/>
  <c r="D25" i="12" s="1"/>
  <c r="F22" i="68"/>
  <c r="C26" i="68" s="1"/>
  <c r="D22" i="68" s="1"/>
  <c r="F22" i="79"/>
  <c r="C24" i="79" s="1"/>
  <c r="T8" i="43"/>
  <c r="V8" i="43" s="1"/>
  <c r="T11" i="43"/>
  <c r="V11" i="43" s="1"/>
  <c r="C36" i="43"/>
  <c r="G36" i="43" s="1"/>
  <c r="I36" i="43" s="1"/>
  <c r="T9" i="43"/>
  <c r="V9" i="43" s="1"/>
  <c r="C39" i="43"/>
  <c r="E39" i="43" s="1"/>
  <c r="T13" i="43"/>
  <c r="V13" i="43" s="1"/>
  <c r="T14" i="43"/>
  <c r="V14" i="43" s="1"/>
  <c r="C33" i="43"/>
  <c r="E33" i="43" s="1"/>
  <c r="C38" i="43"/>
  <c r="G38" i="43" s="1"/>
  <c r="I38" i="43" s="1"/>
  <c r="T10" i="43"/>
  <c r="V10" i="43" s="1"/>
  <c r="T15" i="43"/>
  <c r="V15" i="43" s="1"/>
  <c r="T12" i="43"/>
  <c r="V12" i="43" s="1"/>
  <c r="T16" i="43"/>
  <c r="V16" i="43" s="1"/>
  <c r="C35" i="43"/>
  <c r="G35" i="43" s="1"/>
  <c r="I35" i="43" s="1"/>
  <c r="C37" i="43"/>
  <c r="G37" i="43" s="1"/>
  <c r="I37" i="43" s="1"/>
  <c r="F69" i="81"/>
  <c r="F69" i="15"/>
  <c r="F69" i="82"/>
  <c r="J24" i="67"/>
  <c r="J26" i="67"/>
  <c r="J29" i="67" s="1"/>
  <c r="J18" i="67"/>
  <c r="U11" i="39"/>
  <c r="AB11" i="39"/>
  <c r="C38" i="82"/>
  <c r="C32" i="82"/>
  <c r="J26" i="82"/>
  <c r="J29" i="82" s="1"/>
  <c r="J18" i="82"/>
  <c r="J24" i="82"/>
  <c r="C32" i="67"/>
  <c r="C38" i="67"/>
  <c r="C66" i="67"/>
  <c r="C60" i="67"/>
  <c r="G34" i="43"/>
  <c r="I34" i="43" s="1"/>
  <c r="E34" i="43"/>
  <c r="F43" i="81"/>
  <c r="F7" i="81"/>
  <c r="M29" i="81"/>
  <c r="C16" i="82"/>
  <c r="C26" i="80" l="1"/>
  <c r="D22" i="80" s="1"/>
  <c r="C38" i="15"/>
  <c r="C26" i="79"/>
  <c r="D22" i="79" s="1"/>
  <c r="C66" i="82"/>
  <c r="C60" i="15"/>
  <c r="C26" i="11"/>
  <c r="D22" i="11" s="1"/>
  <c r="C26" i="69"/>
  <c r="D22" i="69" s="1"/>
  <c r="C24" i="69"/>
  <c r="J18" i="15"/>
  <c r="E36" i="43"/>
  <c r="C24" i="68"/>
  <c r="C25" i="11"/>
  <c r="J24" i="15"/>
  <c r="E37" i="43"/>
  <c r="G33" i="43"/>
  <c r="I33" i="43" s="1"/>
  <c r="C44" i="80"/>
  <c r="D41" i="80" s="1"/>
  <c r="E35" i="43"/>
  <c r="E38" i="43"/>
  <c r="C44" i="68"/>
  <c r="D41" i="68" s="1"/>
  <c r="C23" i="11"/>
  <c r="C24" i="11"/>
  <c r="F71" i="81"/>
  <c r="C6" i="81"/>
  <c r="C10" i="81"/>
  <c r="F50" i="81"/>
  <c r="M7" i="81"/>
  <c r="M20" i="6"/>
  <c r="I20" i="6" s="1"/>
  <c r="S7" i="1"/>
  <c r="E66" i="39"/>
  <c r="I4" i="6"/>
  <c r="G3" i="43"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69" i="3"/>
  <c r="E114" i="3"/>
  <c r="E278" i="3"/>
  <c r="E415" i="3"/>
  <c r="E563" i="3"/>
  <c r="E395" i="3"/>
  <c r="E172" i="3"/>
  <c r="E260" i="3"/>
  <c r="E445" i="3"/>
  <c r="E550" i="3"/>
  <c r="E535" i="3"/>
  <c r="AY6" i="3"/>
  <c r="E347" i="3"/>
  <c r="E583" i="3"/>
  <c r="AA6" i="3"/>
  <c r="X6" i="3"/>
  <c r="E399" i="3"/>
  <c r="E336" i="3"/>
  <c r="E280" i="3"/>
  <c r="E246" i="3"/>
  <c r="E124" i="3"/>
  <c r="E293" i="3"/>
  <c r="E311" i="3"/>
  <c r="E358" i="3"/>
  <c r="E514" i="3"/>
  <c r="E559" i="3"/>
  <c r="E570"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237" i="3"/>
  <c r="E304" i="3"/>
  <c r="E565" i="3"/>
  <c r="E213" i="3"/>
  <c r="E17" i="3"/>
  <c r="E302" i="3"/>
  <c r="E539" i="3"/>
  <c r="E567" i="3"/>
  <c r="E461" i="3"/>
  <c r="E227" i="3"/>
  <c r="E165" i="3"/>
  <c r="E390" i="3"/>
  <c r="S6" i="3"/>
  <c r="E523" i="3"/>
  <c r="E561" i="3"/>
  <c r="E506" i="3"/>
  <c r="E538" i="3"/>
  <c r="E418" i="3"/>
  <c r="E439" i="3"/>
  <c r="E338" i="3"/>
  <c r="E380" i="3"/>
  <c r="E321" i="3"/>
  <c r="E231" i="3"/>
  <c r="E298" i="3"/>
  <c r="E216" i="3"/>
  <c r="E169" i="3"/>
  <c r="E185" i="3"/>
  <c r="E61" i="3"/>
  <c r="E135" i="3"/>
  <c r="E290" i="3"/>
  <c r="E161" i="3"/>
  <c r="E117"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E566" i="3"/>
  <c r="AP6" i="3"/>
  <c r="E500" i="3"/>
  <c r="E554" i="3"/>
  <c r="E582" i="3"/>
  <c r="E517" i="3"/>
  <c r="E413" i="3"/>
  <c r="E435" i="3"/>
  <c r="E460" i="3"/>
  <c r="E491" i="3"/>
  <c r="E520" i="3"/>
  <c r="E417" i="3"/>
  <c r="E436" i="3"/>
  <c r="E479" i="3"/>
  <c r="E39" i="3"/>
  <c r="E56" i="3"/>
  <c r="E90" i="3"/>
  <c r="E37" i="3"/>
  <c r="E70" i="3"/>
  <c r="E57" i="3"/>
  <c r="E92" i="3"/>
  <c r="E95" i="3"/>
  <c r="E121" i="3"/>
  <c r="E261" i="3"/>
  <c r="E528" i="3"/>
  <c r="E183" i="3"/>
  <c r="E361" i="3"/>
  <c r="E503" i="3"/>
  <c r="E329" i="3"/>
  <c r="E545" i="3"/>
  <c r="E510" i="3"/>
  <c r="E352" i="3"/>
  <c r="E205" i="3"/>
  <c r="E128" i="3"/>
  <c r="E270" i="3"/>
  <c r="E533" i="3"/>
  <c r="AR6" i="3"/>
  <c r="E551" i="3"/>
  <c r="M6" i="3"/>
  <c r="V6" i="3"/>
  <c r="AB6" i="3"/>
  <c r="E407" i="3"/>
  <c r="E387" i="3"/>
  <c r="E320" i="3"/>
  <c r="E294" i="3"/>
  <c r="E230" i="3"/>
  <c r="E130" i="3"/>
  <c r="E254" i="3"/>
  <c r="E221" i="3"/>
  <c r="E140" i="3"/>
  <c r="E223" i="3"/>
  <c r="E197" i="3"/>
  <c r="E173" i="3"/>
  <c r="E327" i="3"/>
  <c r="E576" i="3"/>
  <c r="Z6" i="3"/>
  <c r="AG6" i="3"/>
  <c r="AO6" i="3"/>
  <c r="E448" i="3"/>
  <c r="E485" i="3"/>
  <c r="P6" i="3"/>
  <c r="E400" i="3"/>
  <c r="E443" i="3"/>
  <c r="E345" i="3"/>
  <c r="E558" i="3"/>
  <c r="E557" i="3"/>
  <c r="E581" i="3"/>
  <c r="E531" i="3"/>
  <c r="E444" i="3"/>
  <c r="E489" i="3"/>
  <c r="E404" i="3"/>
  <c r="E28" i="3"/>
  <c r="E88" i="3"/>
  <c r="E54" i="3"/>
  <c r="E73" i="3"/>
  <c r="E11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35" i="3"/>
  <c r="E215" i="3"/>
  <c r="E189" i="3"/>
  <c r="E134" i="3"/>
  <c r="E91" i="3"/>
  <c r="E180" i="3"/>
  <c r="E85" i="3"/>
  <c r="E238" i="3"/>
  <c r="E116" i="3"/>
  <c r="E105" i="3"/>
  <c r="E379" i="3"/>
  <c r="E585" i="3"/>
  <c r="U6" i="3"/>
  <c r="E515" i="3"/>
  <c r="E411" i="3"/>
  <c r="E478" i="3"/>
  <c r="E548" i="3"/>
  <c r="E414" i="3"/>
  <c r="E432" i="3"/>
  <c r="E477" i="3"/>
  <c r="E367" i="3"/>
  <c r="E505" i="3"/>
  <c r="E547" i="3"/>
  <c r="AS6" i="3"/>
  <c r="E403" i="3"/>
  <c r="E476" i="3"/>
  <c r="E546" i="3"/>
  <c r="E447" i="3"/>
  <c r="E71" i="3"/>
  <c r="E27" i="3"/>
  <c r="E41" i="3"/>
  <c r="E108"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26" i="6"/>
  <c r="M26" i="6" s="1"/>
  <c r="I26" i="6" s="1"/>
  <c r="S26" i="6" s="1"/>
  <c r="K24" i="6"/>
  <c r="M24" i="6" s="1"/>
  <c r="I24" i="6" s="1"/>
  <c r="S24" i="6" s="1"/>
  <c r="K22" i="6"/>
  <c r="K23" i="6"/>
  <c r="M23" i="6" s="1"/>
  <c r="I23" i="6" s="1"/>
  <c r="S23" i="6" s="1"/>
  <c r="E31" i="6"/>
  <c r="K21" i="6"/>
  <c r="K19" i="6"/>
  <c r="K25" i="6"/>
  <c r="M25" i="6" s="1"/>
  <c r="I25" i="6" s="1"/>
  <c r="S25" i="6" s="1"/>
  <c r="D17" i="12"/>
  <c r="C17" i="12" s="1"/>
  <c r="C14" i="12"/>
  <c r="C16" i="12" s="1"/>
  <c r="D10" i="11"/>
  <c r="C10" i="11" s="1"/>
  <c r="D10" i="69"/>
  <c r="D20" i="12"/>
  <c r="C20" i="12" s="1"/>
  <c r="C18" i="12" s="1"/>
  <c r="G16" i="1"/>
  <c r="M7" i="1"/>
  <c r="H16" i="1"/>
  <c r="C34" i="69"/>
  <c r="Q16" i="1"/>
  <c r="K16" i="1"/>
  <c r="C44" i="79"/>
  <c r="D41" i="79" s="1"/>
  <c r="D10" i="79"/>
  <c r="C16" i="81"/>
  <c r="F59" i="81"/>
  <c r="F31" i="81"/>
  <c r="F27" i="80"/>
  <c r="M17" i="81"/>
  <c r="C17" i="81"/>
  <c r="C29" i="80" l="1"/>
  <c r="D27" i="80" s="1"/>
  <c r="C47" i="80"/>
  <c r="D45" i="80" s="1"/>
  <c r="C22" i="11"/>
  <c r="M22" i="6"/>
  <c r="I22" i="6" s="1"/>
  <c r="S22" i="6" s="1"/>
  <c r="S9" i="1"/>
  <c r="C10" i="79"/>
  <c r="D19" i="79"/>
  <c r="D37" i="79" s="1"/>
  <c r="C37" i="79" s="1"/>
  <c r="F28" i="12"/>
  <c r="C29" i="12" s="1"/>
  <c r="D28" i="12" s="1"/>
  <c r="F27" i="69"/>
  <c r="F27" i="11"/>
  <c r="F10" i="39"/>
  <c r="F10" i="40"/>
  <c r="H10" i="40"/>
  <c r="J10" i="40"/>
  <c r="J10" i="39"/>
  <c r="H10" i="39"/>
  <c r="C10" i="69"/>
  <c r="D19" i="69"/>
  <c r="D37" i="69" s="1"/>
  <c r="C37" i="69" s="1"/>
  <c r="C21" i="12"/>
  <c r="M21" i="6"/>
  <c r="I21" i="6" s="1"/>
  <c r="S8" i="1"/>
  <c r="AY87" i="3"/>
  <c r="AY83" i="3"/>
  <c r="AY51" i="3"/>
  <c r="AY66" i="3"/>
  <c r="AY34" i="3"/>
  <c r="AY23" i="3"/>
  <c r="AY207" i="3"/>
  <c r="AY176" i="3"/>
  <c r="AY144" i="3"/>
  <c r="AY155" i="3"/>
  <c r="AY124" i="3"/>
  <c r="AY115" i="3"/>
  <c r="AY95" i="3"/>
  <c r="AY59" i="3"/>
  <c r="AY98" i="3"/>
  <c r="AY82" i="3"/>
  <c r="AY18" i="3"/>
  <c r="AY191" i="3"/>
  <c r="AY171" i="3"/>
  <c r="AY132" i="3"/>
  <c r="AY90"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K101" i="43"/>
  <c r="N101" i="43"/>
  <c r="H22" i="43"/>
  <c r="M101" i="43"/>
  <c r="E101" i="43"/>
  <c r="C101" i="43"/>
  <c r="L101" i="43"/>
  <c r="AJ11" i="43"/>
  <c r="AJ13" i="43" s="1"/>
  <c r="AF11" i="43"/>
  <c r="AF13" i="43" s="1"/>
  <c r="AB11" i="43"/>
  <c r="AB13" i="43" s="1"/>
  <c r="Z7" i="43"/>
  <c r="AG11" i="43"/>
  <c r="AG13" i="43" s="1"/>
  <c r="AC11" i="43"/>
  <c r="AC13" i="43" s="1"/>
  <c r="Y11" i="43"/>
  <c r="Y13" i="43" s="1"/>
  <c r="S3" i="43"/>
  <c r="T3" i="43" s="1"/>
  <c r="V3" i="43" s="1"/>
  <c r="J101" i="43"/>
  <c r="G22" i="43"/>
  <c r="S6" i="43"/>
  <c r="T6" i="43" s="1"/>
  <c r="V6" i="43" s="1"/>
  <c r="S7" i="43"/>
  <c r="T7" i="43" s="1"/>
  <c r="V7" i="43" s="1"/>
  <c r="S2" i="43"/>
  <c r="T2" i="43" s="1"/>
  <c r="V2" i="43" s="1"/>
  <c r="AH11" i="43"/>
  <c r="AH13" i="43" s="1"/>
  <c r="AD11" i="43"/>
  <c r="AD13" i="43" s="1"/>
  <c r="Z11" i="43"/>
  <c r="Z13" i="43" s="1"/>
  <c r="AI11" i="43"/>
  <c r="AI13" i="43" s="1"/>
  <c r="AE11" i="43"/>
  <c r="AE13" i="43" s="1"/>
  <c r="AA11" i="43"/>
  <c r="AA13" i="43" s="1"/>
  <c r="C23" i="43"/>
  <c r="G101" i="43"/>
  <c r="H101" i="43"/>
  <c r="S5" i="43"/>
  <c r="T5" i="43" s="1"/>
  <c r="V5" i="43" s="1"/>
  <c r="S4" i="43"/>
  <c r="T4" i="43" s="1"/>
  <c r="V4" i="43" s="1"/>
  <c r="J22" i="43"/>
  <c r="F22" i="43"/>
  <c r="F101" i="43"/>
  <c r="E22" i="43"/>
  <c r="D101" i="43"/>
  <c r="I101" i="43"/>
  <c r="B113" i="43"/>
  <c r="N104" i="46"/>
  <c r="L18" i="83"/>
  <c r="S20" i="6"/>
  <c r="C49" i="81"/>
  <c r="C48" i="81" s="1"/>
  <c r="C5" i="81"/>
  <c r="C35" i="69"/>
  <c r="C38" i="69"/>
  <c r="M16" i="1"/>
  <c r="M19" i="6"/>
  <c r="S6" i="1"/>
  <c r="K27" i="6"/>
  <c r="AC6" i="3"/>
  <c r="H6" i="3"/>
  <c r="AQ7" i="1"/>
  <c r="AR7" i="1"/>
  <c r="E7" i="70"/>
  <c r="T7" i="1"/>
  <c r="J10" i="81"/>
  <c r="J6" i="81"/>
  <c r="C17" i="67"/>
  <c r="C34" i="79"/>
  <c r="C17" i="82"/>
  <c r="D10" i="80"/>
  <c r="C14" i="81"/>
  <c r="C17" i="15"/>
  <c r="D10" i="68"/>
  <c r="C14" i="67"/>
  <c r="C15" i="67" l="1"/>
  <c r="C18" i="67"/>
  <c r="E9" i="70"/>
  <c r="AR9" i="1"/>
  <c r="T9" i="1"/>
  <c r="AQ9" i="1"/>
  <c r="C38" i="79"/>
  <c r="C35" i="79"/>
  <c r="C18" i="81"/>
  <c r="C15" i="81"/>
  <c r="D19" i="68"/>
  <c r="D37" i="68" s="1"/>
  <c r="C37" i="68" s="1"/>
  <c r="C10" i="68"/>
  <c r="D19" i="80"/>
  <c r="D37" i="80" s="1"/>
  <c r="C37" i="80" s="1"/>
  <c r="C10" i="80"/>
  <c r="I104" i="43"/>
  <c r="I105" i="43"/>
  <c r="I106" i="43"/>
  <c r="I109" i="43"/>
  <c r="I107" i="43"/>
  <c r="I102" i="43"/>
  <c r="I103" i="43"/>
  <c r="D22" i="43"/>
  <c r="C21" i="43" s="1"/>
  <c r="H107" i="43"/>
  <c r="H105" i="43"/>
  <c r="H109" i="43"/>
  <c r="H104" i="43"/>
  <c r="H106" i="43"/>
  <c r="H103" i="43"/>
  <c r="H102" i="43"/>
  <c r="J5" i="81"/>
  <c r="E6" i="3"/>
  <c r="AQ6" i="1"/>
  <c r="S16" i="1"/>
  <c r="E6" i="70"/>
  <c r="T6" i="1"/>
  <c r="AR6" i="1"/>
  <c r="N16" i="1"/>
  <c r="L16" i="1"/>
  <c r="C34" i="11"/>
  <c r="C33" i="69"/>
  <c r="C66" i="81"/>
  <c r="C60" i="81"/>
  <c r="B115" i="43"/>
  <c r="G118" i="43"/>
  <c r="H118" i="43" s="1"/>
  <c r="B118" i="43"/>
  <c r="C118" i="43" s="1"/>
  <c r="D117" i="43"/>
  <c r="E117" i="43" s="1"/>
  <c r="F117" i="43" s="1"/>
  <c r="G117" i="43" s="1"/>
  <c r="H117" i="43" s="1"/>
  <c r="I118" i="43"/>
  <c r="J118" i="43" s="1"/>
  <c r="K118" i="43" s="1"/>
  <c r="L118" i="43" s="1"/>
  <c r="M118" i="43" s="1"/>
  <c r="D118" i="43"/>
  <c r="E118" i="43" s="1"/>
  <c r="F118" i="43" s="1"/>
  <c r="I116" i="43"/>
  <c r="J116" i="43" s="1"/>
  <c r="K116" i="43" s="1"/>
  <c r="L116" i="43" s="1"/>
  <c r="M116" i="43" s="1"/>
  <c r="D116" i="43"/>
  <c r="E116" i="43" s="1"/>
  <c r="F116" i="43" s="1"/>
  <c r="G116" i="43" s="1"/>
  <c r="H116" i="43" s="1"/>
  <c r="B116" i="43"/>
  <c r="C116" i="43" s="1"/>
  <c r="I117" i="43"/>
  <c r="J117" i="43" s="1"/>
  <c r="K117" i="43" s="1"/>
  <c r="L117" i="43" s="1"/>
  <c r="M117" i="43" s="1"/>
  <c r="I115" i="43"/>
  <c r="J115" i="43" s="1"/>
  <c r="K115" i="43" s="1"/>
  <c r="L115" i="43" s="1"/>
  <c r="M115" i="43" s="1"/>
  <c r="D115" i="43"/>
  <c r="E115" i="43" s="1"/>
  <c r="F115" i="43" s="1"/>
  <c r="G115" i="43" s="1"/>
  <c r="H115" i="43" s="1"/>
  <c r="B117" i="43"/>
  <c r="C117" i="43" s="1"/>
  <c r="D109" i="43"/>
  <c r="D106" i="43"/>
  <c r="D103" i="43"/>
  <c r="D107" i="43"/>
  <c r="D105" i="43"/>
  <c r="D102" i="43"/>
  <c r="D104" i="43"/>
  <c r="F107" i="43"/>
  <c r="F105" i="43"/>
  <c r="F102" i="43"/>
  <c r="F109" i="43"/>
  <c r="F106" i="43"/>
  <c r="F104" i="43"/>
  <c r="F103" i="43"/>
  <c r="G102" i="43"/>
  <c r="G109" i="43"/>
  <c r="G103" i="43"/>
  <c r="G105" i="43"/>
  <c r="G104" i="43"/>
  <c r="G106" i="43"/>
  <c r="G107" i="43"/>
  <c r="J104" i="43"/>
  <c r="J107" i="43"/>
  <c r="J106" i="43"/>
  <c r="J102" i="43"/>
  <c r="J105" i="43"/>
  <c r="J103" i="43"/>
  <c r="J109" i="43"/>
  <c r="C104" i="43"/>
  <c r="C105" i="43"/>
  <c r="C109" i="43"/>
  <c r="C102" i="43"/>
  <c r="C106" i="43"/>
  <c r="C107" i="43"/>
  <c r="C103" i="43"/>
  <c r="M104" i="43"/>
  <c r="M105" i="43"/>
  <c r="M102" i="43"/>
  <c r="M106" i="43"/>
  <c r="M107" i="43"/>
  <c r="M109" i="43"/>
  <c r="M103" i="43"/>
  <c r="N107" i="43"/>
  <c r="N106" i="43"/>
  <c r="N103" i="43"/>
  <c r="N102" i="43"/>
  <c r="N109" i="43"/>
  <c r="N105" i="43"/>
  <c r="N104" i="43"/>
  <c r="AR8" i="1"/>
  <c r="E8" i="70"/>
  <c r="AQ8" i="1"/>
  <c r="T8" i="1"/>
  <c r="C22" i="12"/>
  <c r="C30" i="12" s="1"/>
  <c r="C28" i="12" s="1"/>
  <c r="W10" i="39"/>
  <c r="AC10" i="39"/>
  <c r="AB10" i="40"/>
  <c r="U10" i="40"/>
  <c r="S10" i="39"/>
  <c r="AA10" i="39"/>
  <c r="C47" i="69"/>
  <c r="D45" i="69" s="1"/>
  <c r="C29" i="69"/>
  <c r="D27" i="69" s="1"/>
  <c r="I19" i="6"/>
  <c r="M27" i="6"/>
  <c r="C38" i="81"/>
  <c r="C32" i="81"/>
  <c r="L106" i="43"/>
  <c r="L103" i="43"/>
  <c r="L105" i="43"/>
  <c r="L109" i="43"/>
  <c r="L107" i="43"/>
  <c r="L102" i="43"/>
  <c r="L104" i="43"/>
  <c r="E107" i="43"/>
  <c r="E106" i="43"/>
  <c r="E103" i="43"/>
  <c r="E104" i="43"/>
  <c r="E105" i="43"/>
  <c r="E102" i="43"/>
  <c r="E109" i="43"/>
  <c r="K102" i="43"/>
  <c r="K107" i="43"/>
  <c r="K106" i="43"/>
  <c r="K104" i="43"/>
  <c r="K103" i="43"/>
  <c r="K105" i="43"/>
  <c r="K109" i="43"/>
  <c r="D25" i="6"/>
  <c r="D21" i="6"/>
  <c r="D6" i="6"/>
  <c r="D29" i="6"/>
  <c r="D22" i="6"/>
  <c r="D24" i="6"/>
  <c r="D9" i="6"/>
  <c r="E61" i="40"/>
  <c r="F61" i="40" s="1"/>
  <c r="B2" i="40" s="1"/>
  <c r="B3" i="40" s="1"/>
  <c r="D13" i="6"/>
  <c r="D12" i="6"/>
  <c r="D14" i="6"/>
  <c r="D8" i="6"/>
  <c r="D26" i="6"/>
  <c r="D28" i="6"/>
  <c r="D30" i="6" s="1"/>
  <c r="D11" i="6"/>
  <c r="D5" i="6"/>
  <c r="D23" i="6"/>
  <c r="C18" i="4"/>
  <c r="D19" i="6"/>
  <c r="D20" i="6"/>
  <c r="D10" i="6"/>
  <c r="D15" i="6"/>
  <c r="H23" i="6"/>
  <c r="R23" i="6" s="1"/>
  <c r="H22" i="6"/>
  <c r="H24" i="6"/>
  <c r="H26" i="6"/>
  <c r="H20" i="6"/>
  <c r="H25" i="6"/>
  <c r="H21" i="6"/>
  <c r="S21" i="6"/>
  <c r="L18" i="84"/>
  <c r="U10" i="39"/>
  <c r="AB10" i="39"/>
  <c r="W10" i="40"/>
  <c r="AC10" i="40"/>
  <c r="AA10" i="40"/>
  <c r="S10" i="40"/>
  <c r="C29" i="11"/>
  <c r="D27" i="11" s="1"/>
  <c r="C47" i="11"/>
  <c r="D45" i="11" s="1"/>
  <c r="C28" i="11"/>
  <c r="C27" i="11" s="1"/>
  <c r="C31" i="11" s="1"/>
  <c r="C14" i="15"/>
  <c r="C14" i="82"/>
  <c r="C34" i="68"/>
  <c r="C34" i="80"/>
  <c r="C19" i="67" l="1"/>
  <c r="C20" i="67" s="1"/>
  <c r="C33" i="79"/>
  <c r="C39" i="79" s="1"/>
  <c r="C19" i="81"/>
  <c r="C20" i="81" s="1"/>
  <c r="C26" i="81" s="1"/>
  <c r="R25" i="6"/>
  <c r="R26" i="6"/>
  <c r="R22" i="6"/>
  <c r="R9" i="1" s="1"/>
  <c r="C27" i="12"/>
  <c r="C25" i="12" s="1"/>
  <c r="C32" i="12" s="1"/>
  <c r="B2" i="12" s="1"/>
  <c r="B3" i="12" s="1"/>
  <c r="C15" i="82"/>
  <c r="C18" i="82"/>
  <c r="C38" i="80"/>
  <c r="C35" i="80"/>
  <c r="C38" i="68"/>
  <c r="C35" i="68"/>
  <c r="C18" i="15"/>
  <c r="C15" i="15"/>
  <c r="M19" i="83"/>
  <c r="C118" i="83" s="1"/>
  <c r="C15" i="74"/>
  <c r="R20" i="6"/>
  <c r="R7" i="1" s="1"/>
  <c r="L19" i="83"/>
  <c r="R24" i="6"/>
  <c r="D16" i="6"/>
  <c r="D27" i="6"/>
  <c r="D31" i="6" s="1"/>
  <c r="M19" i="9"/>
  <c r="C118" i="9" s="1"/>
  <c r="C14" i="74" s="1"/>
  <c r="S19" i="6"/>
  <c r="S27" i="6" s="1"/>
  <c r="L18" i="9"/>
  <c r="I27" i="6"/>
  <c r="H19" i="6"/>
  <c r="C39" i="69"/>
  <c r="C46" i="69" s="1"/>
  <c r="C45" i="69" s="1"/>
  <c r="C42" i="69"/>
  <c r="E2" i="70"/>
  <c r="J18" i="81"/>
  <c r="J24" i="81"/>
  <c r="J26" i="81"/>
  <c r="J29" i="81" s="1"/>
  <c r="C29" i="43"/>
  <c r="C4" i="52"/>
  <c r="B45" i="72" s="1"/>
  <c r="A7" i="51"/>
  <c r="B7" i="72" s="1"/>
  <c r="A10" i="51"/>
  <c r="B9" i="72" s="1"/>
  <c r="C16" i="74"/>
  <c r="M19" i="84"/>
  <c r="C118" i="84" s="1"/>
  <c r="R21" i="6"/>
  <c r="R8" i="1" s="1"/>
  <c r="L19" i="84"/>
  <c r="J38" i="39"/>
  <c r="F38" i="39"/>
  <c r="H38" i="39"/>
  <c r="C115" i="43"/>
  <c r="D113" i="43" s="1"/>
  <c r="C35" i="11"/>
  <c r="C38" i="11"/>
  <c r="F50" i="79"/>
  <c r="F50" i="68"/>
  <c r="F50" i="80"/>
  <c r="F50" i="11"/>
  <c r="F50" i="69"/>
  <c r="T16" i="1"/>
  <c r="F35" i="67"/>
  <c r="M21" i="81"/>
  <c r="M21" i="67"/>
  <c r="F35" i="82"/>
  <c r="F35" i="81"/>
  <c r="M21" i="82"/>
  <c r="C26" i="67" l="1"/>
  <c r="C23" i="67"/>
  <c r="F63" i="67"/>
  <c r="C62" i="67" s="1"/>
  <c r="C34" i="67"/>
  <c r="J20" i="67"/>
  <c r="C19" i="82"/>
  <c r="C20" i="82" s="1"/>
  <c r="C26" i="82" s="1"/>
  <c r="C42" i="79"/>
  <c r="C43" i="79"/>
  <c r="C33" i="68"/>
  <c r="C42" i="68" s="1"/>
  <c r="C33" i="80"/>
  <c r="C42" i="80" s="1"/>
  <c r="C46" i="79"/>
  <c r="C45" i="79" s="1"/>
  <c r="C33" i="11"/>
  <c r="C39" i="11" s="1"/>
  <c r="C19" i="15"/>
  <c r="C20" i="15" s="1"/>
  <c r="C26" i="15" s="1"/>
  <c r="C34" i="82"/>
  <c r="F63" i="82"/>
  <c r="C62" i="82" s="1"/>
  <c r="J20" i="82"/>
  <c r="C34" i="81"/>
  <c r="F63" i="81"/>
  <c r="C62" i="81" s="1"/>
  <c r="J20" i="81"/>
  <c r="C39" i="80"/>
  <c r="C43" i="80" s="1"/>
  <c r="S38" i="39"/>
  <c r="AA38" i="39"/>
  <c r="R47" i="39" s="1"/>
  <c r="C43" i="69"/>
  <c r="C41" i="69" s="1"/>
  <c r="C49" i="69" s="1"/>
  <c r="C51" i="69" s="1"/>
  <c r="I6" i="6"/>
  <c r="I5" i="6"/>
  <c r="C23" i="81"/>
  <c r="C29" i="81" s="1"/>
  <c r="U38" i="39"/>
  <c r="AB38" i="39"/>
  <c r="T47" i="39" s="1"/>
  <c r="G47" i="39" s="1"/>
  <c r="AC38" i="39"/>
  <c r="V47" i="39" s="1"/>
  <c r="I47" i="39" s="1"/>
  <c r="W38" i="39"/>
  <c r="C30" i="43"/>
  <c r="E30" i="43" s="1"/>
  <c r="C27" i="43" s="1"/>
  <c r="E29" i="43"/>
  <c r="C26" i="43" s="1"/>
  <c r="H27" i="6"/>
  <c r="L19" i="9"/>
  <c r="R19" i="6"/>
  <c r="B2" i="74"/>
  <c r="E6" i="76"/>
  <c r="C29" i="67" l="1"/>
  <c r="J59" i="67" s="1"/>
  <c r="J60" i="67" s="1"/>
  <c r="Q48" i="67" s="1"/>
  <c r="C42" i="11"/>
  <c r="C39" i="68"/>
  <c r="C46" i="68" s="1"/>
  <c r="C45" i="68" s="1"/>
  <c r="C23" i="82"/>
  <c r="C29" i="82" s="1"/>
  <c r="C41" i="79"/>
  <c r="C49" i="79" s="1"/>
  <c r="C51" i="79" s="1"/>
  <c r="C41" i="80"/>
  <c r="E2" i="76"/>
  <c r="D8" i="74"/>
  <c r="D6" i="74"/>
  <c r="I51" i="39"/>
  <c r="J51" i="39" s="1"/>
  <c r="C43" i="11"/>
  <c r="C46" i="11"/>
  <c r="C45" i="11" s="1"/>
  <c r="R48" i="39"/>
  <c r="E47" i="39"/>
  <c r="C46" i="80"/>
  <c r="C45" i="80" s="1"/>
  <c r="C23" i="15"/>
  <c r="C29" i="15" s="1"/>
  <c r="R27" i="6"/>
  <c r="R6" i="1"/>
  <c r="B2" i="43"/>
  <c r="G52" i="39"/>
  <c r="H52" i="39" s="1"/>
  <c r="G51" i="39"/>
  <c r="H51" i="39" s="1"/>
  <c r="C33" i="81"/>
  <c r="C31" i="81" s="1"/>
  <c r="Q49" i="81"/>
  <c r="C13" i="81"/>
  <c r="J14" i="81"/>
  <c r="C57" i="81"/>
  <c r="J59" i="81"/>
  <c r="J60" i="81" s="1"/>
  <c r="C36" i="81"/>
  <c r="J19" i="81"/>
  <c r="J17" i="81" s="1"/>
  <c r="B6" i="76"/>
  <c r="M21" i="15"/>
  <c r="F35" i="15"/>
  <c r="C41" i="11" l="1"/>
  <c r="C49" i="11" s="1"/>
  <c r="C51" i="11" s="1"/>
  <c r="C52" i="11" s="1"/>
  <c r="B2" i="11" s="1"/>
  <c r="B3" i="11" s="1"/>
  <c r="C33" i="67"/>
  <c r="C31" i="67" s="1"/>
  <c r="C57" i="67"/>
  <c r="Q49" i="67"/>
  <c r="C13" i="67"/>
  <c r="J19" i="67"/>
  <c r="J17" i="67" s="1"/>
  <c r="J14" i="67"/>
  <c r="C36" i="67"/>
  <c r="C43" i="68"/>
  <c r="C41" i="68" s="1"/>
  <c r="C49" i="68" s="1"/>
  <c r="C51" i="68" s="1"/>
  <c r="C49" i="80"/>
  <c r="C51" i="80" s="1"/>
  <c r="C33" i="82"/>
  <c r="C31" i="82" s="1"/>
  <c r="C36" i="82"/>
  <c r="C57" i="82"/>
  <c r="C13" i="82"/>
  <c r="J14" i="82"/>
  <c r="Q49" i="82"/>
  <c r="J59" i="82"/>
  <c r="J60" i="82" s="1"/>
  <c r="J19" i="82"/>
  <c r="J17" i="82" s="1"/>
  <c r="J20" i="15"/>
  <c r="F63" i="15"/>
  <c r="C62" i="15" s="1"/>
  <c r="C34" i="15"/>
  <c r="B2" i="76"/>
  <c r="B3" i="76" s="1"/>
  <c r="L46" i="81"/>
  <c r="Q48" i="81"/>
  <c r="J22" i="81"/>
  <c r="J13" i="81"/>
  <c r="J23" i="81" s="1"/>
  <c r="R16" i="1"/>
  <c r="C47" i="39"/>
  <c r="C48" i="39"/>
  <c r="C64" i="81"/>
  <c r="C61" i="81"/>
  <c r="C59" i="81" s="1"/>
  <c r="Q70" i="81"/>
  <c r="C56" i="81"/>
  <c r="C65" i="81" s="1"/>
  <c r="C37" i="81"/>
  <c r="C30" i="81" s="1"/>
  <c r="C39" i="81" s="1"/>
  <c r="C75" i="81"/>
  <c r="C6" i="69"/>
  <c r="C7" i="69" s="1"/>
  <c r="C5" i="69" s="1"/>
  <c r="B3" i="43"/>
  <c r="C33" i="15"/>
  <c r="C57" i="15"/>
  <c r="J59" i="15"/>
  <c r="J60" i="15" s="1"/>
  <c r="J14" i="15"/>
  <c r="C36" i="15"/>
  <c r="J19" i="15"/>
  <c r="J17" i="15" s="1"/>
  <c r="C13" i="15"/>
  <c r="Q49" i="15"/>
  <c r="E52" i="39"/>
  <c r="F52" i="39" s="1"/>
  <c r="E51" i="39"/>
  <c r="F51" i="39" s="1"/>
  <c r="I52" i="39"/>
  <c r="J52" i="39" s="1"/>
  <c r="L51" i="81"/>
  <c r="J22" i="67" l="1"/>
  <c r="J13" i="67"/>
  <c r="J23" i="67" s="1"/>
  <c r="Q70" i="67"/>
  <c r="C75" i="67"/>
  <c r="C56" i="67"/>
  <c r="C65" i="67" s="1"/>
  <c r="C37" i="67"/>
  <c r="C30" i="67" s="1"/>
  <c r="C39" i="67" s="1"/>
  <c r="C64" i="67"/>
  <c r="C61" i="67"/>
  <c r="C59" i="67" s="1"/>
  <c r="L46" i="82"/>
  <c r="Q48" i="82"/>
  <c r="J13" i="82"/>
  <c r="J23" i="82" s="1"/>
  <c r="J22" i="82"/>
  <c r="C64" i="82"/>
  <c r="C61" i="82"/>
  <c r="C59" i="82" s="1"/>
  <c r="C75" i="82"/>
  <c r="Q70" i="82"/>
  <c r="C37" i="82"/>
  <c r="C30" i="82" s="1"/>
  <c r="C39" i="82" s="1"/>
  <c r="C56" i="82"/>
  <c r="C65" i="82" s="1"/>
  <c r="C80" i="81"/>
  <c r="C79" i="81" s="1"/>
  <c r="J16" i="81"/>
  <c r="J25" i="81" s="1"/>
  <c r="C56" i="11"/>
  <c r="C57" i="11" s="1"/>
  <c r="C58" i="81"/>
  <c r="C67" i="81" s="1"/>
  <c r="C68" i="81" s="1"/>
  <c r="C71" i="81" s="1"/>
  <c r="C31" i="15"/>
  <c r="Q67" i="81"/>
  <c r="J22" i="15"/>
  <c r="J13" i="15"/>
  <c r="J23" i="15" s="1"/>
  <c r="C64" i="15"/>
  <c r="C61" i="15"/>
  <c r="C59" i="15" s="1"/>
  <c r="B56" i="39"/>
  <c r="F56" i="39" s="1"/>
  <c r="B65" i="39"/>
  <c r="F65" i="39" s="1"/>
  <c r="C6" i="80" s="1"/>
  <c r="C7" i="80" s="1"/>
  <c r="C5" i="80" s="1"/>
  <c r="B60" i="39"/>
  <c r="F60" i="39" s="1"/>
  <c r="B64" i="39"/>
  <c r="F64" i="39" s="1"/>
  <c r="B61" i="39"/>
  <c r="F61" i="39" s="1"/>
  <c r="B59" i="39"/>
  <c r="F59" i="39" s="1"/>
  <c r="B63" i="39"/>
  <c r="F63" i="39" s="1"/>
  <c r="B58" i="39"/>
  <c r="F58" i="39" s="1"/>
  <c r="B57" i="39"/>
  <c r="F57" i="39" s="1"/>
  <c r="C6" i="79" s="1"/>
  <c r="C7" i="79" s="1"/>
  <c r="C5" i="79" s="1"/>
  <c r="B62" i="39"/>
  <c r="F62" i="39" s="1"/>
  <c r="Q70" i="15"/>
  <c r="C37" i="15"/>
  <c r="C75" i="15"/>
  <c r="C56" i="15"/>
  <c r="C65" i="15" s="1"/>
  <c r="L46" i="15"/>
  <c r="Q48" i="15"/>
  <c r="C20" i="69"/>
  <c r="C28" i="69" s="1"/>
  <c r="C27" i="69" s="1"/>
  <c r="C23" i="69"/>
  <c r="C40" i="81"/>
  <c r="Q69" i="81"/>
  <c r="Q68" i="81" s="1"/>
  <c r="L51" i="67"/>
  <c r="L51" i="82"/>
  <c r="J16" i="67" l="1"/>
  <c r="J25" i="67" s="1"/>
  <c r="C58" i="67"/>
  <c r="C67" i="67" s="1"/>
  <c r="C68" i="67" s="1"/>
  <c r="C71" i="67" s="1"/>
  <c r="L57" i="67"/>
  <c r="L60" i="67" s="1"/>
  <c r="Q67" i="67"/>
  <c r="C40" i="67"/>
  <c r="Q69" i="67"/>
  <c r="Q68" i="67" s="1"/>
  <c r="C80" i="67"/>
  <c r="C79" i="67" s="1"/>
  <c r="C30" i="15"/>
  <c r="C39" i="15" s="1"/>
  <c r="C80" i="15" s="1"/>
  <c r="C79" i="15" s="1"/>
  <c r="Q67" i="82"/>
  <c r="C58" i="82"/>
  <c r="C67" i="82" s="1"/>
  <c r="C68" i="82" s="1"/>
  <c r="J16" i="82"/>
  <c r="J25" i="82" s="1"/>
  <c r="C40" i="82"/>
  <c r="Q69" i="82"/>
  <c r="Q68" i="82" s="1"/>
  <c r="C80" i="82"/>
  <c r="C79" i="82" s="1"/>
  <c r="C20" i="80"/>
  <c r="C25" i="80" s="1"/>
  <c r="C23" i="80"/>
  <c r="C25" i="69"/>
  <c r="C22" i="69" s="1"/>
  <c r="C31" i="69" s="1"/>
  <c r="C52" i="69" s="1"/>
  <c r="C20" i="79"/>
  <c r="C25" i="79" s="1"/>
  <c r="C23" i="79"/>
  <c r="F66" i="39"/>
  <c r="B2" i="39" s="1"/>
  <c r="B3" i="39" s="1"/>
  <c r="C6" i="68"/>
  <c r="C7" i="68" s="1"/>
  <c r="C5" i="68" s="1"/>
  <c r="J16" i="15"/>
  <c r="J25" i="15" s="1"/>
  <c r="C43" i="81"/>
  <c r="C83" i="81"/>
  <c r="C82" i="81" s="1"/>
  <c r="Q47" i="81"/>
  <c r="Q53" i="81" s="1"/>
  <c r="C46" i="81"/>
  <c r="B2" i="81"/>
  <c r="Q56" i="81"/>
  <c r="Q62" i="81" s="1"/>
  <c r="Q65" i="81"/>
  <c r="Q75" i="81" s="1"/>
  <c r="C58" i="15"/>
  <c r="C67" i="15" s="1"/>
  <c r="C68" i="15" s="1"/>
  <c r="L51" i="15"/>
  <c r="D19" i="83"/>
  <c r="AO7" i="1"/>
  <c r="C45" i="67" l="1"/>
  <c r="C46" i="67" s="1"/>
  <c r="C40" i="15"/>
  <c r="C43" i="15" s="1"/>
  <c r="Q47" i="67"/>
  <c r="Q53" i="67" s="1"/>
  <c r="Q56" i="67"/>
  <c r="Q65" i="67"/>
  <c r="C43" i="67"/>
  <c r="C83" i="67"/>
  <c r="C82" i="67" s="1"/>
  <c r="L46" i="67"/>
  <c r="D2" i="67" s="1"/>
  <c r="Q57" i="67"/>
  <c r="Q66" i="67"/>
  <c r="C28" i="80"/>
  <c r="C27" i="80" s="1"/>
  <c r="Q69" i="15"/>
  <c r="Q68" i="15" s="1"/>
  <c r="Q67" i="15"/>
  <c r="Q65" i="82"/>
  <c r="Q75" i="82" s="1"/>
  <c r="B2" i="82"/>
  <c r="C43" i="82"/>
  <c r="Q56" i="82"/>
  <c r="Q62" i="82" s="1"/>
  <c r="Q47" i="82"/>
  <c r="Q53" i="82" s="1"/>
  <c r="C83" i="82"/>
  <c r="C82" i="82" s="1"/>
  <c r="C71" i="82"/>
  <c r="C46" i="82"/>
  <c r="D102" i="83"/>
  <c r="D21" i="83"/>
  <c r="B7" i="70"/>
  <c r="C57" i="69"/>
  <c r="C56" i="69" s="1"/>
  <c r="B2" i="69"/>
  <c r="B3" i="69" s="1"/>
  <c r="B3" i="81"/>
  <c r="C83" i="15"/>
  <c r="C82" i="15" s="1"/>
  <c r="C71" i="15"/>
  <c r="C22" i="79"/>
  <c r="C22" i="80"/>
  <c r="C31" i="80" s="1"/>
  <c r="C52" i="80" s="1"/>
  <c r="C20" i="68"/>
  <c r="C28" i="68" s="1"/>
  <c r="C27" i="68" s="1"/>
  <c r="C23" i="68"/>
  <c r="C28" i="79"/>
  <c r="C27" i="79" s="1"/>
  <c r="AO9" i="1"/>
  <c r="D20" i="83"/>
  <c r="AO8" i="1"/>
  <c r="Q47" i="15" l="1"/>
  <c r="Q53" i="15" s="1"/>
  <c r="B2" i="15"/>
  <c r="C46" i="15"/>
  <c r="Q65" i="15"/>
  <c r="Q75" i="15" s="1"/>
  <c r="Q56" i="15"/>
  <c r="Q62" i="15" s="1"/>
  <c r="Q62" i="67"/>
  <c r="B3" i="67"/>
  <c r="B2" i="67"/>
  <c r="Q75" i="67"/>
  <c r="B9" i="70"/>
  <c r="B8" i="70"/>
  <c r="B3" i="82"/>
  <c r="B6" i="70"/>
  <c r="D103" i="83"/>
  <c r="B2" i="80"/>
  <c r="C57" i="80"/>
  <c r="C56" i="80" s="1"/>
  <c r="C25" i="68"/>
  <c r="C22" i="68" s="1"/>
  <c r="C31" i="68" s="1"/>
  <c r="C52" i="68" s="1"/>
  <c r="C31" i="79"/>
  <c r="C52" i="79" s="1"/>
  <c r="D19" i="84"/>
  <c r="AO6" i="1"/>
  <c r="D19" i="9"/>
  <c r="C19" i="84"/>
  <c r="B3" i="80"/>
  <c r="C20" i="84" s="1"/>
  <c r="D34" i="84"/>
  <c r="D35" i="84"/>
  <c r="D21" i="9" l="1"/>
  <c r="D102" i="9"/>
  <c r="B3" i="15"/>
  <c r="B2" i="70"/>
  <c r="B3" i="70" s="1"/>
  <c r="D102" i="84"/>
  <c r="D21" i="84"/>
  <c r="C103" i="84"/>
  <c r="C21" i="84"/>
  <c r="D22" i="84"/>
  <c r="C102" i="84"/>
  <c r="G19" i="84"/>
  <c r="N35" i="77" s="1"/>
  <c r="B2" i="68"/>
  <c r="C57" i="68"/>
  <c r="C56" i="68" s="1"/>
  <c r="C57" i="79"/>
  <c r="C56" i="79" s="1"/>
  <c r="B2" i="79"/>
  <c r="D20" i="9"/>
  <c r="D20" i="84"/>
  <c r="B3" i="68"/>
  <c r="D35" i="9"/>
  <c r="C19" i="9"/>
  <c r="B3" i="79"/>
  <c r="D34" i="83"/>
  <c r="C19" i="83"/>
  <c r="C20" i="9"/>
  <c r="D35" i="83"/>
  <c r="C20" i="83"/>
  <c r="D103" i="9" l="1"/>
  <c r="D103" i="84"/>
  <c r="G20" i="84"/>
  <c r="G20" i="83"/>
  <c r="C103" i="83"/>
  <c r="C103" i="9"/>
  <c r="G20" i="9"/>
  <c r="E3" i="77" s="1"/>
  <c r="E536" i="77" s="1"/>
  <c r="C21" i="83"/>
  <c r="D22" i="83"/>
  <c r="C102" i="83"/>
  <c r="G19" i="83"/>
  <c r="M35" i="77" s="1"/>
  <c r="C102" i="9"/>
  <c r="G19" i="9"/>
  <c r="L35" i="77" s="1"/>
  <c r="C21" i="9"/>
  <c r="D22" i="9"/>
  <c r="D16" i="74"/>
  <c r="C32" i="84"/>
  <c r="G21" i="84"/>
  <c r="D34" i="9"/>
  <c r="F536" i="77" l="1"/>
  <c r="E537" i="77"/>
  <c r="E419" i="77"/>
  <c r="E420" i="77" s="1"/>
  <c r="F420" i="77" s="1"/>
  <c r="E480" i="77"/>
  <c r="E301" i="77"/>
  <c r="E302" i="77" s="1"/>
  <c r="E374" i="77"/>
  <c r="E27" i="77"/>
  <c r="E443" i="77" s="1"/>
  <c r="E69" i="77"/>
  <c r="F3" i="77"/>
  <c r="E4" i="77"/>
  <c r="C35" i="84"/>
  <c r="F118" i="84" s="1"/>
  <c r="H118" i="84"/>
  <c r="C32" i="9"/>
  <c r="G21" i="9"/>
  <c r="G21" i="83"/>
  <c r="C32" i="83"/>
  <c r="D15" i="74"/>
  <c r="E16" i="74"/>
  <c r="F16" i="74"/>
  <c r="E28" i="77" l="1"/>
  <c r="F28" i="77" s="1"/>
  <c r="F301" i="77"/>
  <c r="E538" i="77"/>
  <c r="F537" i="77"/>
  <c r="F419" i="77"/>
  <c r="F480" i="77"/>
  <c r="E481" i="77"/>
  <c r="E444" i="77"/>
  <c r="F444" i="77" s="1"/>
  <c r="F443" i="77"/>
  <c r="E375" i="77"/>
  <c r="F374" i="77"/>
  <c r="E303" i="77"/>
  <c r="F302" i="77"/>
  <c r="F69" i="77"/>
  <c r="E70" i="77"/>
  <c r="F27" i="77"/>
  <c r="E29" i="77"/>
  <c r="E445" i="77" s="1"/>
  <c r="E5" i="77"/>
  <c r="E421" i="77" s="1"/>
  <c r="F4" i="77"/>
  <c r="C35" i="83"/>
  <c r="F118" i="83" s="1"/>
  <c r="H118" i="83"/>
  <c r="C34" i="84"/>
  <c r="D118" i="84" s="1"/>
  <c r="D119" i="84" s="1"/>
  <c r="E15" i="74"/>
  <c r="F15" i="74"/>
  <c r="H118" i="9"/>
  <c r="C35" i="9"/>
  <c r="F118" i="9" s="1"/>
  <c r="H101" i="84"/>
  <c r="C104" i="84"/>
  <c r="I118" i="84"/>
  <c r="H119" i="84"/>
  <c r="F119" i="84"/>
  <c r="G118" i="84"/>
  <c r="E671" i="77" l="1"/>
  <c r="F671" i="77" s="1"/>
  <c r="E770" i="77"/>
  <c r="E672" i="77"/>
  <c r="E116" i="77"/>
  <c r="E117" i="77" s="1"/>
  <c r="E584" i="77"/>
  <c r="E539" i="77"/>
  <c r="F538" i="77"/>
  <c r="C34" i="83"/>
  <c r="D118" i="83" s="1"/>
  <c r="D119" i="83" s="1"/>
  <c r="F481" i="77"/>
  <c r="E482" i="77"/>
  <c r="E422" i="77"/>
  <c r="F422" i="77" s="1"/>
  <c r="F421" i="77"/>
  <c r="E446" i="77"/>
  <c r="F446" i="77" s="1"/>
  <c r="F445" i="77"/>
  <c r="F375" i="77"/>
  <c r="E376" i="77"/>
  <c r="E304" i="77"/>
  <c r="F303" i="77"/>
  <c r="E71" i="77"/>
  <c r="F70" i="77"/>
  <c r="E30" i="77"/>
  <c r="F29" i="77"/>
  <c r="E6" i="77"/>
  <c r="F5" i="77"/>
  <c r="C34" i="9"/>
  <c r="D118" i="9" s="1"/>
  <c r="D119" i="9" s="1"/>
  <c r="D5" i="52" s="1"/>
  <c r="B49" i="72" s="1"/>
  <c r="E118" i="84"/>
  <c r="C105" i="84"/>
  <c r="H102" i="84"/>
  <c r="D45" i="84"/>
  <c r="H109" i="84"/>
  <c r="M48" i="84"/>
  <c r="G118" i="9"/>
  <c r="G4" i="52" s="1"/>
  <c r="B52" i="72" s="1"/>
  <c r="F4" i="52"/>
  <c r="B51" i="72" s="1"/>
  <c r="F119" i="9"/>
  <c r="F5" i="52" s="1"/>
  <c r="B53" i="72" s="1"/>
  <c r="H101" i="83"/>
  <c r="C104" i="83"/>
  <c r="H119" i="83"/>
  <c r="I118" i="83"/>
  <c r="D4" i="52"/>
  <c r="B47" i="72" s="1"/>
  <c r="I118" i="9"/>
  <c r="D14" i="74"/>
  <c r="H119" i="9"/>
  <c r="H5" i="52" s="1"/>
  <c r="H101" i="9"/>
  <c r="H4" i="52"/>
  <c r="C104" i="9"/>
  <c r="G118" i="83"/>
  <c r="F119" i="83"/>
  <c r="E771" i="77" l="1"/>
  <c r="F770" i="77"/>
  <c r="E668" i="77"/>
  <c r="F668" i="77" s="1"/>
  <c r="E767" i="77"/>
  <c r="E673" i="77"/>
  <c r="F672" i="77"/>
  <c r="E669" i="77"/>
  <c r="F669" i="77" s="1"/>
  <c r="F116" i="77"/>
  <c r="E585" i="77"/>
  <c r="F584" i="77"/>
  <c r="E98" i="77"/>
  <c r="F98" i="77" s="1"/>
  <c r="E581" i="77"/>
  <c r="E540" i="77"/>
  <c r="F539" i="77"/>
  <c r="F482" i="77"/>
  <c r="E483" i="77"/>
  <c r="F376" i="77"/>
  <c r="E377" i="77"/>
  <c r="E305" i="77"/>
  <c r="F304" i="77"/>
  <c r="E118" i="77"/>
  <c r="F117" i="77"/>
  <c r="E99" i="77"/>
  <c r="E72" i="77"/>
  <c r="F71" i="77"/>
  <c r="E31" i="77"/>
  <c r="E447" i="77" s="1"/>
  <c r="F30" i="77"/>
  <c r="E7" i="77"/>
  <c r="E423" i="77" s="1"/>
  <c r="F6" i="77"/>
  <c r="H102" i="83"/>
  <c r="E118" i="83"/>
  <c r="C105" i="83"/>
  <c r="I4" i="52"/>
  <c r="E118" i="9"/>
  <c r="E4" i="52" s="1"/>
  <c r="B48" i="72" s="1"/>
  <c r="C105" i="9"/>
  <c r="H102" i="9"/>
  <c r="D7" i="53" s="1"/>
  <c r="B21" i="72" s="1"/>
  <c r="H109" i="83"/>
  <c r="D45" i="83"/>
  <c r="M48" i="83"/>
  <c r="C93" i="84"/>
  <c r="C86" i="84" s="1"/>
  <c r="D53" i="84"/>
  <c r="C64" i="84"/>
  <c r="C63" i="84" s="1"/>
  <c r="C67" i="84" s="1"/>
  <c r="C68" i="84" s="1"/>
  <c r="D54" i="84" s="1"/>
  <c r="D55" i="84"/>
  <c r="M53" i="84" s="1"/>
  <c r="C72" i="84"/>
  <c r="C78" i="84"/>
  <c r="C73" i="84" s="1"/>
  <c r="C85" i="84"/>
  <c r="C95" i="84" s="1"/>
  <c r="D52" i="84"/>
  <c r="M48" i="9"/>
  <c r="D5" i="53"/>
  <c r="D45" i="9"/>
  <c r="H109" i="9"/>
  <c r="E14" i="74"/>
  <c r="F14" i="74"/>
  <c r="B5" i="74"/>
  <c r="D124" i="84"/>
  <c r="D125" i="84" s="1"/>
  <c r="M49" i="84"/>
  <c r="H110" i="84"/>
  <c r="E772" i="77" l="1"/>
  <c r="F771" i="77"/>
  <c r="F767" i="77"/>
  <c r="E674" i="77"/>
  <c r="F673" i="77"/>
  <c r="F670" i="77"/>
  <c r="E586" i="77"/>
  <c r="F585" i="77"/>
  <c r="E582" i="77"/>
  <c r="F582" i="77" s="1"/>
  <c r="F581" i="77"/>
  <c r="E541" i="77"/>
  <c r="F540" i="77"/>
  <c r="E484" i="77"/>
  <c r="F483" i="77"/>
  <c r="F423" i="77"/>
  <c r="E424" i="77"/>
  <c r="F424" i="77" s="1"/>
  <c r="E448" i="77"/>
  <c r="F448" i="77" s="1"/>
  <c r="F447" i="77"/>
  <c r="F377" i="77"/>
  <c r="E378" i="77"/>
  <c r="E306" i="77"/>
  <c r="F305" i="77"/>
  <c r="E119" i="77"/>
  <c r="F118" i="77"/>
  <c r="F99" i="77"/>
  <c r="E100" i="77"/>
  <c r="E73" i="77"/>
  <c r="F72" i="77"/>
  <c r="E32" i="77"/>
  <c r="F31" i="77"/>
  <c r="E8" i="77"/>
  <c r="F7" i="77"/>
  <c r="C79" i="84"/>
  <c r="L65" i="84"/>
  <c r="M65" i="84" s="1"/>
  <c r="L64" i="84"/>
  <c r="M64" i="84" s="1"/>
  <c r="L68" i="84"/>
  <c r="M68" i="84" s="1"/>
  <c r="L63" i="84"/>
  <c r="M63" i="84" s="1"/>
  <c r="L67" i="84"/>
  <c r="M67" i="84" s="1"/>
  <c r="L66" i="84"/>
  <c r="M66" i="84" s="1"/>
  <c r="C5" i="74"/>
  <c r="D5" i="74"/>
  <c r="C85" i="9"/>
  <c r="C72" i="9"/>
  <c r="D53" i="9"/>
  <c r="C78" i="9"/>
  <c r="C73" i="9" s="1"/>
  <c r="C93" i="9"/>
  <c r="C86" i="9" s="1"/>
  <c r="C64" i="9"/>
  <c r="C63" i="9" s="1"/>
  <c r="C67" i="9" s="1"/>
  <c r="C68" i="9" s="1"/>
  <c r="D54" i="9" s="1"/>
  <c r="D52" i="9"/>
  <c r="D55" i="9"/>
  <c r="M53" i="9" s="1"/>
  <c r="C96" i="84"/>
  <c r="E96" i="84" s="1"/>
  <c r="E97" i="84" s="1"/>
  <c r="D124" i="9"/>
  <c r="H110" i="9"/>
  <c r="D18" i="53" s="1"/>
  <c r="B35" i="72" s="1"/>
  <c r="D16" i="53"/>
  <c r="M49" i="9"/>
  <c r="B20" i="72"/>
  <c r="D6" i="53"/>
  <c r="B22" i="72" s="1"/>
  <c r="M49" i="83"/>
  <c r="D124" i="83"/>
  <c r="D125" i="83" s="1"/>
  <c r="H110" i="83"/>
  <c r="C72" i="83"/>
  <c r="C93" i="83"/>
  <c r="C86" i="83" s="1"/>
  <c r="C78" i="83"/>
  <c r="C73" i="83" s="1"/>
  <c r="D55" i="83"/>
  <c r="M53" i="83" s="1"/>
  <c r="D52" i="83"/>
  <c r="C85" i="83"/>
  <c r="D53" i="83"/>
  <c r="C64" i="83"/>
  <c r="C63" i="83" s="1"/>
  <c r="C67" i="83" s="1"/>
  <c r="C68" i="83" s="1"/>
  <c r="D54" i="83" s="1"/>
  <c r="C95" i="83" l="1"/>
  <c r="E773" i="77"/>
  <c r="F772" i="77"/>
  <c r="E675" i="77"/>
  <c r="F674" i="77"/>
  <c r="E587" i="77"/>
  <c r="F586" i="77"/>
  <c r="F583" i="77"/>
  <c r="E542" i="77"/>
  <c r="F541" i="77"/>
  <c r="F484" i="77"/>
  <c r="E485" i="77"/>
  <c r="F378" i="77"/>
  <c r="E379" i="77"/>
  <c r="E307" i="77"/>
  <c r="F306" i="77"/>
  <c r="E120" i="77"/>
  <c r="F119" i="77"/>
  <c r="E101" i="77"/>
  <c r="F100" i="77"/>
  <c r="E74" i="77"/>
  <c r="F73" i="77"/>
  <c r="E33" i="77"/>
  <c r="E449" i="77" s="1"/>
  <c r="F32" i="77"/>
  <c r="E9" i="77"/>
  <c r="E425" i="77" s="1"/>
  <c r="F8" i="77"/>
  <c r="C80" i="84"/>
  <c r="E80" i="84" s="1"/>
  <c r="E81" i="84" s="1"/>
  <c r="C79" i="83"/>
  <c r="L68" i="9"/>
  <c r="M68" i="9" s="1"/>
  <c r="L63" i="9"/>
  <c r="M63" i="9" s="1"/>
  <c r="L67" i="9"/>
  <c r="M67" i="9" s="1"/>
  <c r="L64" i="9"/>
  <c r="M64" i="9" s="1"/>
  <c r="L66" i="9"/>
  <c r="M66" i="9" s="1"/>
  <c r="L65" i="9"/>
  <c r="M65" i="9" s="1"/>
  <c r="C96" i="83"/>
  <c r="E96" i="83" s="1"/>
  <c r="E97" i="83" s="1"/>
  <c r="L67" i="83"/>
  <c r="M67" i="83" s="1"/>
  <c r="L65" i="83"/>
  <c r="M65" i="83" s="1"/>
  <c r="L64" i="83"/>
  <c r="M64" i="83" s="1"/>
  <c r="L68" i="83"/>
  <c r="M68" i="83" s="1"/>
  <c r="L63" i="83"/>
  <c r="M63" i="83" s="1"/>
  <c r="L66" i="83"/>
  <c r="M66" i="83" s="1"/>
  <c r="B34" i="72"/>
  <c r="D17" i="53"/>
  <c r="B36" i="72" s="1"/>
  <c r="H14" i="74"/>
  <c r="B7" i="74" s="1"/>
  <c r="D125" i="9"/>
  <c r="D11" i="52" s="1"/>
  <c r="D10" i="52"/>
  <c r="C97" i="84"/>
  <c r="D58" i="84" s="1"/>
  <c r="D56" i="84" s="1"/>
  <c r="M54" i="84" s="1"/>
  <c r="N57" i="84" s="1"/>
  <c r="C79" i="9"/>
  <c r="M69" i="84"/>
  <c r="N69" i="84" s="1"/>
  <c r="C95" i="9"/>
  <c r="E774" i="77" l="1"/>
  <c r="F773" i="77"/>
  <c r="E676" i="77"/>
  <c r="F675" i="77"/>
  <c r="E588" i="77"/>
  <c r="F587" i="77"/>
  <c r="E543" i="77"/>
  <c r="F542" i="77"/>
  <c r="E486" i="77"/>
  <c r="F485" i="77"/>
  <c r="E426" i="77"/>
  <c r="F426" i="77" s="1"/>
  <c r="F425" i="77"/>
  <c r="E450" i="77"/>
  <c r="F450" i="77" s="1"/>
  <c r="F449" i="77"/>
  <c r="F379" i="77"/>
  <c r="E380" i="77"/>
  <c r="E308" i="77"/>
  <c r="F307" i="77"/>
  <c r="E121" i="77"/>
  <c r="F120" i="77"/>
  <c r="E102" i="77"/>
  <c r="F101" i="77"/>
  <c r="E75" i="77"/>
  <c r="F74" i="77"/>
  <c r="E34" i="77"/>
  <c r="F33" i="77"/>
  <c r="E10" i="77"/>
  <c r="F9" i="77"/>
  <c r="C81" i="84"/>
  <c r="C97" i="83"/>
  <c r="D58" i="83" s="1"/>
  <c r="D56" i="83" s="1"/>
  <c r="M54" i="83" s="1"/>
  <c r="N57" i="83" s="1"/>
  <c r="N59" i="83" s="1"/>
  <c r="N60" i="83" s="1"/>
  <c r="N58" i="84"/>
  <c r="P57" i="84"/>
  <c r="N59" i="84"/>
  <c r="M69" i="83"/>
  <c r="N69" i="83" s="1"/>
  <c r="C96" i="9"/>
  <c r="E96" i="9" s="1"/>
  <c r="E97" i="9" s="1"/>
  <c r="C80" i="9"/>
  <c r="E80" i="9" s="1"/>
  <c r="E81" i="9" s="1"/>
  <c r="C7" i="74"/>
  <c r="D7" i="74"/>
  <c r="M69" i="9"/>
  <c r="N69" i="9" s="1"/>
  <c r="C80" i="83"/>
  <c r="E80" i="83" s="1"/>
  <c r="E81" i="83" s="1"/>
  <c r="E775" i="77" l="1"/>
  <c r="F774" i="77"/>
  <c r="E677" i="77"/>
  <c r="F676" i="77"/>
  <c r="E589" i="77"/>
  <c r="F588" i="77"/>
  <c r="F768" i="77" s="1"/>
  <c r="E544" i="77"/>
  <c r="F543" i="77"/>
  <c r="F486" i="77"/>
  <c r="E487" i="77"/>
  <c r="F380" i="77"/>
  <c r="E381" i="77"/>
  <c r="E309" i="77"/>
  <c r="F308" i="77"/>
  <c r="E122" i="77"/>
  <c r="F121" i="77"/>
  <c r="E103" i="77"/>
  <c r="F102" i="77"/>
  <c r="F578" i="77" s="1"/>
  <c r="E578" i="77" s="1"/>
  <c r="E76" i="77"/>
  <c r="F75" i="77"/>
  <c r="E35" i="77"/>
  <c r="E451" i="77" s="1"/>
  <c r="F34" i="77"/>
  <c r="E11" i="77"/>
  <c r="E427" i="77" s="1"/>
  <c r="F10" i="77"/>
  <c r="P57" i="83"/>
  <c r="N58" i="83"/>
  <c r="N61" i="83"/>
  <c r="C81" i="83"/>
  <c r="N61" i="84"/>
  <c r="N60" i="84"/>
  <c r="C81" i="9"/>
  <c r="C97" i="9"/>
  <c r="D58" i="9" s="1"/>
  <c r="D56" i="9" s="1"/>
  <c r="M54" i="9" s="1"/>
  <c r="N57" i="9" s="1"/>
  <c r="E768" i="77" l="1"/>
  <c r="F769" i="77"/>
  <c r="F821" i="77" s="1"/>
  <c r="E821" i="77" s="1"/>
  <c r="E776" i="77"/>
  <c r="F775" i="77"/>
  <c r="E678" i="77"/>
  <c r="F677" i="77"/>
  <c r="E590" i="77"/>
  <c r="F589" i="77"/>
  <c r="E545" i="77"/>
  <c r="F544" i="77"/>
  <c r="E488" i="77"/>
  <c r="F487" i="77"/>
  <c r="E428" i="77"/>
  <c r="F428" i="77" s="1"/>
  <c r="F427" i="77"/>
  <c r="F451" i="77"/>
  <c r="E452" i="77"/>
  <c r="F452" i="77" s="1"/>
  <c r="F381" i="77"/>
  <c r="E382" i="77"/>
  <c r="E310" i="77"/>
  <c r="F309" i="77"/>
  <c r="E123" i="77"/>
  <c r="F122" i="77"/>
  <c r="E104" i="77"/>
  <c r="F103" i="77"/>
  <c r="E77" i="77"/>
  <c r="F76" i="77"/>
  <c r="E36" i="77"/>
  <c r="F35" i="77"/>
  <c r="E12" i="77"/>
  <c r="F11" i="77"/>
  <c r="N58" i="9"/>
  <c r="P57" i="9"/>
  <c r="N59" i="9"/>
  <c r="E777" i="77" l="1"/>
  <c r="F776" i="77"/>
  <c r="E679" i="77"/>
  <c r="F678" i="77"/>
  <c r="E591" i="77"/>
  <c r="F590" i="77"/>
  <c r="E546" i="77"/>
  <c r="F545" i="77"/>
  <c r="F488" i="77"/>
  <c r="E489" i="77"/>
  <c r="F382" i="77"/>
  <c r="E383" i="77"/>
  <c r="E311" i="77"/>
  <c r="F310" i="77"/>
  <c r="E124" i="77"/>
  <c r="F123" i="77"/>
  <c r="E105" i="77"/>
  <c r="F104" i="77"/>
  <c r="E78" i="77"/>
  <c r="F77" i="77"/>
  <c r="E37" i="77"/>
  <c r="E453" i="77" s="1"/>
  <c r="F36" i="77"/>
  <c r="E13" i="77"/>
  <c r="E429" i="77" s="1"/>
  <c r="F12" i="77"/>
  <c r="N61" i="9"/>
  <c r="N60" i="9"/>
  <c r="E778" i="77" l="1"/>
  <c r="F777" i="77"/>
  <c r="E680" i="77"/>
  <c r="F679" i="77"/>
  <c r="E592" i="77"/>
  <c r="F591" i="77"/>
  <c r="E547" i="77"/>
  <c r="F546" i="77"/>
  <c r="E490" i="77"/>
  <c r="F489" i="77"/>
  <c r="E430" i="77"/>
  <c r="F430" i="77" s="1"/>
  <c r="F429" i="77"/>
  <c r="E454" i="77"/>
  <c r="F454" i="77" s="1"/>
  <c r="F453" i="77"/>
  <c r="F383" i="77"/>
  <c r="E384" i="77"/>
  <c r="E312" i="77"/>
  <c r="F311" i="77"/>
  <c r="E125" i="77"/>
  <c r="F124" i="77"/>
  <c r="E106" i="77"/>
  <c r="F105" i="77"/>
  <c r="E79" i="77"/>
  <c r="F78" i="77"/>
  <c r="E38" i="77"/>
  <c r="F37" i="77"/>
  <c r="E14" i="77"/>
  <c r="F13" i="77"/>
  <c r="E779" i="77" l="1"/>
  <c r="F778" i="77"/>
  <c r="E681" i="77"/>
  <c r="F680" i="77"/>
  <c r="E593" i="77"/>
  <c r="F592" i="77"/>
  <c r="E548" i="77"/>
  <c r="F547" i="77"/>
  <c r="F490" i="77"/>
  <c r="E491" i="77"/>
  <c r="F384" i="77"/>
  <c r="E385" i="77"/>
  <c r="E313" i="77"/>
  <c r="F312" i="77"/>
  <c r="E126" i="77"/>
  <c r="F125" i="77"/>
  <c r="E107" i="77"/>
  <c r="F106" i="77"/>
  <c r="E80" i="77"/>
  <c r="F79" i="77"/>
  <c r="E39" i="77"/>
  <c r="E455" i="77" s="1"/>
  <c r="F38" i="77"/>
  <c r="E15" i="77"/>
  <c r="E431" i="77" s="1"/>
  <c r="F14" i="77"/>
  <c r="E780" i="77" l="1"/>
  <c r="F779" i="77"/>
  <c r="E682" i="77"/>
  <c r="F681" i="77"/>
  <c r="E594" i="77"/>
  <c r="F593" i="77"/>
  <c r="E549" i="77"/>
  <c r="F548" i="77"/>
  <c r="E492" i="77"/>
  <c r="F491" i="77"/>
  <c r="F431" i="77"/>
  <c r="E432" i="77"/>
  <c r="F432" i="77" s="1"/>
  <c r="F455" i="77"/>
  <c r="E456" i="77"/>
  <c r="F456" i="77" s="1"/>
  <c r="F385" i="77"/>
  <c r="E386" i="77"/>
  <c r="E314" i="77"/>
  <c r="F313" i="77"/>
  <c r="E127" i="77"/>
  <c r="F126" i="77"/>
  <c r="E108" i="77"/>
  <c r="F107" i="77"/>
  <c r="E81" i="77"/>
  <c r="F80" i="77"/>
  <c r="E40" i="77"/>
  <c r="F39" i="77"/>
  <c r="E16" i="77"/>
  <c r="F15" i="77"/>
  <c r="E781" i="77" l="1"/>
  <c r="F780" i="77"/>
  <c r="E683" i="77"/>
  <c r="F682" i="77"/>
  <c r="E595" i="77"/>
  <c r="F594" i="77"/>
  <c r="E550" i="77"/>
  <c r="F549" i="77"/>
  <c r="F492" i="77"/>
  <c r="E493" i="77"/>
  <c r="F386" i="77"/>
  <c r="E387" i="77"/>
  <c r="E315" i="77"/>
  <c r="F314" i="77"/>
  <c r="E128" i="77"/>
  <c r="F127" i="77"/>
  <c r="E109" i="77"/>
  <c r="F108" i="77"/>
  <c r="E82" i="77"/>
  <c r="F81" i="77"/>
  <c r="E41" i="77"/>
  <c r="E457" i="77" s="1"/>
  <c r="F40" i="77"/>
  <c r="E17" i="77"/>
  <c r="E433" i="77" s="1"/>
  <c r="F16" i="77"/>
  <c r="E782" i="77" l="1"/>
  <c r="F781" i="77"/>
  <c r="E684" i="77"/>
  <c r="F683" i="77"/>
  <c r="E596" i="77"/>
  <c r="F595" i="77"/>
  <c r="E551" i="77"/>
  <c r="F550" i="77"/>
  <c r="E494" i="77"/>
  <c r="F493" i="77"/>
  <c r="E434" i="77"/>
  <c r="F434" i="77" s="1"/>
  <c r="F433" i="77"/>
  <c r="F457" i="77"/>
  <c r="E458" i="77"/>
  <c r="F458" i="77" s="1"/>
  <c r="F387" i="77"/>
  <c r="E388" i="77"/>
  <c r="E316" i="77"/>
  <c r="F315" i="77"/>
  <c r="E129" i="77"/>
  <c r="F128" i="77"/>
  <c r="E110" i="77"/>
  <c r="F109" i="77"/>
  <c r="E83" i="77"/>
  <c r="F82" i="77"/>
  <c r="E42" i="77"/>
  <c r="F41" i="77"/>
  <c r="E18" i="77"/>
  <c r="F17" i="77"/>
  <c r="E783" i="77" l="1"/>
  <c r="F782" i="77"/>
  <c r="E685" i="77"/>
  <c r="F684" i="77"/>
  <c r="E597" i="77"/>
  <c r="F596" i="77"/>
  <c r="E552" i="77"/>
  <c r="F551" i="77"/>
  <c r="F494" i="77"/>
  <c r="E495" i="77"/>
  <c r="F388" i="77"/>
  <c r="E389" i="77"/>
  <c r="E317" i="77"/>
  <c r="F316" i="77"/>
  <c r="E130" i="77"/>
  <c r="F129" i="77"/>
  <c r="E111" i="77"/>
  <c r="F110" i="77"/>
  <c r="E84" i="77"/>
  <c r="F83" i="77"/>
  <c r="E43" i="77"/>
  <c r="E459" i="77" s="1"/>
  <c r="F42" i="77"/>
  <c r="E19" i="77"/>
  <c r="E435" i="77" s="1"/>
  <c r="F18" i="77"/>
  <c r="E784" i="77" l="1"/>
  <c r="F783" i="77"/>
  <c r="E686" i="77"/>
  <c r="F685" i="77"/>
  <c r="E598" i="77"/>
  <c r="F597" i="77"/>
  <c r="E553" i="77"/>
  <c r="F552" i="77"/>
  <c r="E496" i="77"/>
  <c r="F495" i="77"/>
  <c r="F435" i="77"/>
  <c r="E436" i="77"/>
  <c r="F436" i="77" s="1"/>
  <c r="E460" i="77"/>
  <c r="F460" i="77" s="1"/>
  <c r="F459" i="77"/>
  <c r="F389" i="77"/>
  <c r="E390" i="77"/>
  <c r="E318" i="77"/>
  <c r="F317" i="77"/>
  <c r="E131" i="77"/>
  <c r="F130" i="77"/>
  <c r="E112" i="77"/>
  <c r="F111" i="77"/>
  <c r="E85" i="77"/>
  <c r="F84" i="77"/>
  <c r="E44" i="77"/>
  <c r="F43" i="77"/>
  <c r="E20" i="77"/>
  <c r="F19" i="77"/>
  <c r="E785" i="77" l="1"/>
  <c r="F784" i="77"/>
  <c r="E687" i="77"/>
  <c r="F686" i="77"/>
  <c r="E599" i="77"/>
  <c r="F598" i="77"/>
  <c r="E554" i="77"/>
  <c r="F553" i="77"/>
  <c r="F496" i="77"/>
  <c r="E497" i="77"/>
  <c r="F390" i="77"/>
  <c r="E391" i="77"/>
  <c r="E319" i="77"/>
  <c r="F318" i="77"/>
  <c r="E132" i="77"/>
  <c r="F131" i="77"/>
  <c r="E113" i="77"/>
  <c r="F112" i="77"/>
  <c r="E86" i="77"/>
  <c r="F85" i="77"/>
  <c r="E45" i="77"/>
  <c r="E461" i="77" s="1"/>
  <c r="F44" i="77"/>
  <c r="E21" i="77"/>
  <c r="E437" i="77" s="1"/>
  <c r="F20" i="77"/>
  <c r="E786" i="77" l="1"/>
  <c r="F785" i="77"/>
  <c r="E688" i="77"/>
  <c r="F687" i="77"/>
  <c r="E600" i="77"/>
  <c r="F599" i="77"/>
  <c r="E555" i="77"/>
  <c r="F554" i="77"/>
  <c r="E498" i="77"/>
  <c r="F497" i="77"/>
  <c r="E438" i="77"/>
  <c r="F438" i="77" s="1"/>
  <c r="F437" i="77"/>
  <c r="F461" i="77"/>
  <c r="E462" i="77"/>
  <c r="F462" i="77" s="1"/>
  <c r="F391" i="77"/>
  <c r="E392" i="77"/>
  <c r="E320" i="77"/>
  <c r="F319" i="77"/>
  <c r="E133" i="77"/>
  <c r="F132" i="77"/>
  <c r="E114" i="77"/>
  <c r="F114" i="77" s="1"/>
  <c r="F113" i="77"/>
  <c r="E87" i="77"/>
  <c r="F86" i="77"/>
  <c r="E46" i="77"/>
  <c r="F45" i="77"/>
  <c r="E22" i="77"/>
  <c r="F21" i="77"/>
  <c r="E787" i="77" l="1"/>
  <c r="F786" i="77"/>
  <c r="E689" i="77"/>
  <c r="F688" i="77"/>
  <c r="E601" i="77"/>
  <c r="F600" i="77"/>
  <c r="E556" i="77"/>
  <c r="F555" i="77"/>
  <c r="F498" i="77"/>
  <c r="E499" i="77"/>
  <c r="F392" i="77"/>
  <c r="E393" i="77"/>
  <c r="E321" i="77"/>
  <c r="F320" i="77"/>
  <c r="E134" i="77"/>
  <c r="F133" i="77"/>
  <c r="F115" i="77"/>
  <c r="E88" i="77"/>
  <c r="F87" i="77"/>
  <c r="E47" i="77"/>
  <c r="E463" i="77" s="1"/>
  <c r="F46" i="77"/>
  <c r="E23" i="77"/>
  <c r="E439" i="77" s="1"/>
  <c r="F22" i="77"/>
  <c r="M25" i="77" l="1"/>
  <c r="E788" i="77"/>
  <c r="F787" i="77"/>
  <c r="E690" i="77"/>
  <c r="F689" i="77"/>
  <c r="E602" i="77"/>
  <c r="F601" i="77"/>
  <c r="E557" i="77"/>
  <c r="F556" i="77"/>
  <c r="E500" i="77"/>
  <c r="F499" i="77"/>
  <c r="E440" i="77"/>
  <c r="F440" i="77" s="1"/>
  <c r="F439" i="77"/>
  <c r="E464" i="77"/>
  <c r="F464" i="77" s="1"/>
  <c r="F463" i="77"/>
  <c r="F393" i="77"/>
  <c r="E394" i="77"/>
  <c r="E322" i="77"/>
  <c r="F321" i="77"/>
  <c r="E135" i="77"/>
  <c r="F134" i="77"/>
  <c r="E89" i="77"/>
  <c r="F88" i="77"/>
  <c r="E48" i="77"/>
  <c r="F47" i="77"/>
  <c r="E24" i="77"/>
  <c r="F23" i="77"/>
  <c r="E789" i="77" l="1"/>
  <c r="F788" i="77"/>
  <c r="E691" i="77"/>
  <c r="F690" i="77"/>
  <c r="E603" i="77"/>
  <c r="F602" i="77"/>
  <c r="E558" i="77"/>
  <c r="F557" i="77"/>
  <c r="F500" i="77"/>
  <c r="E501" i="77"/>
  <c r="F394" i="77"/>
  <c r="E395" i="77"/>
  <c r="E323" i="77"/>
  <c r="F322" i="77"/>
  <c r="E136" i="77"/>
  <c r="F135" i="77"/>
  <c r="E90" i="77"/>
  <c r="F89" i="77"/>
  <c r="E49" i="77"/>
  <c r="E465" i="77" s="1"/>
  <c r="F48" i="77"/>
  <c r="E25" i="77"/>
  <c r="E441" i="77" s="1"/>
  <c r="F24" i="77"/>
  <c r="E790" i="77" l="1"/>
  <c r="F789" i="77"/>
  <c r="E692" i="77"/>
  <c r="F691" i="77"/>
  <c r="E604" i="77"/>
  <c r="F603" i="77"/>
  <c r="E559" i="77"/>
  <c r="F558" i="77"/>
  <c r="E502" i="77"/>
  <c r="F501" i="77"/>
  <c r="E442" i="77"/>
  <c r="F442" i="77" s="1"/>
  <c r="F441" i="77"/>
  <c r="F465" i="77"/>
  <c r="E466" i="77"/>
  <c r="F466" i="77" s="1"/>
  <c r="F395" i="77"/>
  <c r="E396" i="77"/>
  <c r="E324" i="77"/>
  <c r="F323" i="77"/>
  <c r="E137" i="77"/>
  <c r="F136" i="77"/>
  <c r="E91" i="77"/>
  <c r="F90" i="77"/>
  <c r="F25" i="77"/>
  <c r="F26" i="77" s="1"/>
  <c r="E50" i="77"/>
  <c r="F49" i="77"/>
  <c r="E791" i="77" l="1"/>
  <c r="F790" i="77"/>
  <c r="E693" i="77"/>
  <c r="F692" i="77"/>
  <c r="E605" i="77"/>
  <c r="F604" i="77"/>
  <c r="E560" i="77"/>
  <c r="F559" i="77"/>
  <c r="F502" i="77"/>
  <c r="E503" i="77"/>
  <c r="E397" i="77"/>
  <c r="F396" i="77"/>
  <c r="E325" i="77"/>
  <c r="F324" i="77"/>
  <c r="E138" i="77"/>
  <c r="F137" i="77"/>
  <c r="E92" i="77"/>
  <c r="F91" i="77"/>
  <c r="E51" i="77"/>
  <c r="E467" i="77" s="1"/>
  <c r="F50" i="77"/>
  <c r="E792" i="77" l="1"/>
  <c r="F791" i="77"/>
  <c r="E694" i="77"/>
  <c r="F693" i="77"/>
  <c r="E606" i="77"/>
  <c r="F605" i="77"/>
  <c r="E561" i="77"/>
  <c r="F560" i="77"/>
  <c r="E504" i="77"/>
  <c r="F503" i="77"/>
  <c r="E468" i="77"/>
  <c r="F468" i="77" s="1"/>
  <c r="F467" i="77"/>
  <c r="F397" i="77"/>
  <c r="E398" i="77"/>
  <c r="E326" i="77"/>
  <c r="F325" i="77"/>
  <c r="E139" i="77"/>
  <c r="F138" i="77"/>
  <c r="E93" i="77"/>
  <c r="F92" i="77"/>
  <c r="E52" i="77"/>
  <c r="F51" i="77"/>
  <c r="E793" i="77" l="1"/>
  <c r="F792" i="77"/>
  <c r="E695" i="77"/>
  <c r="F694" i="77"/>
  <c r="E607" i="77"/>
  <c r="F606" i="77"/>
  <c r="E562" i="77"/>
  <c r="F561" i="77"/>
  <c r="F504" i="77"/>
  <c r="E505" i="77"/>
  <c r="F398" i="77"/>
  <c r="E399" i="77"/>
  <c r="E327" i="77"/>
  <c r="F326" i="77"/>
  <c r="E140" i="77"/>
  <c r="F139" i="77"/>
  <c r="E94" i="77"/>
  <c r="F93" i="77"/>
  <c r="E53" i="77"/>
  <c r="E469" i="77" s="1"/>
  <c r="F52" i="77"/>
  <c r="E794" i="77" l="1"/>
  <c r="F793" i="77"/>
  <c r="E696" i="77"/>
  <c r="F695" i="77"/>
  <c r="E608" i="77"/>
  <c r="F607" i="77"/>
  <c r="E563" i="77"/>
  <c r="F562" i="77"/>
  <c r="E506" i="77"/>
  <c r="F505" i="77"/>
  <c r="E470" i="77"/>
  <c r="F470" i="77" s="1"/>
  <c r="F469" i="77"/>
  <c r="F399" i="77"/>
  <c r="E400" i="77"/>
  <c r="E328" i="77"/>
  <c r="F327" i="77"/>
  <c r="E141" i="77"/>
  <c r="F140" i="77"/>
  <c r="E95" i="77"/>
  <c r="F94" i="77"/>
  <c r="E54" i="77"/>
  <c r="F53" i="77"/>
  <c r="E795" i="77" l="1"/>
  <c r="F794" i="77"/>
  <c r="E697" i="77"/>
  <c r="F696" i="77"/>
  <c r="E609" i="77"/>
  <c r="F608" i="77"/>
  <c r="E564" i="77"/>
  <c r="F563" i="77"/>
  <c r="F506" i="77"/>
  <c r="E507" i="77"/>
  <c r="F400" i="77"/>
  <c r="E401" i="77"/>
  <c r="E329" i="77"/>
  <c r="F328" i="77"/>
  <c r="E142" i="77"/>
  <c r="F141" i="77"/>
  <c r="E96" i="77"/>
  <c r="F96" i="77" s="1"/>
  <c r="F95" i="77"/>
  <c r="E55" i="77"/>
  <c r="E471" i="77" s="1"/>
  <c r="F54" i="77"/>
  <c r="E796" i="77" l="1"/>
  <c r="F795" i="77"/>
  <c r="E698" i="77"/>
  <c r="F697" i="77"/>
  <c r="E610" i="77"/>
  <c r="F609" i="77"/>
  <c r="E565" i="77"/>
  <c r="F564" i="77"/>
  <c r="E508" i="77"/>
  <c r="F507" i="77"/>
  <c r="E472" i="77"/>
  <c r="F472" i="77" s="1"/>
  <c r="F471" i="77"/>
  <c r="F401" i="77"/>
  <c r="E402" i="77"/>
  <c r="E330" i="77"/>
  <c r="F329" i="77"/>
  <c r="E143" i="77"/>
  <c r="F142" i="77"/>
  <c r="F97" i="77"/>
  <c r="E56" i="77"/>
  <c r="F55" i="77"/>
  <c r="E797" i="77" l="1"/>
  <c r="F796" i="77"/>
  <c r="E699" i="77"/>
  <c r="F698" i="77"/>
  <c r="E611" i="77"/>
  <c r="F610" i="77"/>
  <c r="E566" i="77"/>
  <c r="F565" i="77"/>
  <c r="F508" i="77"/>
  <c r="E509" i="77"/>
  <c r="F402" i="77"/>
  <c r="E403" i="77"/>
  <c r="E331" i="77"/>
  <c r="F330" i="77"/>
  <c r="E144" i="77"/>
  <c r="F143" i="77"/>
  <c r="E57" i="77"/>
  <c r="E473" i="77" s="1"/>
  <c r="F56" i="77"/>
  <c r="E798" i="77" l="1"/>
  <c r="F797" i="77"/>
  <c r="E700" i="77"/>
  <c r="F699" i="77"/>
  <c r="E612" i="77"/>
  <c r="F611" i="77"/>
  <c r="E567" i="77"/>
  <c r="F566" i="77"/>
  <c r="E510" i="77"/>
  <c r="F509" i="77"/>
  <c r="E474" i="77"/>
  <c r="F474" i="77" s="1"/>
  <c r="F473" i="77"/>
  <c r="F403" i="77"/>
  <c r="E404" i="77"/>
  <c r="E332" i="77"/>
  <c r="F331" i="77"/>
  <c r="E145" i="77"/>
  <c r="F144" i="77"/>
  <c r="E58" i="77"/>
  <c r="F57" i="77"/>
  <c r="E799" i="77" l="1"/>
  <c r="F798" i="77"/>
  <c r="E701" i="77"/>
  <c r="F700" i="77"/>
  <c r="E613" i="77"/>
  <c r="F612" i="77"/>
  <c r="E568" i="77"/>
  <c r="F567" i="77"/>
  <c r="F510" i="77"/>
  <c r="E511" i="77"/>
  <c r="F404" i="77"/>
  <c r="E405" i="77"/>
  <c r="E333" i="77"/>
  <c r="F332" i="77"/>
  <c r="E146" i="77"/>
  <c r="F145" i="77"/>
  <c r="E59" i="77"/>
  <c r="E475" i="77" s="1"/>
  <c r="F58" i="77"/>
  <c r="E800" i="77" l="1"/>
  <c r="F799" i="77"/>
  <c r="E702" i="77"/>
  <c r="F701" i="77"/>
  <c r="E614" i="77"/>
  <c r="F613" i="77"/>
  <c r="E569" i="77"/>
  <c r="F568" i="77"/>
  <c r="E512" i="77"/>
  <c r="F511" i="77"/>
  <c r="F475" i="77"/>
  <c r="E476" i="77"/>
  <c r="F476" i="77" s="1"/>
  <c r="F405" i="77"/>
  <c r="E406" i="77"/>
  <c r="E334" i="77"/>
  <c r="F333" i="77"/>
  <c r="E147" i="77"/>
  <c r="F146" i="77"/>
  <c r="E60" i="77"/>
  <c r="F59" i="77"/>
  <c r="E801" i="77" l="1"/>
  <c r="F800" i="77"/>
  <c r="E703" i="77"/>
  <c r="F702" i="77"/>
  <c r="E615" i="77"/>
  <c r="F614" i="77"/>
  <c r="E570" i="77"/>
  <c r="F569" i="77"/>
  <c r="F512" i="77"/>
  <c r="E513" i="77"/>
  <c r="F406" i="77"/>
  <c r="E407" i="77"/>
  <c r="E335" i="77"/>
  <c r="F334" i="77"/>
  <c r="E148" i="77"/>
  <c r="F147" i="77"/>
  <c r="E61" i="77"/>
  <c r="E477" i="77" s="1"/>
  <c r="F477" i="77" s="1"/>
  <c r="F478" i="77" s="1"/>
  <c r="F60" i="77"/>
  <c r="E802" i="77" l="1"/>
  <c r="F801" i="77"/>
  <c r="E704" i="77"/>
  <c r="F703" i="77"/>
  <c r="E616" i="77"/>
  <c r="F615" i="77"/>
  <c r="E571" i="77"/>
  <c r="F570" i="77"/>
  <c r="E514" i="77"/>
  <c r="F513" i="77"/>
  <c r="F407" i="77"/>
  <c r="E408" i="77"/>
  <c r="E336" i="77"/>
  <c r="F335" i="77"/>
  <c r="E149" i="77"/>
  <c r="F148" i="77"/>
  <c r="E62" i="77"/>
  <c r="F61" i="77"/>
  <c r="E803" i="77" l="1"/>
  <c r="F802" i="77"/>
  <c r="E705" i="77"/>
  <c r="F704" i="77"/>
  <c r="E617" i="77"/>
  <c r="F616" i="77"/>
  <c r="E572" i="77"/>
  <c r="F571" i="77"/>
  <c r="F514" i="77"/>
  <c r="E515" i="77"/>
  <c r="E409" i="77"/>
  <c r="F408" i="77"/>
  <c r="E337" i="77"/>
  <c r="F336" i="77"/>
  <c r="E150" i="77"/>
  <c r="F149" i="77"/>
  <c r="E63" i="77"/>
  <c r="F62" i="77"/>
  <c r="E804" i="77" l="1"/>
  <c r="F803" i="77"/>
  <c r="E706" i="77"/>
  <c r="F705" i="77"/>
  <c r="E618" i="77"/>
  <c r="F617" i="77"/>
  <c r="E573" i="77"/>
  <c r="F572" i="77"/>
  <c r="E516" i="77"/>
  <c r="F515" i="77"/>
  <c r="F409" i="77"/>
  <c r="E410" i="77"/>
  <c r="E338" i="77"/>
  <c r="F337" i="77"/>
  <c r="E151" i="77"/>
  <c r="F150" i="77"/>
  <c r="E64" i="77"/>
  <c r="F63" i="77"/>
  <c r="E805" i="77" l="1"/>
  <c r="F804" i="77"/>
  <c r="E707" i="77"/>
  <c r="F706" i="77"/>
  <c r="E619" i="77"/>
  <c r="F618" i="77"/>
  <c r="E574" i="77"/>
  <c r="F573" i="77"/>
  <c r="F516" i="77"/>
  <c r="E517" i="77"/>
  <c r="F410" i="77"/>
  <c r="E411" i="77"/>
  <c r="E339" i="77"/>
  <c r="F338" i="77"/>
  <c r="E152" i="77"/>
  <c r="F151" i="77"/>
  <c r="E65" i="77"/>
  <c r="F64" i="77"/>
  <c r="E806" i="77" l="1"/>
  <c r="F805" i="77"/>
  <c r="E708" i="77"/>
  <c r="F707" i="77"/>
  <c r="E620" i="77"/>
  <c r="F619" i="77"/>
  <c r="E575" i="77"/>
  <c r="F574" i="77"/>
  <c r="E518" i="77"/>
  <c r="F517" i="77"/>
  <c r="E412" i="77"/>
  <c r="F411" i="77"/>
  <c r="E340" i="77"/>
  <c r="F339" i="77"/>
  <c r="E153" i="77"/>
  <c r="F152" i="77"/>
  <c r="E66" i="77"/>
  <c r="F65" i="77"/>
  <c r="E807" i="77" l="1"/>
  <c r="F806" i="77"/>
  <c r="E709" i="77"/>
  <c r="F708" i="77"/>
  <c r="E621" i="77"/>
  <c r="F620" i="77"/>
  <c r="E576" i="77"/>
  <c r="F575" i="77"/>
  <c r="F518" i="77"/>
  <c r="E519" i="77"/>
  <c r="F412" i="77"/>
  <c r="E413" i="77"/>
  <c r="E341" i="77"/>
  <c r="F340" i="77"/>
  <c r="E154" i="77"/>
  <c r="F153" i="77"/>
  <c r="E67" i="77"/>
  <c r="F67" i="77" s="1"/>
  <c r="F66" i="77"/>
  <c r="E808" i="77" l="1"/>
  <c r="F807" i="77"/>
  <c r="E710" i="77"/>
  <c r="F709" i="77"/>
  <c r="E622" i="77"/>
  <c r="F621" i="77"/>
  <c r="E577" i="77"/>
  <c r="F576" i="77"/>
  <c r="E520" i="77"/>
  <c r="F519" i="77"/>
  <c r="E414" i="77"/>
  <c r="F413" i="77"/>
  <c r="E342" i="77"/>
  <c r="F341" i="77"/>
  <c r="E155" i="77"/>
  <c r="F154" i="77"/>
  <c r="F68" i="77"/>
  <c r="E809" i="77" l="1"/>
  <c r="F808" i="77"/>
  <c r="E711" i="77"/>
  <c r="F710" i="77"/>
  <c r="E623" i="77"/>
  <c r="F622" i="77"/>
  <c r="F577" i="77"/>
  <c r="F520" i="77"/>
  <c r="E521" i="77"/>
  <c r="F414" i="77"/>
  <c r="E415" i="77"/>
  <c r="F415" i="77" s="1"/>
  <c r="E343" i="77"/>
  <c r="F342" i="77"/>
  <c r="E156" i="77"/>
  <c r="F155" i="77"/>
  <c r="E810" i="77" l="1"/>
  <c r="F809" i="77"/>
  <c r="E712" i="77"/>
  <c r="F711" i="77"/>
  <c r="E624" i="77"/>
  <c r="F623" i="77"/>
  <c r="F579" i="77"/>
  <c r="E522" i="77"/>
  <c r="F521" i="77"/>
  <c r="F416" i="77"/>
  <c r="E344" i="77"/>
  <c r="F343" i="77"/>
  <c r="E157" i="77"/>
  <c r="F156" i="77"/>
  <c r="E811" i="77" l="1"/>
  <c r="F810" i="77"/>
  <c r="E713" i="77"/>
  <c r="F712" i="77"/>
  <c r="E625" i="77"/>
  <c r="F624" i="77"/>
  <c r="F522" i="77"/>
  <c r="E523" i="77"/>
  <c r="E345" i="77"/>
  <c r="F344" i="77"/>
  <c r="E158" i="77"/>
  <c r="F157" i="77"/>
  <c r="E812" i="77" l="1"/>
  <c r="F811" i="77"/>
  <c r="E714" i="77"/>
  <c r="F713" i="77"/>
  <c r="E626" i="77"/>
  <c r="F625" i="77"/>
  <c r="E524" i="77"/>
  <c r="F523" i="77"/>
  <c r="E346" i="77"/>
  <c r="F345" i="77"/>
  <c r="E159" i="77"/>
  <c r="F158" i="77"/>
  <c r="E813" i="77" l="1"/>
  <c r="F812" i="77"/>
  <c r="E715" i="77"/>
  <c r="F714" i="77"/>
  <c r="E627" i="77"/>
  <c r="F626" i="77"/>
  <c r="F524" i="77"/>
  <c r="E525" i="77"/>
  <c r="E347" i="77"/>
  <c r="F346" i="77"/>
  <c r="E160" i="77"/>
  <c r="F159" i="77"/>
  <c r="E814" i="77" l="1"/>
  <c r="F813" i="77"/>
  <c r="E716" i="77"/>
  <c r="F715" i="77"/>
  <c r="E628" i="77"/>
  <c r="F627" i="77"/>
  <c r="E526" i="77"/>
  <c r="F525" i="77"/>
  <c r="E348" i="77"/>
  <c r="F347" i="77"/>
  <c r="E161" i="77"/>
  <c r="F160" i="77"/>
  <c r="E815" i="77" l="1"/>
  <c r="F814" i="77"/>
  <c r="E717" i="77"/>
  <c r="F716" i="77"/>
  <c r="E629" i="77"/>
  <c r="F628" i="77"/>
  <c r="F526" i="77"/>
  <c r="E527" i="77"/>
  <c r="E349" i="77"/>
  <c r="F348" i="77"/>
  <c r="E162" i="77"/>
  <c r="F161" i="77"/>
  <c r="E816" i="77" l="1"/>
  <c r="F815" i="77"/>
  <c r="E718" i="77"/>
  <c r="F717" i="77"/>
  <c r="E630" i="77"/>
  <c r="F629" i="77"/>
  <c r="E528" i="77"/>
  <c r="F527" i="77"/>
  <c r="E350" i="77"/>
  <c r="F349" i="77"/>
  <c r="E163" i="77"/>
  <c r="F162" i="77"/>
  <c r="E817" i="77" l="1"/>
  <c r="F816" i="77"/>
  <c r="E719" i="77"/>
  <c r="F718" i="77"/>
  <c r="E631" i="77"/>
  <c r="F630" i="77"/>
  <c r="F528" i="77"/>
  <c r="E529" i="77"/>
  <c r="E351" i="77"/>
  <c r="F350" i="77"/>
  <c r="E164" i="77"/>
  <c r="F163" i="77"/>
  <c r="E818" i="77" l="1"/>
  <c r="F817" i="77"/>
  <c r="E720" i="77"/>
  <c r="F719" i="77"/>
  <c r="E632" i="77"/>
  <c r="F631" i="77"/>
  <c r="E530" i="77"/>
  <c r="F529" i="77"/>
  <c r="E352" i="77"/>
  <c r="F351" i="77"/>
  <c r="E165" i="77"/>
  <c r="F164" i="77"/>
  <c r="E819" i="77" l="1"/>
  <c r="F818" i="77"/>
  <c r="E721" i="77"/>
  <c r="F720" i="77"/>
  <c r="E633" i="77"/>
  <c r="F632" i="77"/>
  <c r="F530" i="77"/>
  <c r="E531" i="77"/>
  <c r="E353" i="77"/>
  <c r="F352" i="77"/>
  <c r="E166" i="77"/>
  <c r="F165" i="77"/>
  <c r="E820" i="77" l="1"/>
  <c r="F819" i="77"/>
  <c r="E722" i="77"/>
  <c r="F721" i="77"/>
  <c r="E634" i="77"/>
  <c r="F633" i="77"/>
  <c r="E532" i="77"/>
  <c r="F531" i="77"/>
  <c r="E354" i="77"/>
  <c r="F353" i="77"/>
  <c r="E167" i="77"/>
  <c r="F166" i="77"/>
  <c r="F820" i="77" l="1"/>
  <c r="F822" i="77" s="1"/>
  <c r="F823" i="77" s="1"/>
  <c r="E723" i="77"/>
  <c r="F722" i="77"/>
  <c r="E635" i="77"/>
  <c r="F634" i="77"/>
  <c r="F532" i="77"/>
  <c r="E533" i="77"/>
  <c r="F533" i="77" s="1"/>
  <c r="E355" i="77"/>
  <c r="F354" i="77"/>
  <c r="E168" i="77"/>
  <c r="F167" i="77"/>
  <c r="E724" i="77" l="1"/>
  <c r="F723" i="77"/>
  <c r="E636" i="77"/>
  <c r="F635" i="77"/>
  <c r="F534" i="77"/>
  <c r="E356" i="77"/>
  <c r="F355" i="77"/>
  <c r="E169" i="77"/>
  <c r="F168" i="77"/>
  <c r="E725" i="77" l="1"/>
  <c r="F724" i="77"/>
  <c r="E637" i="77"/>
  <c r="F636" i="77"/>
  <c r="E357" i="77"/>
  <c r="F356" i="77"/>
  <c r="E170" i="77"/>
  <c r="F169" i="77"/>
  <c r="E726" i="77" l="1"/>
  <c r="F725" i="77"/>
  <c r="E638" i="77"/>
  <c r="F637" i="77"/>
  <c r="E358" i="77"/>
  <c r="F357" i="77"/>
  <c r="E171" i="77"/>
  <c r="F170" i="77"/>
  <c r="E727" i="77" l="1"/>
  <c r="F726" i="77"/>
  <c r="E639" i="77"/>
  <c r="F638" i="77"/>
  <c r="E359" i="77"/>
  <c r="F358" i="77"/>
  <c r="E172" i="77"/>
  <c r="F171" i="77"/>
  <c r="E728" i="77" l="1"/>
  <c r="F727" i="77"/>
  <c r="E640" i="77"/>
  <c r="F639" i="77"/>
  <c r="E360" i="77"/>
  <c r="F359" i="77"/>
  <c r="E173" i="77"/>
  <c r="F172" i="77"/>
  <c r="E729" i="77" l="1"/>
  <c r="F728" i="77"/>
  <c r="E641" i="77"/>
  <c r="F640" i="77"/>
  <c r="E361" i="77"/>
  <c r="F360" i="77"/>
  <c r="E174" i="77"/>
  <c r="F173" i="77"/>
  <c r="E730" i="77" l="1"/>
  <c r="F729" i="77"/>
  <c r="E642" i="77"/>
  <c r="F641" i="77"/>
  <c r="E362" i="77"/>
  <c r="F361" i="77"/>
  <c r="E175" i="77"/>
  <c r="F174" i="77"/>
  <c r="E731" i="77" l="1"/>
  <c r="F730" i="77"/>
  <c r="E643" i="77"/>
  <c r="F642" i="77"/>
  <c r="E363" i="77"/>
  <c r="F362" i="77"/>
  <c r="E176" i="77"/>
  <c r="F175" i="77"/>
  <c r="E732" i="77" l="1"/>
  <c r="F731" i="77"/>
  <c r="E644" i="77"/>
  <c r="F643" i="77"/>
  <c r="E364" i="77"/>
  <c r="F363" i="77"/>
  <c r="E177" i="77"/>
  <c r="F176" i="77"/>
  <c r="E733" i="77" l="1"/>
  <c r="F732" i="77"/>
  <c r="E645" i="77"/>
  <c r="F644" i="77"/>
  <c r="E365" i="77"/>
  <c r="F364" i="77"/>
  <c r="E178" i="77"/>
  <c r="F177" i="77"/>
  <c r="E734" i="77" l="1"/>
  <c r="F733" i="77"/>
  <c r="E646" i="77"/>
  <c r="F645" i="77"/>
  <c r="E366" i="77"/>
  <c r="F365" i="77"/>
  <c r="E179" i="77"/>
  <c r="F178" i="77"/>
  <c r="E735" i="77" l="1"/>
  <c r="F734" i="77"/>
  <c r="E647" i="77"/>
  <c r="F646" i="77"/>
  <c r="E367" i="77"/>
  <c r="F366" i="77"/>
  <c r="E180" i="77"/>
  <c r="F179" i="77"/>
  <c r="E736" i="77" l="1"/>
  <c r="F735" i="77"/>
  <c r="E648" i="77"/>
  <c r="F647" i="77"/>
  <c r="E368" i="77"/>
  <c r="F367" i="77"/>
  <c r="E181" i="77"/>
  <c r="F180" i="77"/>
  <c r="E737" i="77" l="1"/>
  <c r="F736" i="77"/>
  <c r="E649" i="77"/>
  <c r="F648" i="77"/>
  <c r="E369" i="77"/>
  <c r="F368" i="77"/>
  <c r="E182" i="77"/>
  <c r="F181" i="77"/>
  <c r="E738" i="77" l="1"/>
  <c r="F737" i="77"/>
  <c r="E650" i="77"/>
  <c r="F649" i="77"/>
  <c r="E370" i="77"/>
  <c r="F369" i="77"/>
  <c r="E183" i="77"/>
  <c r="F182" i="77"/>
  <c r="E739" i="77" l="1"/>
  <c r="F738" i="77"/>
  <c r="E651" i="77"/>
  <c r="F650" i="77"/>
  <c r="E371" i="77"/>
  <c r="F370" i="77"/>
  <c r="E184" i="77"/>
  <c r="F183" i="77"/>
  <c r="E740" i="77" l="1"/>
  <c r="F739" i="77"/>
  <c r="E652" i="77"/>
  <c r="F651" i="77"/>
  <c r="E372" i="77"/>
  <c r="F372" i="77" s="1"/>
  <c r="F371" i="77"/>
  <c r="E185" i="77"/>
  <c r="F184" i="77"/>
  <c r="E741" i="77" l="1"/>
  <c r="F740" i="77"/>
  <c r="E653" i="77"/>
  <c r="F652" i="77"/>
  <c r="F373" i="77"/>
  <c r="L25" i="77" s="1"/>
  <c r="E186" i="77"/>
  <c r="F185" i="77"/>
  <c r="E742" i="77" l="1"/>
  <c r="F741" i="77"/>
  <c r="E654" i="77"/>
  <c r="F653" i="77"/>
  <c r="E187" i="77"/>
  <c r="F186" i="77"/>
  <c r="E743" i="77" l="1"/>
  <c r="F742" i="77"/>
  <c r="E655" i="77"/>
  <c r="F654" i="77"/>
  <c r="E188" i="77"/>
  <c r="F187" i="77"/>
  <c r="E744" i="77" l="1"/>
  <c r="F743" i="77"/>
  <c r="E656" i="77"/>
  <c r="F655" i="77"/>
  <c r="E189" i="77"/>
  <c r="F188" i="77"/>
  <c r="E745" i="77" l="1"/>
  <c r="F744" i="77"/>
  <c r="E657" i="77"/>
  <c r="F656" i="77"/>
  <c r="E190" i="77"/>
  <c r="F189" i="77"/>
  <c r="E746" i="77" l="1"/>
  <c r="F745" i="77"/>
  <c r="E658" i="77"/>
  <c r="F657" i="77"/>
  <c r="E191" i="77"/>
  <c r="F190" i="77"/>
  <c r="E747" i="77" l="1"/>
  <c r="F746" i="77"/>
  <c r="E659" i="77"/>
  <c r="F658" i="77"/>
  <c r="E192" i="77"/>
  <c r="F191" i="77"/>
  <c r="E748" i="77" l="1"/>
  <c r="F747" i="77"/>
  <c r="E660" i="77"/>
  <c r="F659" i="77"/>
  <c r="E193" i="77"/>
  <c r="F192" i="77"/>
  <c r="E749" i="77" l="1"/>
  <c r="F748" i="77"/>
  <c r="E661" i="77"/>
  <c r="F660" i="77"/>
  <c r="E194" i="77"/>
  <c r="F193" i="77"/>
  <c r="E750" i="77" l="1"/>
  <c r="F749" i="77"/>
  <c r="E662" i="77"/>
  <c r="F661" i="77"/>
  <c r="E195" i="77"/>
  <c r="F194" i="77"/>
  <c r="E751" i="77" l="1"/>
  <c r="F750" i="77"/>
  <c r="E663" i="77"/>
  <c r="F662" i="77"/>
  <c r="E196" i="77"/>
  <c r="F195" i="77"/>
  <c r="E752" i="77" l="1"/>
  <c r="F751" i="77"/>
  <c r="E664" i="77"/>
  <c r="F664" i="77" s="1"/>
  <c r="F663" i="77"/>
  <c r="E197" i="77"/>
  <c r="F196" i="77"/>
  <c r="F665" i="77" l="1"/>
  <c r="F666" i="77" s="1"/>
  <c r="E753" i="77"/>
  <c r="F752" i="77"/>
  <c r="E198" i="77"/>
  <c r="F197" i="77"/>
  <c r="E754" i="77" l="1"/>
  <c r="F753" i="77"/>
  <c r="E199" i="77"/>
  <c r="F198" i="77"/>
  <c r="E755" i="77" l="1"/>
  <c r="F754" i="77"/>
  <c r="E200" i="77"/>
  <c r="F199" i="77"/>
  <c r="E756" i="77" l="1"/>
  <c r="F755" i="77"/>
  <c r="E201" i="77"/>
  <c r="F200" i="77"/>
  <c r="E757" i="77" l="1"/>
  <c r="F756" i="77"/>
  <c r="E202" i="77"/>
  <c r="F201" i="77"/>
  <c r="E758" i="77" l="1"/>
  <c r="F757" i="77"/>
  <c r="E203" i="77"/>
  <c r="F202" i="77"/>
  <c r="E759" i="77" l="1"/>
  <c r="F758" i="77"/>
  <c r="E204" i="77"/>
  <c r="F203" i="77"/>
  <c r="E760" i="77" l="1"/>
  <c r="F759" i="77"/>
  <c r="E205" i="77"/>
  <c r="F204" i="77"/>
  <c r="E761" i="77" l="1"/>
  <c r="F760" i="77"/>
  <c r="E206" i="77"/>
  <c r="F205" i="77"/>
  <c r="E762" i="77" l="1"/>
  <c r="F761" i="77"/>
  <c r="E207" i="77"/>
  <c r="F206" i="77"/>
  <c r="E763" i="77" l="1"/>
  <c r="F763" i="77" s="1"/>
  <c r="F764" i="77" s="1"/>
  <c r="F765" i="77" s="1"/>
  <c r="F762" i="77"/>
  <c r="E208" i="77"/>
  <c r="F207" i="77"/>
  <c r="E209" i="77" l="1"/>
  <c r="F208" i="77"/>
  <c r="E210" i="77" l="1"/>
  <c r="F209" i="77"/>
  <c r="E211" i="77" l="1"/>
  <c r="F210" i="77"/>
  <c r="E212" i="77" l="1"/>
  <c r="F211" i="77"/>
  <c r="E213" i="77" l="1"/>
  <c r="F212" i="77"/>
  <c r="E214" i="77" l="1"/>
  <c r="F213" i="77"/>
  <c r="E215" i="77" l="1"/>
  <c r="F214" i="77"/>
  <c r="E216" i="77" l="1"/>
  <c r="F215" i="77"/>
  <c r="E217" i="77" l="1"/>
  <c r="F216" i="77"/>
  <c r="E218" i="77" l="1"/>
  <c r="F217" i="77"/>
  <c r="E219" i="77" l="1"/>
  <c r="F218" i="77"/>
  <c r="E220" i="77" l="1"/>
  <c r="F219" i="77"/>
  <c r="E221" i="77" l="1"/>
  <c r="F220" i="77"/>
  <c r="E222" i="77" l="1"/>
  <c r="F221" i="77"/>
  <c r="E223" i="77" l="1"/>
  <c r="F222" i="77"/>
  <c r="E224" i="77" l="1"/>
  <c r="F223" i="77"/>
  <c r="E225" i="77" l="1"/>
  <c r="F224" i="77"/>
  <c r="E226" i="77" l="1"/>
  <c r="F225" i="77"/>
  <c r="E227" i="77" l="1"/>
  <c r="F226" i="77"/>
  <c r="E228" i="77" l="1"/>
  <c r="F227" i="77"/>
  <c r="E229" i="77" l="1"/>
  <c r="F228" i="77"/>
  <c r="E230" i="77" l="1"/>
  <c r="F229" i="77"/>
  <c r="E231" i="77" l="1"/>
  <c r="F230" i="77"/>
  <c r="E232" i="77" l="1"/>
  <c r="F231" i="77"/>
  <c r="E233" i="77" l="1"/>
  <c r="F232" i="77"/>
  <c r="E234" i="77" l="1"/>
  <c r="F233" i="77"/>
  <c r="E235" i="77" l="1"/>
  <c r="F234" i="77"/>
  <c r="E236" i="77" l="1"/>
  <c r="F235" i="77"/>
  <c r="E237" i="77" l="1"/>
  <c r="F236" i="77"/>
  <c r="E238" i="77" l="1"/>
  <c r="F237" i="77"/>
  <c r="E239" i="77" l="1"/>
  <c r="F238" i="77"/>
  <c r="E240" i="77" l="1"/>
  <c r="F239" i="77"/>
  <c r="E241" i="77" l="1"/>
  <c r="F240" i="77"/>
  <c r="E242" i="77" l="1"/>
  <c r="F241" i="77"/>
  <c r="E243" i="77" l="1"/>
  <c r="F242" i="77"/>
  <c r="E244" i="77" l="1"/>
  <c r="F243" i="77"/>
  <c r="E245" i="77" l="1"/>
  <c r="F244" i="77"/>
  <c r="E246" i="77" l="1"/>
  <c r="F245" i="77"/>
  <c r="E247" i="77" l="1"/>
  <c r="F246" i="77"/>
  <c r="E248" i="77" l="1"/>
  <c r="F247" i="77"/>
  <c r="E249" i="77" l="1"/>
  <c r="F248" i="77"/>
  <c r="E250" i="77" l="1"/>
  <c r="F249" i="77"/>
  <c r="E251" i="77" l="1"/>
  <c r="F250" i="77"/>
  <c r="E252" i="77" l="1"/>
  <c r="F251" i="77"/>
  <c r="E253" i="77" l="1"/>
  <c r="F252" i="77"/>
  <c r="E254" i="77" l="1"/>
  <c r="F253" i="77"/>
  <c r="E255" i="77" l="1"/>
  <c r="F254" i="77"/>
  <c r="E256" i="77" l="1"/>
  <c r="F255" i="77"/>
  <c r="E257" i="77" l="1"/>
  <c r="F256" i="77"/>
  <c r="E258" i="77" l="1"/>
  <c r="F257" i="77"/>
  <c r="E259" i="77" l="1"/>
  <c r="F258" i="77"/>
  <c r="E260" i="77" l="1"/>
  <c r="F259" i="77"/>
  <c r="E261" i="77" l="1"/>
  <c r="F260" i="77"/>
  <c r="E262" i="77" l="1"/>
  <c r="F261" i="77"/>
  <c r="E263" i="77" l="1"/>
  <c r="F262" i="77"/>
  <c r="E264" i="77" l="1"/>
  <c r="F263" i="77"/>
  <c r="E265" i="77" l="1"/>
  <c r="F264" i="77"/>
  <c r="E266" i="77" l="1"/>
  <c r="F265" i="77"/>
  <c r="E267" i="77" l="1"/>
  <c r="F266" i="77"/>
  <c r="E268" i="77" l="1"/>
  <c r="F267" i="77"/>
  <c r="E269" i="77" l="1"/>
  <c r="F268" i="77"/>
  <c r="E270" i="77" l="1"/>
  <c r="F269" i="77"/>
  <c r="E271" i="77" l="1"/>
  <c r="F270" i="77"/>
  <c r="E272" i="77" l="1"/>
  <c r="F271" i="77"/>
  <c r="E273" i="77" l="1"/>
  <c r="F272" i="77"/>
  <c r="E274" i="77" l="1"/>
  <c r="F273" i="77"/>
  <c r="E275" i="77" l="1"/>
  <c r="F274" i="77"/>
  <c r="E276" i="77" l="1"/>
  <c r="F275" i="77"/>
  <c r="E277" i="77" l="1"/>
  <c r="F276" i="77"/>
  <c r="E278" i="77" l="1"/>
  <c r="F277" i="77"/>
  <c r="E279" i="77" l="1"/>
  <c r="F278" i="77"/>
  <c r="E280" i="77" l="1"/>
  <c r="F279" i="77"/>
  <c r="E281" i="77" l="1"/>
  <c r="F280" i="77"/>
  <c r="E282" i="77" l="1"/>
  <c r="F281" i="77"/>
  <c r="E283" i="77" l="1"/>
  <c r="F282" i="77"/>
  <c r="E284" i="77" l="1"/>
  <c r="F283" i="77"/>
  <c r="E285" i="77" l="1"/>
  <c r="F284" i="77"/>
  <c r="E286" i="77" l="1"/>
  <c r="F285" i="77"/>
  <c r="E287" i="77" l="1"/>
  <c r="F286" i="77"/>
  <c r="E288" i="77" l="1"/>
  <c r="F287" i="77"/>
  <c r="E289" i="77" l="1"/>
  <c r="F288" i="77"/>
  <c r="E290" i="77" l="1"/>
  <c r="F289" i="77"/>
  <c r="E291" i="77" l="1"/>
  <c r="F290" i="77"/>
  <c r="E292" i="77" l="1"/>
  <c r="F291" i="77"/>
  <c r="E293" i="77" l="1"/>
  <c r="F292" i="77"/>
  <c r="E294" i="77" l="1"/>
  <c r="F293" i="77"/>
  <c r="E295" i="77" l="1"/>
  <c r="F294" i="77"/>
  <c r="E296" i="77" l="1"/>
  <c r="F295" i="77"/>
  <c r="E297" i="77" l="1"/>
  <c r="F297" i="77" s="1"/>
  <c r="F296" i="77"/>
  <c r="F298" i="77" l="1"/>
  <c r="N25" i="77" l="1"/>
  <c r="F299" i="77"/>
  <c r="F825" i="77"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<sst xmlns="http://schemas.openxmlformats.org/spreadsheetml/2006/main" count="10920" uniqueCount="3593">
  <si>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</si>
  <si>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</si>
  <si>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</si>
  <si>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</si>
  <si>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</si>
  <si>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</si>
  <si>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</si>
  <si>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</si>
  <si>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</si>
  <si>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</si>
  <si>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</si>
  <si>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</si>
  <si>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</si>
  <si>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</si>
  <si>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</si>
  <si>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</si>
  <si>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</si>
  <si>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</si>
  <si>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</si>
  <si>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</si>
  <si>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</si>
  <si>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</si>
  <si>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</si>
  <si>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</si>
  <si>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</si>
  <si>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</si>
  <si>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</si>
  <si>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</si>
  <si>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</si>
  <si>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</si>
  <si>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</si>
  <si>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</si>
  <si>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</si>
  <si>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</si>
  <si>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</si>
  <si>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</si>
  <si>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</si>
  <si>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</si>
  <si>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</si>
  <si>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</si>
  <si>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</si>
  <si>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</si>
  <si>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</si>
  <si>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</si>
  <si>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</si>
  <si>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</si>
  <si>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</si>
  <si>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</si>
  <si>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</si>
  <si>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</si>
  <si>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</si>
  <si>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</si>
  <si>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</si>
  <si>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</si>
  <si>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</si>
  <si>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</si>
  <si>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</si>
  <si>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</si>
  <si>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</si>
  <si>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</si>
  <si>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</si>
  <si>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</si>
  <si>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</si>
  <si>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</si>
  <si>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</si>
  <si>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</si>
  <si>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</si>
  <si>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</si>
  <si>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</si>
  <si>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</si>
  <si>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</si>
  <si>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</si>
  <si>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</si>
  <si>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</si>
  <si>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</si>
  <si>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</si>
  <si>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</si>
  <si>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</si>
  <si>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</si>
  <si>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</si>
  <si>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</si>
  <si>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</si>
  <si>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</si>
  <si>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</si>
  <si>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</si>
  <si>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</si>
  <si>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</si>
  <si>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</si>
  <si>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</si>
  <si>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</si>
  <si>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</si>
  <si>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</si>
  <si>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</si>
  <si>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</si>
  <si>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</si>
  <si>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</si>
  <si>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</si>
  <si>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</si>
  <si>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</si>
  <si>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</si>
  <si>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</si>
  <si>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</si>
  <si>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</si>
  <si>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</si>
  <si>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</si>
  <si>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</si>
  <si>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</si>
  <si>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</si>
  <si>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</si>
  <si>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</si>
  <si>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</si>
  <si>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</si>
  <si>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</si>
  <si>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</si>
  <si>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</si>
  <si>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</si>
  <si>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</si>
  <si>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</si>
  <si>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</si>
  <si>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</si>
  <si>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</si>
  <si>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</si>
  <si>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</si>
  <si>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</si>
  <si>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</si>
  <si>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</si>
  <si>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</si>
  <si>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</si>
  <si>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</si>
  <si>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</si>
  <si>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</si>
  <si>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</si>
  <si>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</si>
  <si>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</si>
  <si>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</si>
  <si>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</si>
  <si>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</si>
  <si>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</si>
  <si>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</si>
  <si>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</si>
  <si>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</si>
  <si>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</si>
  <si>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</si>
  <si>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</si>
  <si>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</si>
  <si>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</si>
  <si>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</si>
  <si>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</si>
  <si>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</si>
  <si>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</si>
  <si>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</si>
  <si>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</si>
  <si>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</si>
  <si>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</si>
  <si>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</si>
  <si>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</si>
  <si>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</si>
  <si>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</si>
  <si>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</si>
  <si>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</si>
  <si>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</si>
  <si>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</si>
  <si>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</si>
  <si>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</si>
  <si>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</si>
  <si>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</si>
  <si>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</si>
  <si>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</si>
  <si>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</si>
  <si>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</si>
  <si>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</si>
  <si>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</si>
  <si>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</si>
  <si>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</si>
  <si>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</si>
  <si>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</si>
  <si>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</si>
  <si>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</si>
  <si>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</si>
  <si>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</si>
  <si>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</si>
  <si>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</si>
  <si>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</si>
  <si>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</si>
  <si>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</si>
  <si>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</si>
  <si>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</si>
  <si>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</si>
  <si>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</si>
  <si>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</si>
  <si>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</si>
  <si>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</si>
  <si>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</si>
  <si>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</si>
  <si>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</si>
  <si>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</si>
  <si>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</si>
  <si>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</si>
  <si>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</si>
  <si>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</si>
  <si>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</si>
  <si>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</si>
  <si>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</si>
  <si>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</si>
  <si>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</si>
  <si>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</si>
  <si>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</si>
  <si>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</si>
  <si>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</si>
  <si>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</si>
  <si>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</si>
  <si>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</si>
  <si>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</si>
  <si>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</si>
  <si>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</si>
  <si>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</si>
  <si>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</si>
  <si>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</si>
  <si>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</si>
  <si>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</si>
  <si>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</si>
  <si>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</si>
  <si>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</si>
  <si>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</si>
  <si>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</si>
  <si>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</si>
  <si>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</si>
  <si>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</si>
  <si>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</si>
  <si>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</si>
  <si>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</si>
  <si>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</si>
  <si>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</si>
  <si>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</si>
  <si>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</si>
  <si>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</si>
  <si>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</si>
  <si>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</si>
  <si>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</si>
  <si>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</si>
  <si>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</si>
  <si>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</si>
  <si>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</si>
  <si>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</si>
  <si>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</si>
  <si>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</si>
  <si>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</si>
  <si>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</si>
  <si>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</si>
  <si>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</si>
  <si>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</si>
  <si>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</si>
  <si>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</si>
  <si>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</si>
  <si>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</si>
  <si>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</si>
  <si>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</si>
  <si>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</si>
  <si>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</si>
  <si>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</si>
  <si>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</si>
  <si>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</si>
  <si>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</si>
  <si>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</si>
  <si>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</si>
  <si>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</si>
  <si>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</si>
  <si>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</si>
  <si>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</si>
  <si>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</si>
  <si>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</si>
  <si>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</si>
  <si>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</si>
  <si>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</si>
  <si>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</si>
  <si>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</si>
  <si>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</si>
  <si>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</si>
  <si>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</si>
  <si>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</si>
  <si>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</si>
  <si>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</si>
  <si>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</si>
  <si>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</si>
  <si>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</si>
  <si>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</si>
  <si>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</si>
  <si>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</si>
  <si>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</si>
  <si>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</si>
  <si>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</si>
  <si>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</si>
  <si>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</si>
  <si>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</si>
  <si>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</si>
  <si>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</si>
  <si>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</si>
  <si>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</si>
  <si>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</si>
  <si>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</si>
  <si>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</si>
  <si>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</si>
  <si>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</si>
  <si>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</si>
  <si>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</si>
  <si>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</si>
  <si>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</si>
  <si>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</si>
  <si>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</si>
  <si>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</si>
  <si>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</si>
  <si>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</si>
  <si>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</si>
  <si>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</si>
  <si>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</si>
  <si>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</si>
  <si>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</si>
  <si>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</si>
  <si>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</si>
  <si>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</si>
  <si>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</si>
  <si>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</si>
  <si>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</si>
  <si>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</si>
  <si>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</si>
  <si>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</si>
  <si>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</si>
  <si>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</si>
  <si>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</si>
  <si>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</si>
  <si>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</si>
  <si>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</si>
  <si>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</si>
  <si>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</si>
  <si>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</si>
  <si>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</si>
  <si>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</si>
  <si>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</si>
  <si>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</si>
  <si>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</si>
  <si>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</si>
  <si>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</si>
  <si>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</si>
  <si>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</si>
  <si>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</si>
  <si>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</si>
  <si>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</si>
  <si>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</si>
  <si>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</si>
  <si>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</si>
  <si>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</si>
  <si>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</si>
  <si>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</si>
  <si>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</si>
  <si>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</si>
  <si>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</si>
  <si>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</si>
  <si>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</si>
  <si>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</si>
  <si>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</si>
  <si>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</si>
  <si>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</si>
  <si>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</si>
  <si>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</si>
  <si>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</si>
  <si>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</si>
  <si>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</si>
  <si>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</si>
  <si>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</si>
  <si>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</si>
  <si>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</si>
  <si>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</si>
  <si>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</si>
  <si>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</si>
  <si>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</si>
  <si>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</si>
  <si>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</si>
  <si>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</si>
  <si>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</si>
  <si>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</si>
  <si>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</si>
  <si>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</si>
  <si>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</si>
  <si>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</si>
  <si>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</si>
  <si>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</si>
  <si>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</si>
  <si>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</si>
  <si>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</si>
  <si>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</si>
  <si>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</si>
  <si>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</si>
  <si>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</si>
  <si>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</si>
  <si>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</si>
  <si>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</si>
  <si>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</si>
  <si>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</si>
  <si>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</si>
  <si>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</si>
  <si>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</si>
  <si>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</si>
  <si>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</si>
  <si>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</si>
  <si>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</si>
  <si>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</si>
  <si>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</si>
  <si>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</si>
  <si>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</si>
  <si>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</si>
  <si>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</si>
  <si>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</si>
  <si>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</si>
  <si>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</si>
  <si>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</si>
  <si>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</si>
  <si>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</si>
  <si>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</si>
  <si>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</si>
  <si>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</si>
  <si>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</si>
  <si>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</si>
  <si>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</si>
  <si>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</si>
  <si>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</si>
  <si>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</si>
  <si>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</si>
  <si>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</si>
  <si>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</si>
  <si>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</si>
  <si>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</si>
  <si>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</si>
  <si>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</si>
  <si>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</si>
  <si>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</si>
  <si>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</si>
  <si>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</si>
  <si>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</si>
  <si>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</si>
  <si>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</si>
  <si>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</si>
  <si>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</si>
  <si>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</si>
  <si>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</si>
  <si>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</si>
  <si>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</si>
  <si>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</si>
  <si>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</si>
  <si>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</si>
  <si>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</si>
  <si>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</si>
  <si>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</si>
  <si>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</si>
  <si>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</si>
  <si>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</si>
  <si>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</si>
  <si>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</si>
  <si>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</si>
  <si>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</si>
  <si>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</si>
  <si>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</si>
  <si>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</si>
  <si>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</si>
  <si>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</si>
  <si>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</si>
  <si>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</si>
  <si>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</si>
  <si>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</si>
  <si>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</si>
  <si>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</si>
  <si>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</si>
  <si>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</si>
  <si>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</si>
  <si>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</si>
  <si>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</si>
  <si>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</si>
  <si>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</si>
  <si>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</si>
  <si>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</si>
  <si>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</si>
  <si>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</si>
  <si>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</si>
  <si>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</si>
  <si>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</si>
  <si>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</si>
  <si>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</si>
  <si>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</si>
  <si>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</si>
  <si>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</si>
  <si>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</si>
  <si>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</si>
  <si>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</si>
  <si>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</si>
  <si>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</si>
  <si>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</si>
  <si>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</si>
  <si>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</si>
  <si>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</si>
  <si>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</si>
  <si>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</si>
  <si>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</si>
  <si>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</si>
  <si>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</si>
  <si>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</si>
  <si>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</si>
  <si>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</si>
  <si>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</si>
  <si>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</si>
  <si>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</si>
  <si>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</si>
  <si>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</si>
  <si>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</si>
  <si>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</si>
  <si>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</si>
  <si>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</si>
  <si>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</si>
  <si>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</si>
  <si>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</si>
  <si>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</si>
  <si>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</si>
  <si>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</si>
  <si>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</si>
  <si>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</si>
  <si>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</si>
  <si>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</si>
  <si>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</si>
  <si>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</si>
  <si>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</si>
  <si>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</si>
  <si>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</si>
  <si>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</si>
  <si>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</si>
  <si>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</si>
  <si>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</si>
  <si>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</si>
  <si>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</si>
  <si>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</si>
  <si>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</si>
  <si>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</si>
  <si>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</si>
  <si>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</si>
  <si>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</si>
  <si>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</si>
  <si>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</si>
  <si>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</si>
  <si>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</si>
  <si>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</si>
  <si>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</si>
  <si>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</si>
  <si>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</si>
  <si>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</si>
  <si>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</si>
  <si>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</si>
  <si>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</si>
  <si>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</si>
  <si>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</si>
  <si>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</si>
  <si>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</si>
  <si>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</si>
  <si>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</si>
  <si>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</si>
  <si>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</si>
  <si>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</si>
  <si>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</si>
  <si>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</si>
  <si>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</si>
  <si>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</si>
  <si>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</si>
  <si>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</si>
  <si>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</si>
  <si>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</si>
  <si>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</si>
  <si>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</si>
  <si>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</si>
  <si>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</si>
  <si>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</si>
  <si>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</si>
  <si>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</si>
  <si>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</si>
  <si>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</si>
  <si>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</si>
  <si>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</si>
  <si>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</si>
  <si>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</si>
  <si>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</si>
  <si>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</si>
  <si>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</si>
  <si>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</si>
  <si>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</si>
  <si>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</si>
  <si>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</si>
  <si>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</si>
  <si>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</si>
  <si>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</si>
  <si>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</si>
  <si>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</si>
  <si>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</si>
  <si>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</si>
  <si>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</si>
  <si>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</si>
  <si>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</si>
  <si>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</si>
  <si>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</si>
  <si>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</si>
  <si>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</si>
  <si>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</si>
  <si>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</si>
  <si>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</si>
  <si>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</si>
  <si>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</si>
  <si>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</si>
  <si>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</si>
  <si>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</si>
  <si>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</si>
  <si>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</si>
  <si>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</si>
  <si>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</si>
  <si>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</si>
  <si>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</si>
  <si>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</si>
  <si>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</si>
  <si>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</si>
  <si>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</si>
  <si>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</si>
  <si>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</si>
  <si>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</si>
  <si>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</si>
  <si>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</si>
  <si>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</si>
  <si>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</si>
  <si>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</si>
  <si>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</si>
  <si>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</si>
  <si>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</si>
  <si>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</si>
  <si>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</si>
  <si>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</si>
  <si>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</si>
  <si>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</si>
  <si>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</si>
  <si>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</si>
  <si>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</si>
  <si>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</si>
  <si>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</si>
  <si>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</si>
  <si>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</si>
  <si>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</si>
  <si>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</si>
  <si>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</si>
  <si>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</si>
  <si>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</si>
  <si>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</si>
  <si>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</si>
  <si>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</si>
  <si>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</si>
  <si>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</si>
  <si>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</si>
  <si>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</si>
  <si>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</si>
  <si>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</si>
  <si>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</si>
  <si>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</si>
  <si>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</si>
  <si>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</si>
  <si>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</si>
  <si>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</si>
  <si>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</si>
  <si>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</si>
  <si>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</si>
  <si>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</si>
  <si>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</si>
  <si>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</si>
  <si>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</si>
  <si>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</si>
  <si>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</si>
  <si>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</si>
  <si>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</si>
  <si>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</si>
  <si>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</si>
  <si>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</si>
  <si>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</si>
  <si>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</si>
  <si>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</si>
  <si>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</si>
  <si>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</si>
  <si>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</si>
  <si>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</si>
  <si>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</si>
  <si>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</si>
  <si>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</si>
  <si>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</si>
  <si>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</si>
  <si>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</si>
  <si>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</si>
  <si>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</si>
  <si>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</si>
  <si>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</si>
  <si>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</si>
  <si>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</si>
  <si>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</si>
  <si>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</si>
  <si>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</si>
  <si>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</si>
  <si>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</si>
  <si>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</si>
  <si>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</si>
  <si>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</si>
  <si>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</si>
  <si>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</si>
  <si>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</si>
  <si>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</si>
  <si>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</si>
  <si>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</si>
  <si>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</si>
  <si>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</si>
  <si>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</si>
  <si>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</si>
  <si>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</si>
  <si>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</si>
  <si>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</si>
  <si>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</si>
  <si>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</si>
  <si>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</si>
  <si>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</si>
  <si>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</si>
  <si>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</si>
  <si>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</si>
  <si>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</si>
  <si>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</si>
  <si>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</si>
  <si>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</si>
  <si>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</si>
  <si>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</si>
  <si>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</si>
  <si>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</si>
  <si>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</si>
  <si>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</si>
  <si>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</si>
  <si>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</si>
  <si>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</si>
  <si>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</si>
  <si>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</si>
  <si>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</si>
  <si>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</si>
  <si>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</si>
  <si>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</si>
  <si>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</si>
  <si>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</si>
  <si>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</si>
  <si>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</si>
  <si>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</si>
  <si>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</si>
  <si>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</si>
  <si>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</si>
  <si>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</si>
  <si>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</si>
  <si>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</si>
  <si>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</si>
  <si>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</si>
  <si>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</si>
  <si>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</si>
  <si>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</si>
  <si>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</si>
  <si>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</si>
  <si>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</si>
  <si>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</si>
  <si>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</si>
  <si>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</si>
  <si>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</si>
  <si>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</si>
  <si>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</si>
  <si>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</si>
  <si>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</si>
  <si>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</si>
  <si>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</si>
  <si>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</si>
  <si>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</si>
  <si>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</si>
  <si>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</si>
  <si>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</si>
  <si>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</si>
  <si>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</si>
  <si>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</si>
  <si>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</si>
  <si>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</si>
  <si>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</si>
  <si>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</si>
  <si>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</si>
  <si>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</si>
  <si>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</si>
  <si>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</si>
  <si>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</si>
  <si>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</si>
  <si>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</si>
  <si>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</si>
  <si>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</si>
  <si>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</si>
  <si>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</si>
  <si>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</si>
  <si>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</si>
  <si>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</si>
  <si>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</si>
  <si>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</si>
  <si>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</si>
  <si>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</si>
  <si>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</si>
  <si>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</si>
  <si>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</si>
  <si>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</si>
  <si>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</si>
  <si>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</si>
  <si>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</si>
  <si>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</si>
  <si>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</si>
  <si>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</si>
  <si>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</si>
  <si>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</si>
  <si>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</si>
  <si>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</si>
  <si>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</si>
  <si>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</si>
  <si>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</si>
  <si>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</si>
  <si>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</si>
  <si>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</si>
  <si>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</si>
  <si>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</si>
  <si>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</si>
  <si>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</si>
  <si>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</si>
  <si>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</si>
  <si>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</si>
  <si>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</si>
  <si>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</si>
  <si>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</si>
  <si>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</si>
  <si>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</si>
  <si>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</si>
  <si>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</si>
  <si>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</si>
  <si>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</si>
  <si>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</si>
  <si>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</si>
  <si>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</si>
  <si>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</si>
  <si>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</si>
  <si>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</si>
  <si>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</si>
  <si>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</si>
  <si>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</si>
  <si>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</si>
  <si>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</si>
  <si>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</si>
  <si>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</si>
  <si>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</si>
  <si>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</si>
  <si>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</si>
  <si>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</si>
  <si>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</si>
  <si>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</si>
  <si>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</si>
  <si>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</si>
  <si>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</si>
  <si>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</si>
  <si>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</si>
  <si>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</si>
  <si>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</si>
  <si>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</si>
  <si>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</si>
  <si>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</si>
  <si>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</si>
  <si>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</si>
  <si>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</si>
  <si>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</si>
  <si>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</si>
  <si>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</si>
  <si>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</si>
  <si>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</si>
  <si>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</si>
  <si>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</si>
  <si>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</si>
  <si>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</si>
  <si>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</si>
  <si>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</si>
  <si>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</si>
  <si>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</si>
  <si>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</si>
  <si>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</si>
  <si>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</si>
  <si>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</si>
  <si>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</si>
  <si>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</si>
  <si>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</si>
  <si>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</si>
  <si>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</si>
  <si>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</si>
  <si>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</si>
  <si>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</si>
  <si>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</si>
  <si>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</si>
  <si>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</si>
  <si>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</si>
  <si>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</si>
  <si>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</si>
  <si>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</si>
  <si>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</si>
  <si>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</si>
  <si>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</si>
  <si>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</si>
  <si>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</si>
  <si>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</si>
  <si>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</si>
  <si>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</si>
  <si>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</si>
  <si>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</si>
  <si>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</si>
  <si>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</si>
  <si>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</si>
  <si>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</si>
  <si>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</si>
  <si>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</si>
  <si>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</si>
  <si>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</si>
  <si>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</si>
  <si>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</si>
  <si>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</si>
  <si>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</si>
  <si>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</si>
  <si>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</si>
  <si>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</si>
  <si>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</si>
  <si>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</si>
  <si>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</si>
  <si>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</si>
  <si>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</si>
  <si>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</si>
  <si>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</si>
  <si>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</si>
  <si>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</si>
  <si>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</si>
  <si>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</si>
  <si>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</si>
  <si>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</si>
  <si>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</si>
  <si>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</si>
  <si>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</si>
  <si>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</si>
  <si>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</si>
  <si>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</si>
  <si>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</si>
  <si>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</si>
  <si>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</si>
  <si>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</si>
  <si>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</si>
  <si>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</si>
  <si>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</si>
  <si>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</si>
  <si>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</si>
  <si>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</si>
  <si>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</si>
  <si>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</si>
  <si>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</si>
  <si>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</si>
  <si>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</si>
  <si>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</si>
  <si>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</si>
  <si>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</si>
  <si>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</si>
  <si>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</si>
  <si>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</si>
  <si>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</si>
  <si>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</si>
  <si>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</si>
  <si>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</si>
  <si>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</si>
  <si>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</si>
  <si>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</si>
  <si>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</si>
  <si>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</si>
  <si>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</si>
  <si>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</si>
  <si>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</si>
  <si>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</si>
  <si>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</si>
  <si>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</si>
  <si>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</si>
  <si>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</si>
  <si>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</si>
  <si>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</si>
  <si>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</si>
  <si>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</si>
  <si>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</si>
  <si>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</si>
  <si>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</si>
  <si>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</si>
  <si>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</si>
  <si>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</si>
  <si>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</si>
  <si>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</si>
  <si>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</si>
  <si>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</si>
  <si>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</si>
  <si>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</si>
  <si>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</si>
  <si>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</si>
  <si>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</si>
  <si>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</si>
  <si>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</si>
  <si>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</si>
  <si>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</si>
  <si>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</si>
  <si>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</si>
  <si>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</si>
  <si>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</si>
  <si>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</si>
  <si>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</si>
  <si>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</si>
  <si>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</si>
  <si>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</si>
  <si>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</si>
  <si>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</si>
  <si>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</si>
  <si>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</si>
  <si>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</si>
  <si>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</si>
  <si>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</si>
  <si>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</si>
  <si>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</si>
  <si>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</si>
  <si>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</si>
  <si>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</si>
  <si>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</si>
  <si>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</si>
  <si>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</si>
  <si>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</si>
  <si>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</si>
  <si>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</si>
  <si>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</si>
  <si>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</si>
  <si>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</si>
  <si>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</si>
  <si>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</si>
  <si>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</si>
  <si>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</si>
  <si>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</si>
  <si>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</si>
  <si>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</si>
  <si>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</si>
  <si>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</si>
  <si>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</si>
  <si>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</si>
  <si>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</si>
  <si>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</si>
  <si>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</si>
  <si>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</si>
  <si>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</si>
  <si>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</si>
  <si>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</si>
  <si>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</si>
  <si>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</si>
  <si>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</si>
  <si>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</si>
  <si>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</si>
  <si>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</si>
  <si>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</si>
  <si>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</si>
  <si>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</si>
  <si>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</si>
  <si>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</si>
  <si>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</si>
  <si>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</si>
  <si>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</si>
  <si>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</si>
  <si>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</si>
  <si>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</si>
  <si>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</si>
  <si>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</si>
  <si>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</si>
  <si>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</si>
  <si>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</si>
  <si>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</si>
  <si>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</si>
  <si>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</si>
  <si>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</si>
  <si>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</si>
  <si>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</si>
  <si>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</si>
  <si>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</si>
  <si>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</si>
  <si>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</si>
  <si>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</si>
  <si>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</si>
  <si>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</si>
  <si>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</si>
  <si>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</si>
  <si>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</si>
  <si>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</si>
  <si>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</si>
  <si>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</si>
  <si>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</si>
  <si>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</si>
  <si>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</si>
  <si>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</si>
  <si>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</si>
  <si>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</si>
  <si>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</si>
  <si>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</si>
  <si>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</si>
  <si>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</si>
  <si>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</si>
  <si>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</si>
  <si>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</si>
  <si>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</si>
  <si>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</si>
  <si>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</si>
  <si>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</si>
  <si>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</si>
  <si>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</si>
  <si>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</si>
  <si>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</si>
  <si>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</si>
  <si>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</si>
  <si>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</si>
  <si>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</si>
  <si>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</si>
  <si>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</si>
  <si>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</si>
  <si>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</si>
  <si>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</si>
  <si>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</si>
  <si>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</si>
  <si>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</si>
  <si>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</si>
  <si>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</si>
  <si>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</si>
  <si>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</si>
  <si>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</si>
  <si>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</si>
  <si>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</si>
  <si>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</si>
  <si>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</si>
  <si>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</si>
  <si>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</si>
  <si>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</si>
  <si>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</si>
  <si>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</si>
  <si>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</si>
  <si>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</si>
  <si>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</si>
  <si>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</si>
  <si>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</si>
  <si>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</si>
  <si>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</si>
  <si>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</si>
  <si>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</si>
  <si>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</si>
  <si>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</si>
  <si>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</si>
  <si>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</si>
  <si>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</si>
  <si>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</si>
  <si>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</si>
  <si>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</si>
  <si>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</si>
  <si>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</si>
  <si>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</si>
  <si>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</si>
  <si>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</si>
  <si>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</si>
  <si>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</si>
  <si>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</si>
  <si>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</si>
  <si>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</si>
  <si>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</si>
  <si>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</si>
  <si>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</si>
  <si>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</si>
  <si>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</si>
  <si>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</si>
  <si>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</si>
  <si>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</si>
  <si>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</si>
  <si>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</si>
  <si>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</si>
  <si>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</si>
  <si>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</si>
  <si>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</si>
  <si>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</si>
  <si>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</si>
  <si>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</si>
  <si>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</si>
  <si>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</si>
  <si>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</si>
  <si>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</si>
  <si>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</si>
  <si>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</si>
  <si>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</si>
  <si>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</si>
  <si>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</si>
  <si>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</si>
  <si>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</si>
  <si>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</si>
  <si>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</si>
  <si>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</si>
  <si>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</si>
  <si>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</si>
  <si>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</si>
  <si>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</si>
  <si>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</si>
  <si>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</si>
  <si>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</si>
  <si>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</si>
  <si>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</si>
  <si>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</si>
  <si>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</si>
  <si>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</si>
  <si>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</si>
  <si>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</si>
  <si>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</si>
  <si>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</si>
  <si>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</si>
  <si>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</si>
  <si>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</si>
  <si>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</si>
  <si>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</si>
  <si>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</si>
  <si>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</si>
  <si>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</si>
  <si>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</si>
  <si>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</si>
  <si>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</si>
  <si>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</si>
  <si>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</si>
  <si>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</si>
  <si>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</si>
  <si>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</si>
  <si>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</si>
  <si>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</si>
  <si>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</si>
  <si>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</si>
  <si>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</si>
  <si>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</si>
  <si>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</si>
  <si>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</si>
  <si>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</si>
  <si>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</si>
  <si>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</si>
  <si>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</si>
  <si>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</si>
  <si>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</si>
  <si>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</si>
  <si>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</si>
  <si>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</si>
  <si>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</si>
  <si>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</si>
  <si>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</si>
  <si>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</si>
  <si>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</si>
  <si>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</si>
  <si>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</si>
  <si>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</si>
  <si>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</si>
  <si>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</si>
  <si>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</si>
  <si>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</si>
  <si>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</si>
  <si>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</si>
  <si>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</si>
  <si>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</si>
  <si>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</si>
  <si>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</si>
  <si>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</si>
  <si>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</si>
  <si>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</si>
  <si>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</si>
  <si>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</si>
  <si>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</si>
  <si>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</si>
  <si>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</si>
  <si>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</si>
  <si>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</si>
  <si>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</si>
  <si>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</si>
  <si>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</si>
  <si>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</si>
  <si>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</si>
  <si>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</si>
  <si>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</si>
  <si>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</si>
  <si>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</si>
  <si>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</si>
  <si>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</si>
  <si>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</si>
  <si>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</si>
  <si>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</si>
  <si>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</si>
  <si>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</si>
  <si>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</si>
  <si>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</si>
  <si>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</si>
  <si>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</si>
  <si>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</si>
  <si>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</si>
  <si>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</si>
  <si>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</si>
  <si>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</si>
  <si>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</si>
  <si>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</si>
  <si>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</si>
  <si>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</si>
  <si>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</si>
  <si>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</si>
  <si>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</si>
  <si>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</si>
  <si>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</si>
  <si>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</si>
  <si>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</si>
  <si>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</si>
  <si>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</si>
  <si>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</si>
  <si>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</si>
  <si>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</si>
  <si>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</si>
  <si>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</si>
  <si>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</si>
  <si>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</si>
  <si>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</si>
  <si>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</si>
  <si>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</si>
  <si>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</si>
  <si>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</si>
  <si>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</si>
  <si>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</si>
  <si>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</si>
  <si>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</si>
  <si>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</si>
  <si>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</si>
  <si>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</si>
  <si>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</si>
  <si>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</si>
  <si>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</si>
  <si>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</si>
  <si>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</si>
  <si>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</si>
  <si>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</si>
  <si>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</si>
  <si>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</si>
  <si>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</si>
  <si>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</si>
  <si>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</si>
  <si>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</si>
  <si>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</si>
  <si>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</si>
  <si>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</si>
  <si>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</si>
  <si>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</si>
  <si>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</si>
  <si>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</si>
  <si>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</si>
  <si>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</si>
  <si>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</si>
  <si>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</si>
  <si>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</si>
  <si>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</si>
  <si>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</si>
  <si>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</si>
  <si>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</si>
  <si>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</si>
  <si>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</si>
  <si>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</si>
  <si>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</si>
  <si>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</si>
  <si>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</si>
  <si>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</si>
  <si>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</si>
  <si>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</si>
  <si>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</si>
  <si>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</si>
  <si>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</si>
  <si>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</si>
  <si>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</si>
  <si>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</si>
  <si>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</si>
  <si>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</si>
  <si>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</si>
  <si>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</si>
  <si>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</si>
  <si>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</si>
  <si>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</si>
  <si>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</si>
  <si>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</si>
  <si>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</si>
  <si>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</si>
  <si>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</si>
  <si>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</si>
  <si>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</si>
  <si>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</si>
  <si>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</si>
  <si>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</si>
  <si>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</si>
  <si>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</si>
  <si>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</si>
  <si>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</si>
  <si>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</si>
  <si>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</si>
  <si>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</si>
  <si>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</si>
  <si>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</si>
  <si>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</si>
  <si>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</si>
  <si>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</si>
  <si>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</si>
  <si>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</si>
  <si>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</si>
  <si>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</si>
  <si>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</si>
  <si>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</si>
  <si>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</si>
  <si>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</si>
  <si>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</si>
  <si>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</si>
  <si>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</si>
  <si>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</si>
  <si>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</si>
  <si>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</si>
  <si>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</si>
  <si>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</si>
  <si>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</si>
  <si>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</si>
  <si>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</si>
  <si>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</si>
  <si>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</si>
  <si>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</si>
  <si>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</si>
  <si>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</si>
  <si>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</si>
  <si>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</si>
  <si>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</si>
  <si>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</si>
  <si>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</si>
  <si>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</si>
  <si>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</si>
  <si>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</si>
  <si>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</si>
  <si>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</si>
  <si>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</si>
  <si>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</si>
  <si>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</si>
  <si>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</si>
  <si>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</si>
  <si>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</si>
  <si>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</si>
  <si>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</si>
  <si>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</si>
  <si>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</si>
  <si>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</si>
  <si>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</si>
  <si>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</si>
  <si>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</si>
  <si>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</si>
  <si>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</si>
  <si>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</si>
  <si>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</si>
  <si>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</si>
  <si>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</si>
  <si>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</si>
  <si>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</si>
  <si>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</si>
  <si>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</si>
  <si>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</si>
  <si>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</si>
  <si>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</si>
  <si>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</si>
  <si>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</si>
  <si>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</si>
  <si>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</si>
  <si>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</si>
  <si>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</si>
  <si>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</si>
  <si>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</si>
  <si>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</si>
  <si>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</si>
  <si>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</si>
  <si>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</si>
  <si>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</si>
  <si>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</si>
  <si>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</si>
  <si>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</si>
  <si>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</si>
  <si>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</si>
  <si>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</si>
  <si>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</si>
  <si>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</si>
  <si>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</si>
  <si>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</si>
  <si>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</si>
  <si>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</si>
  <si>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</si>
  <si>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</si>
  <si>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</si>
  <si>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</si>
  <si>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</si>
  <si>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</si>
  <si>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</si>
  <si>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</si>
  <si>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</si>
  <si>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</si>
  <si>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</si>
  <si>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</si>
  <si>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</si>
  <si>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</si>
  <si>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</si>
  <si>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</si>
  <si>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</si>
  <si>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</si>
  <si>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</si>
  <si>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</si>
  <si>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</si>
  <si>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</si>
  <si>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</si>
  <si>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</si>
  <si>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</si>
  <si>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</si>
  <si>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</si>
  <si>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</si>
  <si>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</si>
  <si>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</si>
  <si>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</si>
  <si>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</si>
  <si>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</si>
  <si>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</si>
  <si>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</si>
  <si>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</si>
  <si>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</si>
  <si>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</si>
  <si>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</si>
  <si>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</si>
  <si>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</si>
  <si>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</si>
  <si>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</si>
  <si>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</si>
  <si>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</si>
  <si>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</si>
  <si>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</si>
  <si>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</si>
  <si>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</si>
  <si>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</si>
  <si>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</si>
  <si>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</si>
  <si>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</si>
  <si>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</si>
  <si>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</si>
  <si>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</si>
  <si>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</si>
  <si>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</si>
  <si>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</si>
  <si>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</si>
  <si>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</si>
  <si>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</si>
  <si>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</si>
  <si>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</si>
  <si>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</si>
  <si>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</si>
  <si>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</si>
  <si>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</si>
  <si>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</si>
  <si>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</si>
  <si>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</si>
  <si>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</si>
  <si>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</si>
  <si>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</si>
  <si>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</si>
  <si>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</si>
  <si>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</si>
  <si>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</si>
  <si>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</si>
  <si>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</si>
  <si>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</si>
  <si>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</si>
  <si>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</si>
  <si>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</si>
  <si>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</si>
  <si>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</si>
  <si>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</si>
  <si>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</si>
  <si>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</si>
  <si>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</si>
  <si>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</si>
  <si>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</si>
  <si>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</si>
  <si>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</si>
  <si>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</si>
  <si>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</si>
  <si>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</si>
  <si>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</si>
  <si>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</si>
  <si>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</si>
  <si>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</si>
  <si>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</si>
  <si>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</si>
  <si>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</si>
  <si>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</si>
  <si>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</si>
  <si>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</si>
  <si>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</si>
  <si>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</si>
  <si>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</si>
  <si>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</si>
  <si>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</si>
  <si>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</si>
  <si>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</si>
  <si>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</si>
  <si>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</si>
  <si>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</si>
  <si>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</si>
  <si>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</si>
  <si>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</si>
  <si>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</si>
  <si>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</si>
  <si>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</si>
  <si>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</si>
  <si>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</si>
  <si>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</si>
  <si>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</si>
  <si>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</si>
  <si>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</si>
  <si>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</si>
  <si>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</si>
  <si>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</si>
  <si>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</si>
  <si>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</si>
  <si>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</si>
  <si>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</si>
  <si>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</si>
  <si>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</si>
  <si>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</si>
  <si>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</si>
  <si>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</si>
  <si>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</si>
  <si>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</si>
  <si>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</si>
  <si>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</si>
  <si>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</si>
  <si>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</si>
  <si>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</si>
  <si>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</si>
  <si>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</si>
  <si>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</si>
  <si>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</si>
  <si>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</si>
  <si>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</si>
  <si>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</si>
  <si>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</si>
  <si>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</si>
  <si>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</si>
  <si>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</si>
  <si>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</si>
  <si>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</si>
  <si>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</si>
  <si>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</si>
  <si>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</si>
  <si>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</si>
  <si>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</si>
  <si>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</si>
  <si>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</si>
  <si>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</si>
  <si>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</si>
  <si>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</si>
  <si>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</si>
  <si>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</si>
  <si>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</si>
  <si>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</si>
  <si>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</si>
  <si>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</si>
  <si>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</si>
  <si>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</si>
  <si>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</si>
  <si>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</si>
  <si>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</si>
  <si>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</si>
  <si>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</si>
  <si>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</si>
  <si>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</si>
  <si>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</si>
  <si>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</si>
  <si>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</si>
  <si>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</si>
  <si>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</si>
  <si>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</si>
  <si>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</si>
  <si>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</si>
  <si>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</si>
  <si>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</si>
  <si>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</si>
  <si>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</si>
  <si>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</si>
  <si>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</si>
  <si>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</si>
  <si>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</si>
  <si>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</si>
  <si>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</si>
  <si>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</si>
  <si>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</si>
  <si>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</si>
  <si>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</si>
  <si>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</si>
  <si>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</si>
  <si>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</si>
  <si>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</si>
  <si>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</si>
  <si>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</si>
  <si>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</si>
  <si>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</si>
  <si>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</si>
  <si>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</si>
  <si>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</si>
  <si>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</si>
  <si>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</si>
  <si>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</si>
  <si>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</si>
  <si>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</si>
  <si>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</si>
  <si>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</si>
  <si>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</si>
  <si>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</si>
  <si>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</si>
  <si>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</si>
  <si>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</si>
  <si>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</si>
  <si>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</si>
  <si>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</si>
  <si>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</si>
  <si>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</si>
  <si>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</si>
  <si>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</si>
  <si>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</si>
  <si>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</si>
  <si>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</si>
  <si>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</si>
  <si>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</si>
  <si>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</si>
  <si>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</si>
  <si>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</si>
  <si>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</si>
  <si>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</si>
  <si>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</si>
  <si>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</si>
  <si>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</si>
  <si>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</si>
  <si>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</si>
  <si>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</si>
  <si>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</si>
  <si>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</si>
  <si>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</si>
  <si>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</si>
  <si>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</si>
  <si>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</si>
  <si>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</si>
  <si>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</si>
  <si>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</si>
  <si>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</si>
  <si>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</si>
  <si>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</si>
  <si>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</si>
  <si>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</si>
  <si>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</si>
  <si>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</si>
  <si>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</si>
  <si>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</si>
  <si>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</si>
  <si>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</si>
  <si>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</si>
  <si>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</si>
  <si>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</si>
  <si>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</si>
  <si>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</si>
  <si>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</si>
  <si>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</si>
  <si>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</si>
  <si>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</si>
  <si>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</si>
  <si>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</si>
  <si>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</si>
  <si>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</si>
  <si>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</si>
  <si>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</si>
  <si>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</si>
  <si>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</si>
  <si>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</si>
  <si>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</si>
  <si>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</si>
  <si>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</si>
  <si>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</si>
  <si>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</si>
  <si>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</si>
  <si>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</si>
  <si>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</si>
  <si>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</si>
  <si>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</si>
  <si>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</si>
  <si>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</si>
  <si>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</si>
  <si>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</si>
  <si>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</si>
  <si>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</si>
  <si>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</si>
  <si>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</si>
  <si>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</si>
  <si>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</si>
  <si>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</si>
  <si>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</si>
  <si>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</si>
  <si>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</si>
  <si>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</si>
  <si>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</si>
  <si>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</si>
  <si>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</si>
  <si>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</si>
  <si>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</si>
  <si>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</si>
  <si>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</si>
  <si>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</si>
  <si>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</si>
  <si>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</si>
  <si>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</si>
  <si>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</si>
  <si>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</si>
  <si>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</si>
  <si>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</si>
  <si>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</si>
  <si>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</si>
  <si>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</si>
  <si>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</si>
  <si>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</si>
  <si>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</si>
  <si>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</si>
  <si>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</si>
  <si>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</si>
  <si>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</si>
  <si>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</si>
  <si>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</si>
  <si>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</si>
  <si>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</si>
  <si>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</si>
  <si>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</si>
  <si>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</si>
  <si>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</si>
  <si>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</si>
  <si>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</si>
  <si>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</si>
  <si>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</si>
  <si>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</si>
  <si>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</si>
  <si>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</si>
  <si>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</si>
  <si>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</si>
  <si>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</si>
  <si>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</si>
  <si>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</si>
  <si>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</si>
  <si>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</si>
  <si>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</si>
  <si>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</si>
  <si>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</si>
  <si>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</si>
  <si>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</si>
  <si>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</si>
  <si>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</si>
  <si>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</si>
  <si>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</si>
  <si>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</si>
  <si>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</si>
  <si>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</si>
  <si>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</si>
  <si>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</si>
  <si>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</si>
  <si>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</si>
  <si>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</si>
  <si>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</si>
  <si>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</si>
  <si>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</si>
  <si>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</si>
  <si>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</si>
  <si>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</si>
  <si>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</si>
  <si>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</si>
  <si>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</si>
  <si>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</si>
  <si>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</si>
  <si>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</si>
  <si>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</si>
  <si>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</si>
  <si>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</si>
  <si>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</si>
  <si>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</si>
  <si>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</si>
  <si>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</si>
  <si>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</si>
  <si>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</si>
  <si>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</si>
  <si>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</si>
  <si>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</si>
  <si>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</si>
  <si>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</si>
  <si>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</si>
  <si>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</si>
  <si>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</si>
  <si>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</si>
  <si>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</si>
  <si>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</si>
  <si>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</si>
  <si>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</si>
  <si>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</si>
  <si>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</si>
  <si>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</si>
  <si>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</si>
  <si>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</si>
  <si>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</si>
  <si>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</si>
  <si>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</si>
  <si>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</si>
  <si>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</si>
  <si>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</si>
  <si>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</si>
  <si>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</si>
  <si>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</si>
  <si>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</si>
  <si>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</si>
  <si>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</si>
  <si>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</si>
  <si>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</si>
  <si>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</si>
  <si>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</si>
  <si>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</si>
  <si>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</si>
  <si>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</si>
  <si>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</si>
  <si>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</si>
  <si>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</si>
  <si>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</si>
  <si>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</si>
  <si>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</si>
  <si>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</si>
  <si>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</si>
  <si>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</si>
  <si>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</si>
  <si>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</si>
  <si>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</si>
  <si>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</si>
  <si>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</si>
  <si>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</si>
  <si>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</si>
  <si>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</si>
  <si>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</si>
  <si>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</si>
  <si>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</si>
  <si>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</si>
  <si>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</si>
  <si>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</si>
  <si>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</si>
  <si>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</si>
  <si>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</si>
  <si>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</si>
  <si>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</si>
  <si>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</si>
  <si>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</si>
  <si>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</si>
  <si>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</si>
  <si>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</si>
  <si>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</si>
  <si>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</si>
  <si>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</si>
  <si>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</si>
  <si>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</si>
  <si>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</si>
  <si>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</si>
  <si>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</si>
  <si>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</si>
  <si>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</si>
  <si>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</si>
  <si>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</si>
  <si>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</si>
  <si>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</si>
  <si>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</si>
  <si>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</si>
  <si>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</si>
  <si>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</si>
  <si>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</si>
  <si>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</si>
  <si>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</si>
  <si>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</si>
  <si>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</si>
  <si>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</si>
  <si>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</si>
  <si>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</si>
  <si>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</si>
  <si>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</si>
  <si>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</si>
  <si>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</si>
  <si>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</si>
  <si>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</si>
  <si>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</si>
  <si>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</si>
  <si>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</si>
  <si>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</si>
  <si>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</si>
  <si>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</si>
  <si>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</si>
  <si>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</si>
  <si>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</si>
  <si>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</si>
  <si>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</si>
  <si>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</si>
  <si>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</si>
  <si>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</si>
  <si>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</si>
  <si>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</si>
  <si>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</si>
  <si>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</si>
  <si>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</si>
  <si>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</si>
  <si>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</si>
  <si>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</si>
  <si>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</si>
  <si>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</si>
  <si>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</si>
  <si>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</si>
  <si>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</si>
  <si>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</si>
  <si>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</si>
  <si>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</si>
  <si>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</si>
  <si>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</si>
  <si>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</si>
  <si>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</si>
  <si>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</si>
  <si>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</si>
  <si>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</si>
  <si>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</si>
  <si>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</si>
  <si>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</si>
  <si>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</si>
  <si>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</si>
  <si>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</si>
  <si>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</si>
  <si>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</si>
  <si>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</si>
  <si>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</si>
  <si>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</si>
  <si>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</si>
  <si>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</si>
  <si>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</si>
  <si>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</si>
  <si>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</si>
  <si>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</si>
  <si>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</si>
  <si>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</si>
  <si>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</si>
  <si>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</si>
  <si>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</si>
  <si>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</si>
  <si>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</si>
  <si>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</si>
  <si>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</si>
  <si>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</si>
  <si>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</si>
  <si>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</si>
  <si>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</si>
  <si>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</si>
  <si>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</si>
  <si>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</si>
  <si>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</si>
  <si>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</si>
  <si>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</si>
  <si>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</si>
  <si>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</si>
  <si>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</si>
  <si>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</si>
  <si>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</si>
  <si>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</si>
  <si>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</si>
  <si>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</si>
  <si>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</si>
  <si>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</si>
  <si>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</si>
  <si>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</si>
  <si>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</si>
  <si>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</si>
  <si>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</si>
  <si>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</si>
  <si>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</si>
  <si>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</si>
  <si>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</si>
  <si>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</si>
  <si>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</si>
  <si>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</si>
  <si>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</si>
  <si>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</si>
  <si>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</si>
  <si>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</si>
  <si>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</si>
  <si>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</si>
  <si>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</si>
  <si>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</si>
  <si>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</si>
  <si>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</si>
  <si>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</si>
  <si>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</si>
  <si>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</si>
  <si>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</si>
  <si>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</si>
  <si>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</si>
  <si>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</si>
  <si>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</si>
  <si>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</si>
  <si>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</si>
  <si>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</si>
  <si>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</si>
  <si>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</si>
  <si>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</si>
  <si>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</si>
  <si>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</si>
  <si>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</si>
  <si>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</si>
  <si>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</si>
  <si>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</si>
  <si>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</si>
  <si>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</si>
  <si>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</si>
  <si>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</si>
  <si>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</si>
  <si>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</si>
  <si>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</si>
  <si>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</si>
  <si>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</si>
  <si>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</si>
  <si>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</si>
  <si>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</si>
  <si>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</si>
  <si>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</si>
  <si>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</si>
  <si>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</si>
  <si>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</si>
  <si>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</si>
  <si>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</si>
  <si>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</si>
  <si>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</si>
  <si>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</si>
  <si>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</si>
  <si>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</si>
  <si>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</si>
  <si>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</si>
  <si>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</si>
  <si>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</si>
  <si>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</si>
  <si>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</si>
  <si>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</si>
  <si>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</si>
  <si>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</si>
  <si>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</si>
  <si>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</si>
  <si>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</si>
  <si>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</si>
  <si>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</si>
  <si>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</si>
  <si>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</si>
  <si>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</si>
  <si>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</si>
  <si>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</si>
  <si>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</si>
  <si>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</si>
  <si>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</si>
  <si>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</si>
  <si>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</si>
  <si>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</si>
  <si>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</si>
  <si>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</si>
  <si>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</si>
  <si>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</si>
  <si>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</si>
  <si>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</si>
  <si>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</si>
  <si>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</si>
  <si>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</si>
  <si>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</si>
  <si>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</si>
  <si>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</si>
  <si>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</si>
  <si>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</si>
  <si>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</si>
  <si>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</si>
  <si>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</si>
  <si>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</si>
  <si>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</si>
  <si>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</si>
  <si>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</si>
  <si>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</si>
  <si>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</si>
  <si>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</si>
  <si>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</si>
  <si>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</si>
  <si>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</si>
  <si>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</si>
  <si>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</si>
  <si>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</si>
  <si>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</si>
  <si>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</si>
  <si>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</si>
  <si>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</si>
  <si>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</si>
  <si>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</si>
  <si>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</si>
  <si>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</si>
  <si>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</si>
  <si>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</si>
  <si>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</si>
  <si>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</si>
  <si>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</si>
  <si>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</si>
  <si>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</si>
  <si>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</si>
  <si>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</si>
  <si>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</si>
  <si>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</si>
  <si>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</si>
  <si>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</si>
  <si>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</si>
  <si>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</si>
  <si>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</si>
  <si>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</si>
  <si>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</si>
  <si>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</si>
  <si>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</si>
  <si>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</si>
  <si>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</si>
  <si>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</si>
  <si>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</si>
  <si>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</si>
  <si>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</si>
  <si>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</si>
  <si>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</si>
  <si>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</si>
  <si>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</si>
  <si>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</si>
  <si>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</si>
  <si>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</si>
  <si>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</si>
  <si>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</si>
  <si>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</si>
  <si>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</si>
  <si>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</si>
  <si>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</si>
  <si>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</si>
  <si>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</si>
  <si>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</si>
  <si>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</si>
  <si>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</si>
  <si>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</si>
  <si>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</si>
  <si>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</si>
  <si>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</si>
  <si>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</si>
  <si>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</si>
  <si>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</si>
  <si>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</si>
  <si>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</si>
  <si>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</si>
  <si>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</si>
  <si>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</si>
  <si>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</si>
  <si>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</si>
  <si>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</si>
  <si>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</si>
  <si>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</si>
  <si>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</si>
  <si>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</si>
  <si>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</si>
  <si>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</si>
  <si>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</si>
  <si>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</si>
  <si>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</si>
  <si>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</si>
  <si>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</si>
  <si>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</si>
  <si>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</si>
  <si>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</si>
  <si>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</si>
  <si>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</si>
  <si>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</si>
  <si>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</si>
  <si>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</si>
  <si>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</si>
  <si>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</si>
  <si>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</si>
  <si>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</si>
  <si>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</si>
  <si>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</si>
  <si>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</si>
  <si>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</si>
  <si>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</si>
  <si>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</si>
  <si>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</si>
  <si>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</si>
  <si>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</si>
  <si>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</si>
  <si>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</si>
  <si>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</si>
  <si>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</si>
  <si>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</si>
  <si>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</si>
  <si>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</si>
  <si>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</si>
  <si>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</si>
  <si>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</si>
  <si>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</si>
  <si>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</si>
  <si>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</si>
  <si>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</si>
  <si>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</si>
  <si>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</si>
  <si>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</si>
  <si>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</si>
  <si>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</si>
  <si>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</si>
  <si>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</si>
  <si>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</si>
  <si>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</si>
  <si>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</si>
  <si>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</si>
  <si>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</si>
  <si>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</si>
  <si>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</si>
  <si>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</si>
  <si>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</si>
  <si>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</si>
  <si>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</si>
  <si>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</si>
  <si>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</si>
  <si>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</si>
  <si>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</si>
  <si>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</si>
  <si>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</si>
  <si>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</si>
  <si>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</si>
  <si>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</si>
  <si>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</si>
  <si>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</si>
  <si>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</si>
  <si>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</si>
  <si>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</si>
  <si>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</si>
  <si>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</si>
  <si>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</si>
  <si>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</si>
  <si>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</si>
  <si>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</si>
  <si>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</si>
  <si>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</si>
  <si>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</si>
  <si>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</si>
  <si>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</si>
  <si>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</si>
  <si>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</si>
  <si>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</si>
  <si>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</si>
  <si>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</si>
  <si>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</si>
  <si>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</si>
  <si>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</si>
  <si>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</si>
  <si>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</si>
  <si>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</si>
  <si>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</si>
  <si>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</si>
  <si>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</si>
  <si>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</si>
  <si>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</si>
  <si>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</si>
  <si>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</si>
  <si>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</si>
  <si>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</si>
  <si>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</si>
  <si>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</si>
  <si>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</si>
  <si>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</si>
  <si>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</si>
  <si>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</si>
  <si>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</si>
  <si>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</si>
  <si>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</si>
  <si>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</si>
  <si>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</si>
  <si>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</si>
  <si>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</si>
  <si>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</si>
  <si>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</si>
  <si>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</si>
  <si>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</si>
  <si>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</si>
  <si>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</si>
  <si>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</si>
  <si>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</si>
  <si>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</si>
  <si>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</si>
  <si>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</si>
  <si>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</si>
  <si>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</si>
  <si>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</si>
  <si>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</si>
  <si>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</si>
  <si>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</si>
  <si>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</si>
  <si>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</si>
  <si>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</si>
  <si>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</si>
  <si>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</si>
  <si>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</si>
  <si>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</si>
  <si>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</si>
  <si>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</si>
  <si>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</si>
  <si>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</si>
  <si>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</si>
  <si>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</si>
  <si>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</si>
  <si>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</si>
  <si>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</si>
  <si>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</si>
  <si>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</si>
  <si>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</si>
  <si>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</si>
  <si>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</si>
  <si>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</si>
  <si>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</si>
  <si>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</si>
  <si>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</si>
  <si>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</si>
  <si>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</si>
  <si>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</si>
  <si>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</si>
  <si>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</si>
  <si>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</si>
  <si>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</si>
  <si>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</si>
  <si>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</si>
  <si>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</si>
  <si>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</si>
  <si>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</si>
  <si>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</si>
  <si>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</si>
  <si>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</si>
  <si>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</si>
  <si>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</si>
  <si>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</si>
  <si>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</si>
  <si>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</si>
  <si>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</si>
  <si>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</si>
  <si>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</si>
  <si>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</si>
  <si>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</si>
  <si>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</si>
  <si>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</si>
  <si>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</si>
  <si>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</si>
  <si>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</si>
  <si>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</si>
  <si>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</si>
  <si>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</si>
  <si>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</si>
  <si>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</si>
  <si>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</si>
  <si>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</si>
  <si>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</si>
  <si>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</si>
  <si>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</si>
  <si>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</si>
  <si>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</si>
  <si>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</si>
  <si>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</si>
  <si>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</si>
  <si>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</si>
  <si>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</si>
  <si>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</si>
  <si>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</si>
  <si>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</si>
  <si>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</si>
  <si>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</si>
  <si>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</si>
  <si>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</si>
  <si>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</si>
  <si>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</si>
  <si>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</si>
  <si>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</si>
  <si>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</si>
  <si>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</si>
  <si>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</si>
  <si>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</si>
  <si>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</si>
  <si>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</si>
  <si>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</si>
  <si>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</si>
  <si>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</si>
  <si>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</si>
  <si>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</si>
  <si>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</si>
  <si>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</si>
  <si>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</si>
  <si>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</si>
  <si>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</si>
  <si>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</si>
  <si>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</si>
  <si>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</si>
  <si>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</si>
  <si>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</si>
  <si>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</si>
  <si>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</si>
  <si>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</si>
  <si>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</si>
  <si>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</si>
  <si>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</si>
  <si>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</si>
  <si>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</si>
  <si>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</si>
  <si>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</si>
  <si>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</si>
  <si>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</si>
  <si>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</si>
  <si>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</si>
  <si>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</si>
  <si>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</si>
  <si>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</si>
  <si>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</si>
  <si>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</si>
  <si>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</si>
  <si>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</si>
  <si>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</si>
  <si>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</si>
  <si>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</si>
  <si>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</si>
  <si>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</si>
  <si>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</si>
  <si>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</si>
  <si>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</si>
  <si>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</si>
  <si>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</si>
  <si>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</si>
  <si>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</si>
  <si>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</si>
  <si>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</si>
  <si>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</si>
  <si>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</si>
  <si>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</si>
  <si>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</si>
  <si>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</si>
  <si>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</si>
  <si>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</si>
  <si>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</si>
  <si>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</si>
  <si>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</si>
  <si>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</si>
  <si>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</si>
  <si>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</si>
  <si>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</si>
  <si>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</si>
  <si>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</si>
  <si>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</si>
  <si>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</si>
  <si>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</si>
  <si>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</si>
  <si>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</si>
  <si>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</si>
  <si>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</si>
  <si>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</si>
  <si>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</si>
  <si>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</si>
  <si>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</si>
  <si>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</si>
  <si>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</si>
  <si>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</si>
  <si>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</si>
  <si>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</si>
  <si>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</si>
  <si>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</si>
  <si>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</si>
  <si>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</si>
  <si>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</si>
  <si>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</si>
  <si>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</si>
  <si>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</si>
  <si>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</si>
  <si>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</si>
  <si>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</si>
  <si>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</si>
  <si>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</si>
  <si>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</si>
  <si>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</si>
  <si>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</si>
  <si>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</si>
  <si>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</si>
  <si>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</si>
  <si>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</si>
  <si>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</si>
  <si>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</si>
  <si>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</si>
  <si>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</si>
  <si>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</si>
  <si>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</si>
  <si>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</si>
  <si>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</si>
  <si>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</si>
  <si>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</si>
  <si>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</si>
  <si>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</si>
  <si>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</si>
  <si>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</si>
  <si>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</si>
  <si>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</si>
  <si>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</si>
  <si>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</si>
  <si>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</si>
  <si>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</si>
  <si>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</si>
  <si>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</si>
  <si>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</si>
  <si>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</si>
  <si>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</si>
  <si>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</si>
  <si>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</si>
  <si>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</si>
  <si>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</si>
  <si>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</si>
  <si>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</si>
  <si>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</si>
  <si>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</si>
  <si>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</si>
  <si>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</si>
  <si>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</si>
  <si>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</si>
  <si>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</si>
  <si>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</si>
  <si>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</si>
  <si>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</si>
  <si>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</si>
  <si>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</si>
  <si>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</si>
  <si>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</si>
  <si>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</si>
  <si>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</si>
  <si>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</si>
  <si>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</si>
  <si>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</si>
  <si>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</si>
  <si>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</si>
  <si>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</si>
  <si>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</si>
  <si>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</si>
  <si>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</si>
  <si>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</si>
  <si>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</si>
  <si>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</si>
  <si>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</si>
  <si>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</si>
  <si>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</si>
  <si>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</si>
  <si>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</si>
  <si>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</si>
  <si>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</si>
  <si>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</si>
  <si>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</si>
  <si>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</si>
  <si>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</si>
  <si>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</si>
  <si>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</si>
  <si>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</si>
  <si>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</si>
  <si>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</si>
  <si>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</si>
  <si>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</si>
  <si>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</si>
  <si>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</si>
  <si>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</si>
  <si>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</si>
  <si>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</si>
  <si>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</si>
  <si>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</si>
  <si>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</si>
  <si>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</si>
  <si>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</si>
  <si>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</si>
  <si>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</si>
  <si>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</si>
  <si>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</si>
  <si>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</si>
  <si>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</si>
  <si>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</si>
  <si>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</si>
  <si>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</si>
  <si>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</si>
  <si>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</si>
  <si>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</si>
  <si>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</si>
  <si>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</si>
  <si>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</si>
  <si>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</si>
  <si>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</si>
  <si>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</si>
  <si>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</si>
  <si>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</si>
  <si>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</si>
  <si>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</si>
  <si>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</si>
  <si>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</si>
  <si>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</si>
  <si>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</si>
  <si>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</si>
  <si>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</si>
  <si>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</si>
  <si>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</si>
  <si>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</si>
  <si>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</si>
  <si>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</si>
  <si>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</si>
  <si>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</si>
  <si>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</si>
  <si>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</si>
  <si>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</si>
  <si>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</si>
  <si>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</si>
  <si>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</si>
  <si>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</si>
  <si>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</si>
  <si>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</si>
  <si>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</si>
  <si>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</si>
  <si>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</si>
  <si>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</si>
  <si>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</si>
  <si>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</si>
  <si>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</si>
  <si>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</si>
  <si>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</si>
  <si>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</si>
  <si>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</si>
  <si>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</si>
  <si>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</si>
  <si>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</si>
  <si>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</si>
  <si>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</si>
  <si>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</si>
  <si>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</si>
  <si>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</si>
  <si>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</si>
  <si>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</si>
  <si>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</si>
  <si>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</si>
  <si>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</si>
  <si>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</si>
  <si>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</si>
  <si>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</si>
  <si>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</si>
  <si>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</si>
  <si>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</si>
  <si>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</si>
  <si>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</si>
  <si>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</si>
  <si>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</si>
  <si>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</si>
  <si>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</si>
  <si>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</si>
  <si>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</si>
  <si>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</si>
  <si>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</si>
  <si>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</si>
  <si>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</si>
  <si>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</si>
  <si>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</si>
  <si>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</si>
  <si>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</si>
  <si>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</si>
  <si>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</si>
  <si>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</si>
  <si>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</si>
  <si>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</si>
  <si>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</si>
  <si>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</si>
  <si>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</si>
  <si>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</si>
  <si>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</si>
  <si>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</si>
  <si>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</si>
  <si>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</si>
  <si>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</si>
  <si>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</si>
  <si>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</si>
  <si>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</si>
  <si>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</si>
  <si>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</si>
  <si>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</si>
  <si>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</si>
  <si>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</si>
  <si>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</si>
  <si>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</si>
  <si>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</si>
  <si>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</si>
  <si>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</si>
  <si>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</si>
  <si>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</si>
  <si>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</si>
  <si>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</si>
  <si>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</si>
  <si>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</si>
  <si>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</si>
  <si>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</si>
  <si>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</si>
  <si>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</si>
  <si>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</si>
  <si>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</si>
  <si>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</si>
  <si>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</si>
  <si>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</si>
  <si>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</si>
  <si>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</si>
  <si>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</si>
  <si>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</si>
  <si>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</si>
  <si>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</si>
  <si>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</si>
  <si>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</si>
  <si>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</si>
  <si>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</si>
  <si>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</si>
  <si>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</si>
  <si>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</si>
  <si>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</si>
  <si>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</si>
  <si>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</si>
  <si>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</si>
  <si>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</si>
  <si>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</si>
  <si>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</si>
  <si>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</si>
  <si>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</si>
  <si>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</si>
  <si>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</si>
  <si>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</si>
  <si>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</si>
  <si>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</si>
  <si>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</si>
  <si>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</si>
  <si>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</si>
  <si>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</si>
  <si>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</si>
  <si>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</si>
  <si>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</si>
  <si>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</si>
  <si>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</si>
  <si>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</si>
  <si>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</si>
  <si>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</si>
  <si>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</si>
  <si>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</si>
  <si>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</si>
  <si>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</si>
  <si>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</si>
  <si>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</si>
  <si>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</si>
  <si>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</si>
  <si>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</si>
  <si>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</si>
  <si>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</si>
  <si>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</si>
  <si>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</si>
  <si>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</si>
  <si>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</si>
  <si>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</si>
  <si>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</si>
  <si>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</si>
  <si>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</si>
  <si>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</si>
  <si>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</si>
  <si>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</si>
  <si>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</si>
  <si>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</si>
  <si>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</si>
  <si>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</si>
  <si>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</si>
  <si>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</si>
  <si>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</si>
  <si>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</si>
  <si>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</si>
  <si>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</si>
  <si>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</si>
  <si>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</si>
  <si>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</si>
  <si>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</si>
  <si>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</si>
  <si>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</si>
  <si>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</si>
  <si>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</si>
  <si>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</si>
  <si>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</si>
  <si>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</si>
  <si>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</si>
  <si>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</si>
  <si>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</si>
  <si>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</si>
  <si>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</si>
  <si>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</si>
  <si>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</si>
  <si>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</si>
  <si>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</si>
  <si>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</si>
  <si>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</si>
  <si>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</si>
  <si>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</si>
  <si>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</si>
  <si>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</si>
  <si>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</si>
  <si>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</si>
  <si>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</si>
  <si>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</si>
  <si>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</si>
  <si>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</si>
  <si>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</si>
  <si>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</si>
  <si>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</si>
  <si>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</si>
  <si>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</si>
  <si>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</si>
  <si>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</si>
  <si>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</si>
  <si>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</si>
  <si>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</si>
  <si>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</si>
  <si>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</si>
  <si>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</si>
  <si>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</si>
  <si>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</si>
  <si>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</si>
  <si>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</si>
  <si>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</si>
  <si>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</si>
  <si>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</si>
  <si>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</si>
  <si>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</si>
  <si>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</si>
  <si>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</si>
  <si>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</si>
  <si>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</si>
  <si>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</si>
  <si>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</si>
  <si>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</si>
  <si>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</si>
  <si>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</si>
  <si>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</si>
  <si>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</si>
  <si>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</si>
  <si>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</si>
  <si>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</si>
  <si>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</si>
  <si>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</si>
  <si>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</si>
  <si>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</si>
  <si>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</si>
  <si>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</si>
  <si>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</si>
  <si>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</si>
  <si>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</si>
  <si>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</si>
  <si>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</si>
  <si>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</si>
  <si>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</si>
  <si>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</si>
  <si>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</si>
  <si>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</si>
  <si>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</si>
  <si>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</si>
  <si>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</si>
  <si>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</si>
  <si>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</si>
  <si>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</si>
  <si>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</si>
  <si>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</si>
  <si>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</si>
  <si>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</si>
  <si>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</si>
  <si>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</si>
  <si>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</si>
  <si>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</si>
  <si>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</si>
  <si>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</si>
  <si>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</si>
  <si>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</si>
  <si>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</si>
  <si>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</si>
  <si>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</si>
  <si>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</si>
  <si>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</si>
  <si>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</si>
  <si>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</si>
  <si>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</si>
  <si>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</si>
  <si>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</si>
  <si>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</si>
  <si>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</si>
  <si>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</si>
  <si>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</si>
  <si>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</si>
  <si>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</si>
  <si>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</si>
  <si>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</si>
  <si>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</si>
  <si>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</si>
  <si>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</si>
  <si>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</si>
  <si>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</si>
  <si>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</si>
  <si>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</si>
  <si>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</si>
  <si>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</si>
  <si>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</si>
  <si>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</si>
  <si>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</si>
  <si>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</si>
  <si>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</si>
  <si>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</si>
  <si>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</si>
  <si>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</si>
  <si>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</si>
  <si>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</si>
  <si>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</si>
  <si>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</si>
  <si>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</si>
  <si>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</si>
  <si>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</si>
  <si>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</si>
  <si>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</si>
  <si>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</si>
  <si>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</si>
  <si>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</si>
  <si>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</si>
  <si>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</si>
  <si>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</si>
  <si>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地上</t>
  </si>
  <si>
    <t>是</t>
  </si>
  <si>
    <t>出让</t>
  </si>
  <si>
    <t>商务金融用地（办公类）</t>
  </si>
  <si>
    <t>六通一平</t>
  </si>
  <si>
    <t>缺少</t>
  </si>
  <si>
    <t>通热</t>
  </si>
  <si>
    <t>容积率修正</t>
  </si>
  <si>
    <t>较好</t>
  </si>
  <si>
    <t>成新度</t>
  </si>
  <si>
    <t>已包含在土地取得成本中</t>
  </si>
  <si>
    <t>欧红伟</t>
  </si>
  <si>
    <t>梁津</t>
  </si>
  <si>
    <t>英大国际信托有限责任公司</t>
    <phoneticPr fontId="6" type="noConversion"/>
  </si>
  <si>
    <t>北京正浩置业有限公司</t>
    <phoneticPr fontId="6" type="noConversion"/>
  </si>
  <si>
    <t>抵押</t>
  </si>
  <si>
    <t>已注销</t>
  </si>
  <si>
    <t>房地产抵押价值</t>
  </si>
  <si>
    <t>北京市</t>
  </si>
  <si>
    <t>大兴区黄村镇</t>
    <phoneticPr fontId="6" type="noConversion"/>
  </si>
  <si>
    <t>办公、商业、地下车库</t>
    <phoneticPr fontId="6" type="noConversion"/>
  </si>
  <si>
    <t>《测绘报告》</t>
    <phoneticPr fontId="6" type="noConversion"/>
  </si>
  <si>
    <t>《国有土地使用证》</t>
    <phoneticPr fontId="6" type="noConversion"/>
  </si>
  <si>
    <t>LOFT住宅</t>
  </si>
  <si>
    <t>地下</t>
  </si>
  <si>
    <t>底商</t>
  </si>
  <si>
    <t>车库</t>
  </si>
  <si>
    <t>大兴区新源大街25号院1号楼、2号楼、13号楼和28幢抵押物清单</t>
    <phoneticPr fontId="143" type="noConversion"/>
  </si>
  <si>
    <t>楼栋</t>
  </si>
  <si>
    <t>房号</t>
  </si>
  <si>
    <t>建筑面积</t>
  </si>
  <si>
    <t>2号楼</t>
  </si>
  <si>
    <t>1号楼</t>
  </si>
  <si>
    <t>13号楼</t>
  </si>
  <si>
    <t>28幢</t>
  </si>
  <si>
    <t>-3001</t>
  </si>
  <si>
    <t>-3002</t>
  </si>
  <si>
    <t>-3003</t>
  </si>
  <si>
    <t>-3004</t>
  </si>
  <si>
    <t>-3005</t>
  </si>
  <si>
    <t>-3006</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</si>
  <si>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</si>
  <si>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</si>
  <si>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</si>
  <si>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</si>
  <si>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</si>
  <si>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</si>
  <si>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</si>
  <si>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</si>
  <si>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</si>
  <si>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</si>
  <si>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</si>
  <si>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</si>
  <si>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</si>
  <si>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</si>
  <si>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</si>
  <si>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</si>
  <si>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</si>
  <si>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</si>
  <si>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</si>
  <si>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</si>
  <si>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</si>
  <si>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</si>
  <si>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</si>
  <si>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</si>
  <si>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</si>
  <si>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</si>
  <si>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</si>
  <si>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</si>
  <si>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</si>
  <si>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</si>
  <si>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</si>
  <si>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</si>
  <si>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</si>
  <si>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</si>
  <si>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</si>
  <si>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</si>
  <si>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</si>
  <si>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</si>
  <si>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</si>
  <si>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</si>
  <si>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</si>
  <si>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</si>
  <si>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</si>
  <si>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</si>
  <si>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</si>
  <si>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</si>
  <si>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</si>
  <si>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</si>
  <si>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</si>
  <si>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</si>
  <si>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</si>
  <si>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</si>
  <si>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</si>
  <si>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</si>
  <si>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</si>
  <si>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</si>
  <si>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</si>
  <si>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</si>
  <si>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</si>
  <si>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</si>
  <si>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</si>
  <si>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</si>
  <si>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</si>
  <si>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</si>
  <si>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</si>
  <si>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</si>
  <si>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</si>
  <si>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</si>
  <si>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</si>
  <si>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</si>
  <si>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</si>
  <si>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</si>
  <si>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</si>
  <si>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</si>
  <si>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</si>
  <si>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</si>
  <si>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</si>
  <si>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</si>
  <si>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</si>
  <si>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</si>
  <si>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</si>
  <si>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</si>
  <si>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</si>
  <si>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</si>
  <si>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</si>
  <si>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</si>
  <si>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</si>
  <si>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</si>
  <si>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</si>
  <si>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</si>
  <si>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</si>
  <si>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</si>
  <si>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</si>
  <si>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</si>
  <si>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</si>
  <si>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</si>
  <si>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</si>
  <si>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</si>
  <si>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</si>
  <si>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</si>
  <si>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</si>
  <si>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</si>
  <si>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</si>
  <si>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</si>
  <si>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</si>
  <si>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</si>
  <si>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</si>
  <si>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</si>
  <si>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</si>
  <si>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</si>
  <si>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</si>
  <si>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</si>
  <si>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</si>
  <si>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</si>
  <si>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</si>
  <si>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</si>
  <si>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</si>
  <si>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</si>
  <si>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</si>
  <si>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</si>
  <si>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</si>
  <si>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</si>
  <si>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</si>
  <si>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</si>
  <si>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</si>
  <si>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</si>
  <si>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</si>
  <si>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</si>
  <si>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</si>
  <si>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</si>
  <si>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</si>
  <si>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</si>
  <si>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</si>
  <si>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</si>
  <si>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</si>
  <si>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</si>
  <si>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</si>
  <si>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</si>
  <si>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</si>
  <si>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</si>
  <si>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</si>
  <si>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</si>
  <si>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</si>
  <si>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</si>
  <si>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</si>
  <si>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</si>
  <si>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</si>
  <si>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</si>
  <si>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</si>
  <si>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</si>
  <si>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</si>
  <si>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</si>
  <si>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</si>
  <si>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</si>
  <si>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</si>
  <si>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</si>
  <si>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</si>
  <si>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</si>
  <si>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</si>
  <si>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</si>
  <si>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</si>
  <si>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</si>
  <si>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</si>
  <si>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</si>
  <si>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</si>
  <si>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</si>
  <si>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</si>
  <si>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</si>
  <si>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</si>
  <si>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</si>
  <si>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</si>
  <si>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</si>
  <si>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</si>
  <si>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</si>
  <si>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</si>
  <si>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</si>
  <si>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合计</t>
    <phoneticPr fontId="143" type="noConversion"/>
  </si>
  <si>
    <t>-</t>
    <phoneticPr fontId="143" type="noConversion"/>
  </si>
  <si>
    <t>4号楼</t>
  </si>
  <si>
    <t>3号楼</t>
  </si>
  <si>
    <t>101</t>
  </si>
  <si>
    <t>102</t>
  </si>
  <si>
    <t>201</t>
  </si>
  <si>
    <t>202</t>
  </si>
  <si>
    <t>301</t>
  </si>
  <si>
    <t>302</t>
  </si>
  <si>
    <t>401</t>
  </si>
  <si>
    <t>402</t>
  </si>
  <si>
    <t>501</t>
  </si>
  <si>
    <t>502</t>
  </si>
  <si>
    <t>601</t>
  </si>
  <si>
    <t>602</t>
  </si>
  <si>
    <t>701</t>
  </si>
  <si>
    <t>702</t>
  </si>
  <si>
    <t>801</t>
  </si>
  <si>
    <t>802</t>
  </si>
  <si>
    <t>901</t>
  </si>
  <si>
    <t>902</t>
  </si>
  <si>
    <t>1002</t>
  </si>
  <si>
    <t>1101</t>
  </si>
  <si>
    <t>1102</t>
  </si>
  <si>
    <t>1201</t>
  </si>
  <si>
    <t>1202</t>
  </si>
  <si>
    <t>1301</t>
  </si>
  <si>
    <t>1302</t>
  </si>
  <si>
    <t>1401</t>
  </si>
  <si>
    <t>1402</t>
  </si>
  <si>
    <t>1501</t>
  </si>
  <si>
    <t>1502</t>
  </si>
  <si>
    <t>1601</t>
  </si>
  <si>
    <t>1602</t>
  </si>
  <si>
    <t>1701</t>
  </si>
  <si>
    <t>1702</t>
  </si>
  <si>
    <t>1801</t>
  </si>
  <si>
    <t>1802</t>
  </si>
  <si>
    <t>1901</t>
  </si>
  <si>
    <t>1902</t>
  </si>
  <si>
    <t>2002</t>
  </si>
  <si>
    <t>2101</t>
  </si>
  <si>
    <t>2102</t>
  </si>
  <si>
    <t>2201</t>
  </si>
  <si>
    <t>2202</t>
  </si>
  <si>
    <t>-</t>
    <phoneticPr fontId="143" type="noConversion"/>
  </si>
  <si>
    <t>5号楼</t>
  </si>
  <si>
    <t>6号楼</t>
  </si>
  <si>
    <t>实测建面</t>
  </si>
  <si>
    <t>7号楼</t>
  </si>
  <si>
    <r>
      <rPr>
        <sz val="11"/>
        <color theme="1"/>
        <rFont val="宋体"/>
        <family val="3"/>
        <charset val="134"/>
      </rPr>
      <t>2</t>
    </r>
    <r>
      <rPr>
        <sz val="11"/>
        <color theme="1"/>
        <rFont val="宋体"/>
        <family val="3"/>
        <charset val="134"/>
      </rPr>
      <t>4幢</t>
    </r>
  </si>
  <si>
    <t>24幢</t>
  </si>
  <si>
    <t>合计</t>
    <phoneticPr fontId="143" type="noConversion"/>
  </si>
  <si>
    <t>-</t>
    <phoneticPr fontId="143" type="noConversion"/>
  </si>
  <si>
    <t>25幢</t>
  </si>
  <si>
    <t>合计</t>
    <phoneticPr fontId="143" type="noConversion"/>
  </si>
  <si>
    <t>-</t>
    <phoneticPr fontId="143" type="noConversion"/>
  </si>
  <si>
    <t>27幢</t>
  </si>
  <si>
    <t>-</t>
    <phoneticPr fontId="143" type="noConversion"/>
  </si>
  <si>
    <t>车位个数</t>
    <phoneticPr fontId="143" type="noConversion"/>
  </si>
  <si>
    <t>面积</t>
    <phoneticPr fontId="143" type="noConversion"/>
  </si>
  <si>
    <t>办公</t>
    <phoneticPr fontId="143" type="noConversion"/>
  </si>
  <si>
    <t>商业</t>
    <phoneticPr fontId="143" type="noConversion"/>
  </si>
  <si>
    <t>车库</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</si>
  <si>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</si>
  <si>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</si>
  <si>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</si>
  <si>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</si>
  <si>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</si>
  <si>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</si>
  <si>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</si>
  <si>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</si>
  <si>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</si>
  <si>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</si>
  <si>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</si>
  <si>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</si>
  <si>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</si>
  <si>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r>
      <rPr>
        <sz val="10"/>
        <rFont val="宋体"/>
        <family val="3"/>
        <charset val="134"/>
      </rPr>
      <t>大兴开发区北区</t>
    </r>
    <r>
      <rPr>
        <sz val="10"/>
        <rFont val="Arial"/>
        <family val="2"/>
      </rPr>
      <t>1</t>
    </r>
    <r>
      <rPr>
        <sz val="10"/>
        <rFont val="宋体"/>
        <family val="3"/>
        <charset val="134"/>
      </rPr>
      <t>号地</t>
    </r>
    <r>
      <rPr>
        <sz val="10"/>
        <rFont val="Arial"/>
        <family val="2"/>
      </rPr>
      <t>DX00-0301-0145</t>
    </r>
    <r>
      <rPr>
        <sz val="10"/>
        <rFont val="宋体"/>
        <family val="3"/>
        <charset val="134"/>
      </rPr>
      <t>地块</t>
    </r>
    <phoneticPr fontId="143" type="noConversion"/>
  </si>
  <si>
    <t>商业/办公用地</t>
  </si>
  <si>
    <t>挂牌</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</si>
  <si>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</si>
  <si>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</si>
  <si>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</si>
  <si>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</si>
  <si>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</si>
  <si>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</si>
  <si>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</si>
  <si>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</si>
  <si>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</si>
  <si>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</si>
  <si>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</si>
  <si>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</si>
  <si>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</si>
  <si>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</si>
  <si>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</si>
  <si>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</si>
  <si>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</si>
  <si>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</si>
  <si>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</si>
  <si>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</si>
  <si>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</si>
  <si>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</si>
  <si>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</si>
  <si>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</si>
  <si>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</si>
  <si>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</si>
  <si>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</si>
  <si>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</si>
  <si>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大兴区三合庄改造区A组团0202-0907地块商业用地</t>
  </si>
  <si>
    <t>2015-01-07</t>
  </si>
  <si>
    <t>北京城康华房地产开发有限公司</t>
  </si>
  <si>
    <t>大兴区西红门0302-010-2地块F3其它类多功能用地</t>
  </si>
  <si>
    <t>2014-05-06</t>
  </si>
  <si>
    <t>北京天恒房地产股份有限公司</t>
  </si>
  <si>
    <t>大兴区西红门0302-010-1、0302-009地块F3其它类多功能用地、S3社会停车场库用地</t>
  </si>
  <si>
    <t>北京上和致远房地产有限公司</t>
  </si>
  <si>
    <t>大兴区黄村镇DX00-0101-0801等地块C2商业金融用地</t>
  </si>
  <si>
    <t>2014-04-24</t>
  </si>
  <si>
    <t>北京万科企业有限公司和北京城市开发集团有限责任公司联合体</t>
  </si>
  <si>
    <t>北京经济技术开发区路东区E2F-1地块F3其他类多功能用地</t>
  </si>
  <si>
    <t>≤2.5</t>
  </si>
  <si>
    <t>北京亦庄数字显示产业管理有限公司</t>
  </si>
  <si>
    <t>北京经济技术开发区路东区A18C-1、A18C-2地块C2商业金融用地</t>
  </si>
  <si>
    <t>2.82-3.32</t>
  </si>
  <si>
    <t>北京亦庄盛元投资开发有限公司</t>
  </si>
  <si>
    <t>大兴区黄村镇0101-016a等地块F3其它类多功能用地</t>
  </si>
  <si>
    <t>2014-04-10</t>
  </si>
  <si>
    <t>福州泰禾房地产开发有限公司</t>
  </si>
  <si>
    <t>大兴区黄村镇0101-017、021a、021c地块F3其它类多功能用地</t>
  </si>
  <si>
    <t>大兴区魏善庄镇北区、西区AA-29地块F3其它类多功能用地项目</t>
  </si>
  <si>
    <t>2013-07-03</t>
  </si>
  <si>
    <t>北京城建兴华地产有限公司</t>
  </si>
  <si>
    <t>大兴区魏善庄镇北区、西区AA-25地块F3其它类多功能用地项目</t>
  </si>
  <si>
    <t>2013-05-22</t>
  </si>
  <si>
    <t>大兴区新城核心区I、J组团0101-009、012地块商业金融、广场用地项目</t>
  </si>
  <si>
    <t>北京万科企业有限公司和北京首都开发股份有限公司联合体</t>
  </si>
  <si>
    <t>大兴区生物医药产业基地0504-018地块F3其它类多功能用地项目</t>
  </si>
  <si>
    <t>2012-12-31</t>
  </si>
  <si>
    <t>北京绿地京城置业有限公司</t>
  </si>
  <si>
    <t>大兴区新城核心区I组团0101-013地块商业金融用地项目</t>
  </si>
  <si>
    <t>北京宜化恒业科技发展有限公司</t>
  </si>
  <si>
    <t>大兴区庞各庄镇镇区改造6号地PGZ01-11地块商业金融用地项目</t>
  </si>
  <si>
    <t>招标</t>
  </si>
  <si>
    <t>2012-11-29</t>
  </si>
  <si>
    <t>北京龙熙房地产开发有限责任公司</t>
  </si>
  <si>
    <t>北京经济技术开发区河西区X48C1地块</t>
  </si>
  <si>
    <t>2012-08-15</t>
  </si>
  <si>
    <t>瑞云云计算研发建设有限公司</t>
  </si>
  <si>
    <t>经济技术开发区路东区G6F-4地块</t>
  </si>
  <si>
    <t>2012-07-16</t>
  </si>
  <si>
    <t>北京星网卫通科技开发有限公司</t>
  </si>
  <si>
    <t>北京经济技术开发区路东区E16C1-1、E16C1-2地块C2商业金融用地建设用地</t>
  </si>
  <si>
    <t>2012-01-10</t>
  </si>
  <si>
    <t>北京京东世纪贸易有限公司</t>
  </si>
  <si>
    <t>大兴区新城北区0302-008地块项目</t>
  </si>
  <si>
    <t>2012-01-06</t>
  </si>
  <si>
    <t>北京星光拓诚投资有限公司</t>
  </si>
  <si>
    <t>北京经济技术开发区南部新区X44C1地块C2商业金融用地建设用地</t>
  </si>
  <si>
    <t>2011-12-12</t>
  </si>
  <si>
    <t>中国国机重工集团有限公司</t>
  </si>
  <si>
    <t>成交日期</t>
  </si>
  <si>
    <t>成交每亩价(万元/亩)</t>
  </si>
  <si>
    <t>出让年限</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</si>
  <si>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</si>
  <si>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</si>
  <si>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</si>
  <si>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</si>
  <si>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房山区长阳镇FS00-LX10-0042等地块</t>
  </si>
  <si>
    <t>2016-11-28</t>
  </si>
  <si>
    <t>北京龙湖天行置业有限公司、北京首都开发股份有限公司</t>
  </si>
  <si>
    <t>商业40年、办公50年</t>
  </si>
  <si>
    <t>房山区拱辰街道FS00-LX11-0007地块</t>
  </si>
  <si>
    <t>北京旭辉合创投资有限公司</t>
  </si>
  <si>
    <t>房山区拱辰街道FS00-LX07-0097地块</t>
  </si>
  <si>
    <t>2016-09-01</t>
  </si>
  <si>
    <t>北京龙建诚信房地产开发有限公司</t>
  </si>
  <si>
    <t>房山区房山新城良乡组团14-03-05地块(原北京西南良乡物流基地A-013地块北侧)C2商业金融用地</t>
  </si>
  <si>
    <t>2014-07-29</t>
  </si>
  <si>
    <t>北京天洋基业投资有限公司</t>
  </si>
  <si>
    <t>商业40年、综合50年</t>
  </si>
  <si>
    <t>房山区房山新城良乡组团14-03-13地块(原北京西南良乡物流基地A-013地块南侧)C2商业金融用地</t>
  </si>
  <si>
    <t>房山区房山新城良乡组团14街区14-03-10等地块(原良乡物流基地商品展销中心项目)商业金融及社会停车场库用地</t>
  </si>
  <si>
    <t>房山区长沟镇FS12-0001-0075地块(原长沟镇中心区5号地)F3其它类多功能用地</t>
  </si>
  <si>
    <t>2014-04-04</t>
  </si>
  <si>
    <t>北京双传和信文化科技有限公司</t>
  </si>
  <si>
    <t>房山区拱辰街道办事处及长阳镇09-04-21地块商业金融用地(高教园区3号东侧地块)</t>
  </si>
  <si>
    <t>2014-01-07</t>
  </si>
  <si>
    <t>北京创意港商务服务有限公司、北京房开鼎盛投资有限公司和云南城投置业股份有限公司联合体</t>
  </si>
  <si>
    <t>房山区拱辰街道09-03-06地块C3文化娱乐用地(高教园区8号地块)</t>
  </si>
  <si>
    <t>北京房开韩建置业有限公司</t>
  </si>
  <si>
    <t>房山区长阳镇起步区九号地03-9-02等地块其它类多功能、文化娱乐、社会停车场库、交通设施及邮电设施用地</t>
  </si>
  <si>
    <t>北京万科企业有限公司</t>
  </si>
  <si>
    <t>房山区拱辰街道办事处及长阳镇09-03-12地块C2商业金融用地</t>
  </si>
  <si>
    <t>2013-07-01</t>
  </si>
  <si>
    <t>绿地集团北京京永置业有限公司</t>
  </si>
  <si>
    <t>房山区拱辰街道办事处及长阳镇09-05-03地块商业金融用地</t>
  </si>
  <si>
    <t>2013-06-27</t>
  </si>
  <si>
    <t>房山区拱辰街道办事处05-13-01、05-13-05地块商业金融、体育设施用地项目</t>
  </si>
  <si>
    <t>2013-02-28</t>
  </si>
  <si>
    <t>北京良乡城市建设开发有限公司</t>
  </si>
  <si>
    <t>房山区拱辰街道办事处05-13-10、05-13-12等地块商业金融用地项目</t>
  </si>
  <si>
    <t>2013-02-22</t>
  </si>
  <si>
    <t>绿地控股集团有限公司</t>
  </si>
  <si>
    <t>loft</t>
    <phoneticPr fontId="7" type="noConversion"/>
  </si>
  <si>
    <t>商业</t>
    <phoneticPr fontId="7" type="noConversion"/>
  </si>
  <si>
    <t>Ⅷ-兴1</t>
  </si>
  <si>
    <t>商业、综合</t>
  </si>
  <si>
    <t>商业、综合</t>
    <phoneticPr fontId="31" type="noConversion"/>
  </si>
  <si>
    <r>
      <rPr>
        <sz val="11"/>
        <color indexed="8"/>
        <rFont val="宋体"/>
        <family val="3"/>
        <charset val="134"/>
      </rPr>
      <t>商业</t>
    </r>
    <r>
      <rPr>
        <sz val="11"/>
        <color indexed="8"/>
        <rFont val="Arial"/>
        <family val="2"/>
      </rPr>
      <t>36.2</t>
    </r>
    <r>
      <rPr>
        <sz val="11"/>
        <color indexed="8"/>
        <rFont val="宋体"/>
        <family val="3"/>
        <charset val="134"/>
      </rPr>
      <t>年、综合</t>
    </r>
    <r>
      <rPr>
        <sz val="11"/>
        <color indexed="8"/>
        <rFont val="Arial"/>
        <family val="2"/>
      </rPr>
      <t>46.2</t>
    </r>
    <r>
      <rPr>
        <sz val="11"/>
        <color indexed="8"/>
        <rFont val="宋体"/>
        <family val="3"/>
        <charset val="134"/>
      </rPr>
      <t>年</t>
    </r>
    <phoneticPr fontId="3" type="noConversion"/>
  </si>
  <si>
    <r>
      <rPr>
        <sz val="11"/>
        <color indexed="8"/>
        <rFont val="宋体"/>
        <family val="3"/>
        <charset val="134"/>
      </rPr>
      <t>商业</t>
    </r>
    <r>
      <rPr>
        <sz val="11"/>
        <color indexed="8"/>
        <rFont val="Arial"/>
        <family val="2"/>
      </rPr>
      <t>40</t>
    </r>
    <r>
      <rPr>
        <sz val="11"/>
        <color indexed="8"/>
        <rFont val="宋体"/>
        <family val="3"/>
        <charset val="134"/>
      </rPr>
      <t>年、综合</t>
    </r>
    <r>
      <rPr>
        <sz val="11"/>
        <color indexed="8"/>
        <rFont val="Arial"/>
        <family val="2"/>
      </rPr>
      <t>50</t>
    </r>
    <r>
      <rPr>
        <sz val="11"/>
        <color indexed="8"/>
        <rFont val="宋体"/>
        <family val="3"/>
        <charset val="134"/>
      </rPr>
      <t>年</t>
    </r>
    <phoneticPr fontId="3" type="noConversion"/>
  </si>
  <si>
    <t>一般</t>
  </si>
  <si>
    <t>七通</t>
  </si>
  <si>
    <t>双面临街</t>
  </si>
  <si>
    <t>次干道</t>
  </si>
  <si>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</si>
  <si>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</si>
  <si>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</si>
  <si>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</si>
  <si>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</si>
  <si>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</si>
  <si>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</si>
  <si>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</si>
  <si>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</si>
  <si>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</si>
  <si>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</si>
  <si>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</si>
  <si>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</si>
  <si>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</si>
  <si>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</si>
  <si>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</si>
  <si>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</si>
  <si>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较规则</t>
  </si>
  <si>
    <t>比例较适宜</t>
  </si>
  <si>
    <t>三通一平</t>
  </si>
  <si>
    <t>车库—办公</t>
  </si>
  <si>
    <t>区域内分布多为社区配套商业，商业规模较小，与商业中心距离较远，人流量一般，综合考虑商业繁华度一般。</t>
    <phoneticPr fontId="3" type="noConversion"/>
  </si>
  <si>
    <t>区域内分布有盈润大厦、绿地中央广场，写字楼规模一般，综合考虑办公集聚程度一般。</t>
    <phoneticPr fontId="3" type="noConversion"/>
  </si>
  <si>
    <t>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t>
    <phoneticPr fontId="3" type="noConversion"/>
  </si>
  <si>
    <t>估价对象所在区域公共配套设施齐备度一般</t>
    <phoneticPr fontId="3" type="noConversion"/>
  </si>
  <si>
    <t>估价对象所在区域基础设施水平七通</t>
    <phoneticPr fontId="3" type="noConversion"/>
  </si>
  <si>
    <t>估价对象所处区域土地利用类型多为居住用地；估价对象周边有念坛公园，绿化率较好，周边无高等教育学校，无大型污染源，综合考虑自然及人文环境一般。</t>
    <phoneticPr fontId="3" type="noConversion"/>
  </si>
  <si>
    <t>城市次干道——新源大街</t>
    <phoneticPr fontId="3" type="noConversion"/>
  </si>
  <si>
    <t>loft</t>
  </si>
  <si>
    <t>租金</t>
  </si>
  <si>
    <t>新媒体大厦</t>
    <phoneticPr fontId="3" type="noConversion"/>
  </si>
  <si>
    <t>40-50（含）</t>
  </si>
  <si>
    <t>办公</t>
    <phoneticPr fontId="32"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</si>
  <si>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</si>
  <si>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</si>
  <si>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</si>
  <si>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</si>
  <si>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</si>
  <si>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支路</t>
  </si>
  <si>
    <t>100-200</t>
    <phoneticPr fontId="3"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</si>
  <si>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</si>
  <si>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</si>
  <si>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</si>
  <si>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</si>
  <si>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</si>
  <si>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</si>
  <si>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</si>
  <si>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</si>
  <si>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</si>
  <si>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</si>
  <si>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</si>
  <si>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</si>
  <si>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</si>
  <si>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</si>
  <si>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</si>
  <si>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</si>
  <si>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</si>
  <si>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</si>
  <si>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</si>
  <si>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</si>
  <si>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</si>
  <si>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</si>
  <si>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</si>
  <si>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</si>
  <si>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</si>
  <si>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200-300</t>
    <phoneticPr fontId="3" type="noConversion"/>
  </si>
  <si>
    <t>300-400</t>
    <phoneticPr fontId="3" type="noConversion"/>
  </si>
  <si>
    <t>400-500</t>
    <phoneticPr fontId="3" type="noConversion"/>
  </si>
  <si>
    <t>标准写字楼</t>
  </si>
  <si>
    <t>钢混</t>
  </si>
  <si>
    <t>精装修</t>
  </si>
  <si>
    <t>标准层高</t>
  </si>
  <si>
    <t>普通装修</t>
  </si>
  <si>
    <t>loft</t>
    <phoneticPr fontId="3" type="noConversion"/>
  </si>
  <si>
    <t>建筑类型</t>
    <phoneticPr fontId="32" type="noConversion"/>
  </si>
  <si>
    <t>loft</t>
    <phoneticPr fontId="32" type="noConversion"/>
  </si>
  <si>
    <t>平层</t>
    <phoneticPr fontId="32" type="noConversion"/>
  </si>
  <si>
    <t>平层</t>
    <phoneticPr fontId="32" type="noConversion"/>
  </si>
  <si>
    <t>六通</t>
  </si>
  <si>
    <t>绿地中央广场</t>
    <phoneticPr fontId="3" type="noConversion"/>
  </si>
  <si>
    <t>兴创国际中心</t>
    <phoneticPr fontId="3" type="noConversion"/>
  </si>
  <si>
    <t>收益法（办公）</t>
  </si>
  <si>
    <t>收益法（办公）</t>
    <phoneticPr fontId="16" type="noConversion"/>
  </si>
  <si>
    <t>收益法（商业）</t>
  </si>
  <si>
    <t>收益法（商业）</t>
    <phoneticPr fontId="16" type="noConversion"/>
  </si>
  <si>
    <t>收益法（地下车库）</t>
  </si>
  <si>
    <t>收益法（地下车库）</t>
    <phoneticPr fontId="16" type="noConversion"/>
  </si>
  <si>
    <t>成本法（办公）</t>
  </si>
  <si>
    <t>成本法（办公）</t>
    <phoneticPr fontId="16" type="noConversion"/>
  </si>
  <si>
    <t>成本法（商业）</t>
  </si>
  <si>
    <t>成本法（商业）</t>
    <phoneticPr fontId="16" type="noConversion"/>
  </si>
  <si>
    <t>成本法（地下车库）</t>
  </si>
  <si>
    <t>成本法（地下车库）</t>
    <phoneticPr fontId="16" type="noConversion"/>
  </si>
  <si>
    <t>押一</t>
  </si>
  <si>
    <t>非生产用房</t>
  </si>
  <si>
    <t>否</t>
  </si>
  <si>
    <t>比较法</t>
  </si>
  <si>
    <t>自定义</t>
  </si>
  <si>
    <t>现房</t>
  </si>
  <si>
    <t>成本比率</t>
  </si>
  <si>
    <t>北京正浩置业有限公司</t>
    <phoneticPr fontId="6" type="noConversion"/>
  </si>
  <si>
    <t>按房产原值计税</t>
  </si>
  <si>
    <t>平面车位</t>
    <phoneticPr fontId="143" type="noConversion"/>
  </si>
  <si>
    <t>立体车位</t>
    <phoneticPr fontId="143" type="noConversion"/>
  </si>
  <si>
    <t>租金</t>
    <phoneticPr fontId="143" type="noConversion"/>
  </si>
  <si>
    <t>地下车库</t>
    <phoneticPr fontId="7" type="noConversion"/>
  </si>
  <si>
    <t>单价</t>
    <phoneticPr fontId="143" type="noConversion"/>
  </si>
  <si>
    <t>总价</t>
    <phoneticPr fontId="143" type="noConversion"/>
  </si>
  <si>
    <t>——</t>
    <phoneticPr fontId="143" type="noConversion"/>
  </si>
  <si>
    <t>——</t>
    <phoneticPr fontId="143" type="noConversion"/>
  </si>
  <si>
    <t>评估值</t>
  </si>
  <si>
    <t>评估值</t>
    <phoneticPr fontId="143" type="noConversion"/>
  </si>
  <si>
    <t>办公</t>
    <phoneticPr fontId="143" type="noConversion"/>
  </si>
  <si>
    <t>商业</t>
    <phoneticPr fontId="143" type="noConversion"/>
  </si>
  <si>
    <t>车库</t>
    <phoneticPr fontId="143" type="noConversion"/>
  </si>
  <si>
    <t>总评估值</t>
    <phoneticPr fontId="143" type="noConversion"/>
  </si>
  <si>
    <t>去掉最后一套</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</si>
</sst>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0" fontId="104" fillId="6" borderId="1" xfId="0"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00" fillId="0" borderId="1" xfId="0" applyFont="1" applyBorder="1" applyAlignment="1">
      <alignment horizontal="center"/>
    </xf>
    <xf numFmtId="0" fontId="0" fillId="0" borderId="1" xfId="0" applyBorder="1" applyAlignment="1">
      <alignment horizontal="center" vertical="center"/>
    </xf>
    <xf numFmtId="0" fontId="99" fillId="0" borderId="1" xfId="0" applyFont="1" applyBorder="1" applyAlignment="1">
      <alignment horizontal="center"/>
    </xf>
    <xf numFmtId="0" fontId="19" fillId="0" borderId="1" xfId="0" applyNumberFormat="1" applyFont="1" applyFill="1" applyBorder="1" applyAlignment="1" applyProtection="1">
      <alignment horizontal="center" vertical="center" shrinkToFit="1"/>
    </xf>
    <xf numFmtId="0" fontId="100" fillId="5" borderId="1" xfId="0" applyFont="1" applyFill="1" applyBorder="1" applyAlignment="1">
      <alignment horizontal="center" vertical="center"/>
    </xf>
    <xf numFmtId="49" fontId="19" fillId="0" borderId="1" xfId="0" applyNumberFormat="1" applyFont="1" applyFill="1" applyBorder="1" applyAlignment="1" applyProtection="1">
      <alignment horizontal="center" vertical="center" shrinkToFit="1"/>
    </xf>
    <xf numFmtId="0" fontId="113" fillId="0" borderId="1" xfId="0" applyFont="1" applyBorder="1" applyAlignment="1">
      <alignment horizontal="center"/>
    </xf>
    <xf numFmtId="0" fontId="100" fillId="5" borderId="1" xfId="0" applyFont="1" applyFill="1" applyBorder="1" applyAlignment="1">
      <alignment horizontal="center"/>
    </xf>
    <xf numFmtId="0" fontId="119" fillId="5" borderId="1" xfId="0" applyFont="1" applyFill="1" applyBorder="1" applyAlignment="1">
      <alignment horizontal="center"/>
    </xf>
    <xf numFmtId="0" fontId="100" fillId="17" borderId="1" xfId="0" applyFont="1" applyFill="1" applyBorder="1" applyAlignment="1">
      <alignment horizontal="center"/>
    </xf>
    <xf numFmtId="0" fontId="100" fillId="17" borderId="1" xfId="3" applyNumberFormat="1" applyFont="1" applyFill="1" applyBorder="1" applyAlignment="1">
      <alignment horizontal="center" vertical="center" wrapText="1"/>
    </xf>
    <xf numFmtId="0" fontId="99" fillId="0" borderId="1" xfId="3" applyBorder="1" applyAlignment="1">
      <alignment horizontal="center" vertical="center"/>
    </xf>
    <xf numFmtId="176" fontId="100" fillId="0" borderId="15" xfId="0" applyNumberFormat="1" applyFont="1" applyFill="1" applyBorder="1" applyAlignment="1">
      <alignment horizontal="center"/>
    </xf>
    <xf numFmtId="0" fontId="99" fillId="0" borderId="1" xfId="0" applyFont="1" applyBorder="1" applyAlignment="1">
      <alignment horizontal="center" vertical="center"/>
    </xf>
    <xf numFmtId="176" fontId="19" fillId="0" borderId="1" xfId="0" applyNumberFormat="1" applyFont="1" applyFill="1" applyBorder="1" applyAlignment="1" applyProtection="1">
      <alignment horizontal="center" vertical="center" shrinkToFit="1"/>
    </xf>
    <xf numFmtId="179" fontId="19" fillId="0" borderId="1" xfId="0" applyNumberFormat="1" applyFont="1" applyFill="1" applyBorder="1" applyAlignment="1" applyProtection="1">
      <alignment horizontal="center" vertical="center" shrinkToFit="1"/>
    </xf>
    <xf numFmtId="0" fontId="99" fillId="0" borderId="1" xfId="3" applyFill="1" applyBorder="1" applyAlignment="1">
      <alignment horizontal="center" vertical="center"/>
    </xf>
    <xf numFmtId="0" fontId="100" fillId="5" borderId="1" xfId="3" applyFont="1" applyFill="1" applyBorder="1" applyAlignment="1">
      <alignment horizontal="center" vertical="center"/>
    </xf>
    <xf numFmtId="49" fontId="98" fillId="0" borderId="1" xfId="3" applyNumberFormat="1" applyFont="1" applyFill="1" applyBorder="1" applyAlignment="1" applyProtection="1">
      <alignment horizontal="center" vertical="center" shrinkToFit="1"/>
    </xf>
    <xf numFmtId="0" fontId="99" fillId="0" borderId="1" xfId="3" applyNumberFormat="1" applyFont="1" applyFill="1" applyBorder="1" applyAlignment="1">
      <alignment horizontal="center" vertical="center" wrapText="1"/>
    </xf>
    <xf numFmtId="197" fontId="19" fillId="0" borderId="1" xfId="0" applyNumberFormat="1" applyFont="1" applyFill="1" applyBorder="1" applyAlignment="1" applyProtection="1">
      <alignment horizontal="center" vertical="center" shrinkToFit="1"/>
    </xf>
    <xf numFmtId="0" fontId="100" fillId="5" borderId="1" xfId="3" applyNumberFormat="1" applyFont="1" applyFill="1" applyBorder="1" applyAlignment="1">
      <alignment horizontal="center" vertical="center" wrapText="1"/>
    </xf>
    <xf numFmtId="0" fontId="0" fillId="0" borderId="1" xfId="0" applyFill="1" applyBorder="1" applyAlignment="1">
      <alignment horizontal="center" vertical="center"/>
    </xf>
    <xf numFmtId="0" fontId="113" fillId="0" borderId="1" xfId="0" applyNumberFormat="1" applyFont="1" applyFill="1" applyBorder="1" applyAlignment="1">
      <alignment horizontal="center" vertical="center" wrapText="1"/>
    </xf>
    <xf numFmtId="0" fontId="119" fillId="5" borderId="1" xfId="0" applyNumberFormat="1" applyFont="1" applyFill="1" applyBorder="1" applyAlignment="1">
      <alignment horizontal="center" vertical="center" wrapText="1"/>
    </xf>
    <xf numFmtId="0" fontId="113" fillId="0" borderId="1" xfId="0" applyFont="1" applyBorder="1" applyAlignment="1">
      <alignment horizontal="center" vertical="center"/>
    </xf>
    <xf numFmtId="0" fontId="119" fillId="5" borderId="1" xfId="0" applyFont="1" applyFill="1" applyBorder="1" applyAlignment="1">
      <alignment horizontal="center" vertical="center"/>
    </xf>
    <xf numFmtId="0" fontId="99" fillId="0" borderId="1" xfId="0" applyFont="1" applyFill="1" applyBorder="1" applyAlignment="1">
      <alignment horizontal="center"/>
    </xf>
    <xf numFmtId="0" fontId="0" fillId="0" borderId="0" xfId="0" applyFill="1" applyAlignment="1"/>
    <xf numFmtId="0" fontId="99" fillId="0" borderId="0" xfId="0" applyFont="1" applyFill="1" applyAlignment="1"/>
    <xf numFmtId="0" fontId="99" fillId="0" borderId="0" xfId="0" applyFont="1" applyAlignment="1"/>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70" fillId="9" borderId="0" xfId="12" applyFill="1"/>
    <xf numFmtId="0" fontId="0" fillId="9" borderId="0" xfId="0" applyFill="1">
      <alignment vertical="center"/>
    </xf>
    <xf numFmtId="0" fontId="170" fillId="0" borderId="0" xfId="12" applyFill="1"/>
    <xf numFmtId="0" fontId="0" fillId="0" borderId="0" xfId="0" applyFill="1">
      <alignment vertical="center"/>
    </xf>
    <xf numFmtId="0" fontId="56" fillId="0" borderId="0" xfId="13"/>
    <xf numFmtId="0" fontId="56" fillId="9" borderId="0" xfId="13" applyFill="1"/>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4" fillId="2" borderId="37" xfId="0" applyNumberFormat="1" applyFont="1" applyFill="1" applyBorder="1" applyAlignment="1" applyProtection="1">
      <alignment horizontal="center" vertical="center" wrapText="1"/>
      <protection locked="0"/>
    </xf>
    <xf numFmtId="0" fontId="254" fillId="2" borderId="41" xfId="0" applyNumberFormat="1" applyFont="1" applyFill="1" applyBorder="1" applyAlignment="1" applyProtection="1">
      <alignment horizontal="center" vertical="center" wrapText="1"/>
      <protection locked="0"/>
    </xf>
    <xf numFmtId="179" fontId="50" fillId="9" borderId="1"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49" fontId="102" fillId="0" borderId="24" xfId="0" applyNumberFormat="1" applyFont="1" applyFill="1" applyBorder="1" applyAlignment="1" applyProtection="1">
      <alignment horizontal="center" vertical="center" wrapText="1"/>
      <protection locked="0"/>
    </xf>
    <xf numFmtId="0" fontId="102" fillId="0" borderId="2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protection locked="0"/>
    </xf>
    <xf numFmtId="184" fontId="47" fillId="6" borderId="26" xfId="0" applyNumberFormat="1" applyFont="1" applyFill="1" applyBorder="1" applyAlignment="1" applyProtection="1">
      <alignment horizontal="center" vertical="center" wrapText="1"/>
      <protection locked="0"/>
    </xf>
    <xf numFmtId="49" fontId="22" fillId="2" borderId="23"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4" fillId="0" borderId="9" xfId="0" applyNumberFormat="1" applyFont="1" applyFill="1" applyBorder="1" applyAlignment="1" applyProtection="1">
      <alignment horizontal="center" vertical="center" wrapText="1"/>
      <protection locked="0"/>
    </xf>
    <xf numFmtId="0" fontId="254" fillId="2" borderId="23" xfId="0" applyNumberFormat="1" applyFont="1" applyFill="1" applyBorder="1" applyAlignment="1" applyProtection="1">
      <alignment horizontal="center" vertical="center" wrapText="1"/>
      <protection locked="0"/>
    </xf>
    <xf numFmtId="0" fontId="22"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56" fillId="9" borderId="24" xfId="0" applyFont="1" applyFill="1" applyBorder="1" applyAlignment="1" applyProtection="1">
      <alignment horizontal="center" vertical="center"/>
      <protection locked="0"/>
    </xf>
    <xf numFmtId="0" fontId="120" fillId="5" borderId="23" xfId="0" applyFont="1" applyFill="1" applyBorder="1" applyAlignment="1" applyProtection="1">
      <alignment vertical="center"/>
      <protection locked="0"/>
    </xf>
    <xf numFmtId="0" fontId="120" fillId="5" borderId="23" xfId="0" applyFont="1" applyFill="1" applyBorder="1" applyAlignment="1" applyProtection="1">
      <alignment horizontal="center" vertical="center"/>
      <protection locked="0"/>
    </xf>
    <xf numFmtId="0" fontId="106" fillId="5" borderId="3" xfId="0" applyFont="1" applyFill="1" applyBorder="1" applyAlignment="1" applyProtection="1">
      <alignment horizontal="center" vertical="center"/>
      <protection locked="0"/>
    </xf>
    <xf numFmtId="0" fontId="53" fillId="9" borderId="14" xfId="0" applyFont="1" applyFill="1" applyBorder="1" applyAlignment="1" applyProtection="1">
      <alignment vertical="center" textRotation="255" wrapText="1"/>
    </xf>
    <xf numFmtId="0" fontId="47" fillId="9" borderId="4" xfId="0" applyFont="1" applyFill="1" applyBorder="1" applyAlignment="1" applyProtection="1">
      <alignment horizontal="center" vertical="center" wrapText="1"/>
    </xf>
    <xf numFmtId="0" fontId="106" fillId="9" borderId="6" xfId="0" applyNumberFormat="1" applyFont="1" applyFill="1" applyBorder="1" applyAlignment="1" applyProtection="1">
      <alignment horizontal="center" vertical="center" wrapText="1"/>
      <protection locked="0"/>
    </xf>
    <xf numFmtId="0" fontId="54" fillId="9" borderId="10" xfId="0" applyNumberFormat="1" applyFont="1" applyFill="1" applyBorder="1" applyAlignment="1" applyProtection="1">
      <alignment horizontal="center" vertical="center" wrapText="1"/>
    </xf>
    <xf numFmtId="0" fontId="54" fillId="9" borderId="6" xfId="0" applyNumberFormat="1" applyFont="1" applyFill="1" applyBorder="1" applyAlignment="1" applyProtection="1">
      <alignment horizontal="center" vertical="center" wrapText="1"/>
      <protection locked="0"/>
    </xf>
    <xf numFmtId="0" fontId="54" fillId="9" borderId="9" xfId="0" applyNumberFormat="1" applyFont="1" applyFill="1" applyBorder="1" applyAlignment="1" applyProtection="1">
      <alignment horizontal="center" vertical="center" wrapText="1"/>
      <protection locked="0"/>
    </xf>
    <xf numFmtId="0" fontId="61" fillId="9" borderId="3" xfId="0" applyNumberFormat="1" applyFont="1" applyFill="1" applyBorder="1" applyAlignment="1" applyProtection="1">
      <alignment horizontal="center" vertical="center" wrapText="1"/>
    </xf>
    <xf numFmtId="181" fontId="71" fillId="9" borderId="0" xfId="0" applyNumberFormat="1" applyFont="1" applyFill="1" applyBorder="1" applyAlignment="1" applyProtection="1">
      <alignment horizontal="center" vertical="center" wrapText="1"/>
      <protection locked="0"/>
    </xf>
    <xf numFmtId="0" fontId="54" fillId="9" borderId="0" xfId="0" applyFont="1" applyFill="1" applyBorder="1" applyAlignment="1" applyProtection="1">
      <alignment horizontal="center" vertical="center"/>
      <protection locked="0"/>
    </xf>
    <xf numFmtId="0" fontId="54" fillId="9" borderId="35" xfId="0" applyFont="1" applyFill="1" applyBorder="1" applyAlignment="1" applyProtection="1">
      <alignment horizontal="center" vertical="center"/>
      <protection locked="0"/>
    </xf>
    <xf numFmtId="0" fontId="54" fillId="9" borderId="1" xfId="0" applyFont="1" applyFill="1" applyBorder="1" applyAlignment="1" applyProtection="1">
      <alignment horizontal="center" vertical="center" wrapText="1"/>
    </xf>
    <xf numFmtId="188" fontId="54" fillId="9" borderId="5" xfId="0" applyNumberFormat="1" applyFont="1" applyFill="1" applyBorder="1" applyAlignment="1" applyProtection="1">
      <alignment horizontal="center" vertical="center"/>
    </xf>
    <xf numFmtId="49" fontId="54" fillId="9" borderId="3" xfId="0" applyNumberFormat="1" applyFont="1" applyFill="1" applyBorder="1" applyAlignment="1" applyProtection="1">
      <alignment horizontal="center" vertical="center"/>
    </xf>
    <xf numFmtId="0" fontId="54" fillId="9" borderId="15" xfId="0" applyFont="1" applyFill="1" applyBorder="1" applyAlignment="1" applyProtection="1">
      <alignment horizontal="center" vertical="center"/>
    </xf>
    <xf numFmtId="0" fontId="54" fillId="9" borderId="1" xfId="0" applyFont="1" applyFill="1" applyBorder="1" applyAlignment="1" applyProtection="1">
      <alignment horizontal="center" vertical="center"/>
    </xf>
    <xf numFmtId="0" fontId="54" fillId="9" borderId="1" xfId="0" applyNumberFormat="1" applyFont="1" applyFill="1" applyBorder="1" applyAlignment="1" applyProtection="1">
      <alignment horizontal="center" vertical="center"/>
    </xf>
    <xf numFmtId="0" fontId="54" fillId="9" borderId="0" xfId="0" applyFont="1" applyFill="1" applyAlignment="1" applyProtection="1">
      <alignment horizontal="center" vertical="center"/>
      <protection locked="0"/>
    </xf>
    <xf numFmtId="177" fontId="137" fillId="0" borderId="1" xfId="1" applyNumberFormat="1" applyFont="1" applyFill="1" applyBorder="1" applyAlignment="1" applyProtection="1">
      <alignment vertical="center"/>
      <protection locked="0"/>
    </xf>
    <xf numFmtId="181" fontId="47" fillId="9" borderId="1"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99" fillId="7" borderId="1" xfId="0" applyFont="1" applyFill="1" applyBorder="1" applyAlignment="1">
      <alignment horizontal="center" vertical="center"/>
    </xf>
    <xf numFmtId="0" fontId="100" fillId="0" borderId="1" xfId="0" applyFont="1" applyBorder="1" applyAlignment="1">
      <alignment horizontal="center"/>
    </xf>
    <xf numFmtId="0" fontId="100" fillId="5" borderId="5" xfId="0" applyFont="1" applyFill="1" applyBorder="1" applyAlignment="1">
      <alignment horizontal="center" vertical="center"/>
    </xf>
    <xf numFmtId="0" fontId="100" fillId="5" borderId="3" xfId="0" applyFont="1" applyFill="1" applyBorder="1" applyAlignment="1">
      <alignment horizontal="center" vertical="center"/>
    </xf>
    <xf numFmtId="0" fontId="100" fillId="5" borderId="1" xfId="0" applyFont="1" applyFill="1" applyBorder="1" applyAlignment="1">
      <alignment horizontal="center" vertical="center"/>
    </xf>
    <xf numFmtId="0" fontId="100" fillId="17" borderId="1" xfId="0" applyFont="1" applyFill="1" applyBorder="1" applyAlignment="1">
      <alignment horizontal="center"/>
    </xf>
    <xf numFmtId="0" fontId="100" fillId="5" borderId="1" xfId="0" applyFont="1" applyFill="1" applyBorder="1" applyAlignment="1">
      <alignment horizontal="center"/>
    </xf>
    <xf numFmtId="0" fontId="100" fillId="5" borderId="1" xfId="3" applyFont="1" applyFill="1" applyBorder="1" applyAlignment="1">
      <alignment horizontal="center" vertical="center"/>
    </xf>
    <xf numFmtId="0" fontId="99" fillId="0" borderId="1" xfId="3" applyFont="1" applyFill="1" applyBorder="1" applyAlignment="1">
      <alignment horizontal="center" vertical="center"/>
    </xf>
    <xf numFmtId="0" fontId="100" fillId="5" borderId="54" xfId="0" applyFont="1" applyFill="1" applyBorder="1" applyAlignment="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13" xfId="0" applyFill="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99" fillId="0" borderId="13" xfId="0" applyFont="1" applyFill="1" applyBorder="1" applyAlignment="1">
      <alignment horizontal="center" vertical="center"/>
    </xf>
    <xf numFmtId="0" fontId="99" fillId="0" borderId="13" xfId="0" applyFont="1" applyBorder="1" applyAlignment="1">
      <alignment horizontal="center" vertical="center"/>
    </xf>
    <xf numFmtId="0" fontId="0" fillId="0" borderId="13" xfId="3" applyFont="1" applyBorder="1" applyAlignment="1">
      <alignment horizontal="center" vertical="center"/>
    </xf>
    <xf numFmtId="0" fontId="100" fillId="0" borderId="1" xfId="0" applyFont="1" applyFill="1" applyBorder="1" applyAlignment="1">
      <alignment horizontal="center"/>
    </xf>
    <xf numFmtId="0" fontId="0" fillId="0" borderId="1" xfId="0" applyFill="1" applyBorder="1" applyAlignment="1"/>
    <xf numFmtId="0" fontId="0" fillId="0" borderId="1" xfId="0" applyBorder="1" applyAlignment="1"/>
    <xf numFmtId="0" fontId="99" fillId="0" borderId="1" xfId="0" applyFont="1" applyBorder="1" applyAlignment="1"/>
    <xf numFmtId="0" fontId="0" fillId="9" borderId="0" xfId="0" applyFill="1" applyAlignment="1"/>
    <xf numFmtId="0" fontId="99" fillId="9" borderId="1" xfId="0" applyFont="1" applyFill="1" applyBorder="1" applyAlignment="1">
      <alignment horizontal="center" vertical="center"/>
    </xf>
    <xf numFmtId="179" fontId="19" fillId="9" borderId="1" xfId="0" applyNumberFormat="1" applyFont="1" applyFill="1" applyBorder="1" applyAlignment="1" applyProtection="1">
      <alignment horizontal="center" vertical="center" shrinkToFit="1"/>
    </xf>
    <xf numFmtId="0" fontId="0" fillId="9" borderId="1" xfId="0" applyFill="1" applyBorder="1" applyAlignment="1"/>
    <xf numFmtId="0" fontId="0" fillId="9" borderId="1" xfId="0" applyFill="1" applyBorder="1" applyAlignment="1">
      <alignment horizontal="center" vertical="center"/>
    </xf>
    <xf numFmtId="0" fontId="19" fillId="9" borderId="1" xfId="0" applyNumberFormat="1" applyFont="1" applyFill="1" applyBorder="1" applyAlignment="1" applyProtection="1">
      <alignment horizontal="center" vertical="center" shrinkToFit="1"/>
    </xf>
    <xf numFmtId="49" fontId="19" fillId="9" borderId="1" xfId="0" applyNumberFormat="1" applyFont="1" applyFill="1" applyBorder="1" applyAlignment="1" applyProtection="1">
      <alignment horizontal="center" vertical="center" shrinkToFit="1"/>
    </xf>
    <xf numFmtId="0" fontId="113" fillId="9" borderId="1" xfId="0" applyFont="1" applyFill="1" applyBorder="1" applyAlignment="1">
      <alignment horizontal="center" vertical="center"/>
    </xf>
    <xf numFmtId="0" fontId="99" fillId="9" borderId="1" xfId="0" applyFont="1" applyFill="1" applyBorder="1" applyAlignment="1"/>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北京市大兴区黄村镇房地产抵押价值预评估</v>
      </c>
    </row>
    <row r="3" spans="1:2" s="1589" customFormat="1">
      <c r="A3" s="1587" t="s">
        <v>1221</v>
      </c>
      <c r="B3" s="1588" t="str">
        <f>'预评函-封皮'!B40</f>
        <v>北京正浩置业有限公司</v>
      </c>
    </row>
    <row r="4" spans="1:2" s="1589" customFormat="1">
      <c r="A4" s="1587" t="s">
        <v>1222</v>
      </c>
      <c r="B4" s="1588" t="str">
        <f ca="1">'预评函-封皮'!B46</f>
        <v>欧红伟（注册号：1120000080)、梁津（注册号：1119970066)</v>
      </c>
    </row>
    <row r="5" spans="1:2" s="1583" customFormat="1" ht="15" thickBot="1">
      <c r="A5" s="1590" t="s">
        <v>1223</v>
      </c>
      <c r="B5" s="1591" t="str">
        <f>'预评函-封皮'!B49</f>
        <v>康正预评字号</v>
      </c>
    </row>
    <row r="6" spans="1:2" s="1586" customFormat="1" ht="15" thickTop="1">
      <c r="A6" s="1584" t="s">
        <v>1224</v>
      </c>
      <c r="B6" s="1585" t="str">
        <f>'预评函-1'!A4</f>
        <v>受贵公司委托，我公司对北京市大兴区黄村镇房地产抵押价值进行了预评估。</v>
      </c>
    </row>
    <row r="7" spans="1:2" s="1589" customFormat="1">
      <c r="A7" s="1587" t="s">
        <v>1264</v>
      </c>
      <c r="B7" s="1588" t="str">
        <f>'预评函-1'!A7</f>
        <v>估价对象为北京市大兴区黄村镇房地产，为所有。根据《国有土地使用证》，估价对象（分摊）出让国有建设用地使用权面积为9619.89平方米，建筑面积为48185.32平方米。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估价对象为北京市大兴区黄村镇房地产,属开发建设的，该项目尚在开发建设中。根据《国有土地使用证》，估价对象（分摊）出让国有建设用地使用权面积为9619.89平方米，规划建筑面积为48185.32平方米。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为估价委托人在向英大国际信托有限责任公司办理贷款手续过程中，确定房地产抵押贷款额度提供参考依据而评估房地产抵押价值。</v>
      </c>
    </row>
    <row r="12" spans="1:2" s="1589" customFormat="1">
      <c r="A12" s="1587" t="s">
        <v>1226</v>
      </c>
      <c r="B12" s="1588" t="str">
        <f>'预评函-1'!A15</f>
        <v>2018年3月23日（评估专业人员实地查勘之日）</v>
      </c>
    </row>
    <row r="13" spans="1:2" s="1589" customFormat="1">
      <c r="A13" s="1587" t="s">
        <v>1227</v>
      </c>
      <c r="B13" s="1588" t="str">
        <f>'预评函-1'!A18</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4" spans="1:2" s="1589" customFormat="1">
      <c r="A14" s="1587" t="s">
        <v>1228</v>
      </c>
      <c r="B14" s="1588" t="str">
        <f>'预评函-1'!A19</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
      </c>
    </row>
    <row r="18" spans="1:2" s="1583" customFormat="1" ht="15" thickBot="1">
      <c r="A18" s="1590" t="s">
        <v>1232</v>
      </c>
      <c r="B18" s="1591" t="str">
        <f>'预评函-1'!A24</f>
        <v>本次评估采用的主估价方法为成本法和收益法。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159589</v>
      </c>
    </row>
    <row r="21" spans="1:2" s="1589" customFormat="1">
      <c r="A21" s="1587" t="s">
        <v>1235</v>
      </c>
      <c r="B21" s="1588">
        <f ca="1">'预评函-2'!D7</f>
        <v>43657</v>
      </c>
    </row>
    <row r="22" spans="1:2" s="1589" customFormat="1">
      <c r="A22" s="1587" t="s">
        <v>1236</v>
      </c>
      <c r="B22" s="1588" t="str">
        <f ca="1">'预评函-2'!D6</f>
        <v>壹拾伍亿玖仟伍佰捌拾玖万元整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v>
      </c>
    </row>
    <row r="30" spans="1:2" s="1589" customFormat="1">
      <c r="A30" s="1587" t="s">
        <v>1292</v>
      </c>
      <c r="B30" s="1588" t="str">
        <f>'预评函-2'!D13</f>
        <v>——</v>
      </c>
    </row>
    <row r="31" spans="1:2" s="1589" customFormat="1">
      <c r="A31" s="1587" t="s">
        <v>1274</v>
      </c>
      <c r="B31" s="1588" t="e">
        <f>'预评函-2'!D15</f>
        <v>#VALUE!</v>
      </c>
    </row>
    <row r="32" spans="1:2" s="1589" customFormat="1">
      <c r="A32" s="1587" t="s">
        <v>1241</v>
      </c>
      <c r="B32" s="1588" t="e">
        <f>'预评函-2'!D14</f>
        <v>#VALUE!</v>
      </c>
    </row>
    <row r="33" spans="1:2" s="1589" customFormat="1">
      <c r="A33" s="1587" t="s">
        <v>1276</v>
      </c>
      <c r="B33" s="1588" t="str">
        <f>'预评函-2'!B16</f>
        <v>3.抵押担保权已注销时的房地产抵押价值</v>
      </c>
    </row>
    <row r="34" spans="1:2" s="1589" customFormat="1">
      <c r="A34" s="1587" t="s">
        <v>1294</v>
      </c>
      <c r="B34" s="1588">
        <f ca="1">'预评函-2'!D16</f>
        <v>159589</v>
      </c>
    </row>
    <row r="35" spans="1:2" s="1589" customFormat="1">
      <c r="A35" s="1587" t="s">
        <v>1275</v>
      </c>
      <c r="B35" s="1588">
        <f ca="1">'预评函-2'!D18</f>
        <v>33120</v>
      </c>
    </row>
    <row r="36" spans="1:2" s="1589" customFormat="1">
      <c r="A36" s="1587" t="s">
        <v>1242</v>
      </c>
      <c r="B36" s="1588" t="str">
        <f ca="1">'预评函-2'!D17</f>
        <v>壹拾伍亿玖仟伍佰捌拾玖万元整</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北京市大兴区黄村镇房地产</v>
      </c>
    </row>
    <row r="42" spans="1:2" s="1589" customFormat="1">
      <c r="A42" s="1587" t="s">
        <v>1288</v>
      </c>
      <c r="B42" s="1588" t="str">
        <f>'预评函-3'!B2</f>
        <v>建筑面积</v>
      </c>
    </row>
    <row r="43" spans="1:2" s="1589" customFormat="1">
      <c r="A43" s="1587" t="s">
        <v>1289</v>
      </c>
      <c r="B43" s="1588">
        <f>'预评函-3'!B4</f>
        <v>48185.319999999992</v>
      </c>
    </row>
    <row r="44" spans="1:2" s="1589" customFormat="1">
      <c r="A44" s="1587" t="s">
        <v>1273</v>
      </c>
      <c r="B44" s="1588" t="str">
        <f>'预评函-3'!C2</f>
        <v>(分摊)土地面积</v>
      </c>
    </row>
    <row r="45" spans="1:2" s="1589" customFormat="1">
      <c r="A45" s="1587" t="s">
        <v>1245</v>
      </c>
      <c r="B45" s="1588">
        <f>'预评函-3'!C4</f>
        <v>9619.89</v>
      </c>
    </row>
    <row r="46" spans="1:2" s="1589" customFormat="1">
      <c r="A46" s="1587" t="s">
        <v>1271</v>
      </c>
      <c r="B46" s="1588" t="str">
        <f>'预评函-3'!D2</f>
        <v>出让国有建设用地使用权价值</v>
      </c>
    </row>
    <row r="47" spans="1:2" s="1589" customFormat="1">
      <c r="A47" s="1587" t="s">
        <v>1246</v>
      </c>
      <c r="B47" s="1588">
        <f ca="1">'预评函-3'!D4</f>
        <v>137247</v>
      </c>
    </row>
    <row r="48" spans="1:2" s="1589" customFormat="1">
      <c r="A48" s="1587" t="s">
        <v>1247</v>
      </c>
      <c r="B48" s="1588">
        <f ca="1">'预评函-3'!E4</f>
        <v>37545</v>
      </c>
    </row>
    <row r="49" spans="1:2" s="1589" customFormat="1">
      <c r="A49" s="1587" t="s">
        <v>1248</v>
      </c>
      <c r="B49" s="1588" t="str">
        <f ca="1">'预评函-3'!D5</f>
        <v>壹拾叁亿柒仟贰佰肆拾柒万元整</v>
      </c>
    </row>
    <row r="50" spans="1:2" s="1589" customFormat="1">
      <c r="A50" s="1587" t="s">
        <v>1272</v>
      </c>
      <c r="B50" s="1588" t="str">
        <f>'预评函-3'!F2</f>
        <v>在建建筑物价值</v>
      </c>
    </row>
    <row r="51" spans="1:2" s="1589" customFormat="1">
      <c r="A51" s="1587" t="s">
        <v>1249</v>
      </c>
      <c r="B51" s="1588">
        <f ca="1">'预评函-3'!F4</f>
        <v>22342</v>
      </c>
    </row>
    <row r="52" spans="1:2" s="1589" customFormat="1">
      <c r="A52" s="1587" t="s">
        <v>1250</v>
      </c>
      <c r="B52" s="1588">
        <f ca="1">'预评函-3'!G4</f>
        <v>6112</v>
      </c>
    </row>
    <row r="53" spans="1:2" s="1589" customFormat="1">
      <c r="A53" s="1587" t="s">
        <v>1278</v>
      </c>
      <c r="B53" s="1588" t="str">
        <f ca="1">'预评函-3'!F5</f>
        <v>贰亿贰仟叁佰肆拾贰万元整</v>
      </c>
    </row>
    <row r="54" spans="1:2" s="1589" customFormat="1">
      <c r="A54" s="1587" t="s">
        <v>1296</v>
      </c>
      <c r="B54" s="1588" t="str">
        <f>'预评函-3'!A8</f>
        <v/>
      </c>
    </row>
    <row r="55" spans="1:2" s="1589" customFormat="1">
      <c r="A55" s="1587" t="s">
        <v>1279</v>
      </c>
      <c r="B55" s="1588" t="str">
        <f>'预评函-3'!A10</f>
        <v>抵押担保权已注销时的房地产抵押价值</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欧红伟</v>
      </c>
    </row>
    <row r="71" spans="1:2">
      <c r="A71" s="1587" t="s">
        <v>1261</v>
      </c>
      <c r="B71" s="1588">
        <f ca="1">'预评函-4'!B4</f>
        <v>1120000080</v>
      </c>
    </row>
    <row r="72" spans="1:2">
      <c r="A72" s="1587" t="s">
        <v>1262</v>
      </c>
      <c r="B72" s="1596" t="str">
        <f>'预评函-4'!A5</f>
        <v>梁津</v>
      </c>
    </row>
    <row r="73" spans="1:2" s="1583" customFormat="1" ht="15" thickBot="1">
      <c r="A73" s="1590" t="s">
        <v>1263</v>
      </c>
      <c r="B73" s="1591">
        <f ca="1">'预评函-4'!B5</f>
        <v>1119970066</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3038" t="str">
        <f>项目基本情况!B1</f>
        <v>北京市大兴区黄村镇房地产抵押价值预评估</v>
      </c>
      <c r="C37" s="3038"/>
      <c r="D37" s="3038"/>
      <c r="E37" s="3038"/>
      <c r="F37" s="3038"/>
      <c r="G37" s="3038"/>
      <c r="H37" s="3038"/>
      <c r="I37" s="3038"/>
    </row>
    <row r="38" spans="1:9">
      <c r="A38" s="1012"/>
      <c r="B38" s="1012"/>
    </row>
    <row r="39" spans="1:9">
      <c r="A39" s="1010" t="s">
        <v>818</v>
      </c>
      <c r="B39" s="1010" t="s">
        <v>820</v>
      </c>
    </row>
    <row r="40" spans="1:9">
      <c r="A40" s="1010"/>
      <c r="B40" s="1938" t="str">
        <f>项目基本情况!B5</f>
        <v>北京正浩置业有限公司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欧红伟（注册号：1120000080)、梁津（注册号：1119970066)</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1611</v>
      </c>
    </row>
    <row r="2" spans="1:1">
      <c r="A2" s="1942"/>
    </row>
    <row r="3" spans="1:1" ht="18">
      <c r="A3" s="1943" t="str">
        <f>项目基本情况!B5&amp;"："</f>
        <v>北京正浩置业有限公司：</v>
      </c>
    </row>
    <row r="4" spans="1:1" ht="18">
      <c r="A4" s="1944" t="str">
        <f>"受贵公司委托，我公司对"&amp;项目基本情况!S1&amp;"进行了预评估。"</f>
        <v>受贵公司委托，我公司对北京市大兴区黄村镇房地产抵押价值进行了预评估。</v>
      </c>
    </row>
    <row r="5" spans="1:1" ht="18.75">
      <c r="A5" s="1945" t="s">
        <v>1612</v>
      </c>
    </row>
    <row r="6" spans="1:1" ht="18.75">
      <c r="A6" s="1946" t="s">
        <v>1613</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估价对象为北京市大兴区黄村镇房地产，为所有。根据《国有土地使用证》，估价对象（分摊）出让国有建设用地使用权面积为9619.89平方米，建筑面积为48185.32平方米。</v>
      </c>
    </row>
    <row r="8" spans="1:1" ht="57.75">
      <c r="A8" s="1947" t="s">
        <v>1614</v>
      </c>
    </row>
    <row r="9" spans="1:1" ht="18.75">
      <c r="A9" s="1946" t="s">
        <v>1615</v>
      </c>
    </row>
    <row r="10" spans="1:1" ht="54">
      <c r="A10" s="194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估价对象为北京市大兴区黄村镇房地产,属开发建设的，该项目尚在开发建设中。根据《国有土地使用证》，估价对象（分摊）出让国有建设用地使用权面积为9619.89平方米，规划建筑面积为48185.32平方米。</v>
      </c>
    </row>
    <row r="11" spans="1:1" ht="76.5">
      <c r="A11" s="1947" t="s">
        <v>1616</v>
      </c>
    </row>
    <row r="12" spans="1:1" ht="18.75">
      <c r="A12" s="1945" t="s">
        <v>1617</v>
      </c>
    </row>
    <row r="13" spans="1:1" ht="38.25" customHeight="1">
      <c r="A13" s="1948" t="str">
        <f>IF(项目基本情况!B8="抵押",IF(项目基本情况!B5=项目基本情况!B6,定义!C51,定义!B51),定义!D51)</f>
        <v>为估价委托人在向英大国际信托有限责任公司办理贷款手续过程中，确定房地产抵押贷款额度提供参考依据而评估房地产抵押价值。</v>
      </c>
    </row>
    <row r="14" spans="1:1" ht="18.75">
      <c r="A14" s="1949" t="s">
        <v>1618</v>
      </c>
    </row>
    <row r="15" spans="1:1" ht="18">
      <c r="A15" s="1950" t="str">
        <f>TEXT(项目基本情况!D3,"yyyy年m月d日;;")&amp;IF(项目基本情况!D3=项目基本情况!B3,"（评估专业人员实地查勘之日）","")</f>
        <v>2018年3月23日（评估专业人员实地查勘之日）</v>
      </c>
    </row>
    <row r="16" spans="1:1" ht="18.75">
      <c r="A16" s="1949" t="s">
        <v>1619</v>
      </c>
    </row>
    <row r="17" spans="1:1" ht="75">
      <c r="A17" s="1944" t="s">
        <v>1620</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1609</v>
      </c>
    </row>
    <row r="24" spans="1:1" ht="18">
      <c r="A24" s="1951" t="str">
        <f>"本次评估采用的主估价方法为"&amp;'结果表（办公）'!K4&amp;"和"&amp;'结果表（办公）'!L4&amp;"。"</f>
        <v>本次评估采用的主估价方法为成本法和收益法。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1621</v>
      </c>
      <c r="B1" s="1955"/>
      <c r="C1" s="1955"/>
      <c r="D1" s="1955"/>
      <c r="E1" s="1955"/>
    </row>
    <row r="2" spans="1:5" ht="78" customHeight="1">
      <c r="A2" s="30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3"/>
      <c r="C2" s="3043"/>
      <c r="D2" s="3043"/>
      <c r="E2" s="3043"/>
    </row>
    <row r="3" spans="1:5" ht="18">
      <c r="A3" s="3044" t="str">
        <f>IF(项目基本情况!B9="房地产市场价值","估价结果一览表（市场价值不需“结果表-1”）","估价结果一览表")</f>
        <v>估价结果一览表</v>
      </c>
      <c r="B3" s="3044"/>
      <c r="C3" s="3044"/>
      <c r="D3" s="3044"/>
      <c r="E3" s="3044"/>
    </row>
    <row r="4" spans="1:5" ht="19.5" thickBot="1">
      <c r="A4" s="1957"/>
      <c r="B4" s="3042" t="s">
        <v>1630</v>
      </c>
      <c r="C4" s="3042"/>
      <c r="D4" s="3042"/>
      <c r="E4" s="1957"/>
    </row>
    <row r="5" spans="1:5" ht="16.5" thickTop="1">
      <c r="A5" s="1955"/>
      <c r="B5" s="3040" t="s">
        <v>1622</v>
      </c>
      <c r="C5" s="1958" t="s">
        <v>1623</v>
      </c>
      <c r="D5" s="1036">
        <f ca="1">'结果表（办公）'!H101</f>
        <v>159589</v>
      </c>
      <c r="E5" s="1955"/>
    </row>
    <row r="6" spans="1:5" ht="15.75">
      <c r="A6" s="1955"/>
      <c r="B6" s="3040"/>
      <c r="C6" s="1958" t="s">
        <v>1624</v>
      </c>
      <c r="D6" s="1036" t="str">
        <f ca="1">NUMBERSTRING(INT(D5*10000),2)&amp;"元整"</f>
        <v>壹拾伍亿玖仟伍佰捌拾玖万元整</v>
      </c>
      <c r="E6" s="1955"/>
    </row>
    <row r="7" spans="1:5" ht="15.75">
      <c r="A7" s="1955"/>
      <c r="B7" s="3045"/>
      <c r="C7" s="1959" t="s">
        <v>1625</v>
      </c>
      <c r="D7" s="1037">
        <f ca="1">'结果表（办公）'!H102</f>
        <v>43657</v>
      </c>
      <c r="E7" s="1955"/>
    </row>
    <row r="8" spans="1:5" ht="15.75">
      <c r="A8" s="1955"/>
      <c r="B8" s="3046" t="str">
        <f>'结果表（办公）'!E103</f>
        <v>2.估价师知悉的法定优先受偿款</v>
      </c>
      <c r="C8" s="1960" t="s">
        <v>1626</v>
      </c>
      <c r="D8" s="1037">
        <f>'结果表（办公）'!H103</f>
        <v>0</v>
      </c>
      <c r="E8" s="1955"/>
    </row>
    <row r="9" spans="1:5" ht="15.75">
      <c r="A9" s="1955"/>
      <c r="B9" s="3048"/>
      <c r="C9" s="1958" t="s">
        <v>1624</v>
      </c>
      <c r="D9" s="1036" t="str">
        <f>NUMBERSTRING(INT(D8*10000),2)&amp;"元整"</f>
        <v>零元整</v>
      </c>
      <c r="E9" s="1955"/>
    </row>
    <row r="10" spans="1:5" ht="15">
      <c r="A10" s="1955"/>
      <c r="B10" s="1961" t="s">
        <v>1629</v>
      </c>
      <c r="C10" s="1962" t="s">
        <v>1627</v>
      </c>
      <c r="D10" s="1038">
        <f>'结果表（办公）'!H104</f>
        <v>0</v>
      </c>
      <c r="E10" s="1955"/>
    </row>
    <row r="11" spans="1:5" ht="15">
      <c r="A11" s="1955"/>
      <c r="B11" s="1961" t="s">
        <v>1631</v>
      </c>
      <c r="C11" s="1962" t="s">
        <v>1632</v>
      </c>
      <c r="D11" s="1038">
        <f>'结果表（办公）'!H105</f>
        <v>0</v>
      </c>
      <c r="E11" s="1955"/>
    </row>
    <row r="12" spans="1:5" ht="15">
      <c r="A12" s="1955"/>
      <c r="B12" s="1961" t="s">
        <v>1633</v>
      </c>
      <c r="C12" s="1962" t="s">
        <v>1632</v>
      </c>
      <c r="D12" s="1038">
        <f>'结果表（办公）'!H106</f>
        <v>0</v>
      </c>
      <c r="E12" s="1955"/>
    </row>
    <row r="13" spans="1:5" ht="15.75">
      <c r="A13" s="1955"/>
      <c r="B13" s="3039" t="str">
        <f>'结果表（办公）'!E107</f>
        <v>——</v>
      </c>
      <c r="C13" s="1963" t="s">
        <v>1623</v>
      </c>
      <c r="D13" s="1039" t="str">
        <f>'结果表（办公）'!H107</f>
        <v>——</v>
      </c>
      <c r="E13" s="1955"/>
    </row>
    <row r="14" spans="1:5" ht="15.75">
      <c r="A14" s="1955"/>
      <c r="B14" s="3040"/>
      <c r="C14" s="1958" t="s">
        <v>1624</v>
      </c>
      <c r="D14" s="1036" t="e">
        <f>NUMBERSTRING(INT(D13*10000),2)&amp;"元整"</f>
        <v>#VALUE!</v>
      </c>
      <c r="E14" s="1955"/>
    </row>
    <row r="15" spans="1:5" ht="15">
      <c r="A15" s="1955"/>
      <c r="B15" s="3045"/>
      <c r="C15" s="1959" t="s">
        <v>1634</v>
      </c>
      <c r="D15" s="1048" t="e">
        <f>'结果表（办公）'!H108</f>
        <v>#VALUE!</v>
      </c>
      <c r="E15" s="1955"/>
    </row>
    <row r="16" spans="1:5" ht="15">
      <c r="A16" s="1955"/>
      <c r="B16" s="3046" t="str">
        <f>'结果表（办公）'!E109</f>
        <v>3.抵押担保权已注销时的房地产抵押价值</v>
      </c>
      <c r="C16" s="1963" t="s">
        <v>1635</v>
      </c>
      <c r="D16" s="1964">
        <f ca="1">'结果表（办公）'!H109</f>
        <v>159589</v>
      </c>
      <c r="E16" s="1955"/>
    </row>
    <row r="17" spans="1:5" ht="15.75">
      <c r="A17" s="1955"/>
      <c r="B17" s="3047"/>
      <c r="C17" s="1958" t="s">
        <v>1636</v>
      </c>
      <c r="D17" s="1036" t="str">
        <f ca="1">NUMBERSTRING(INT(D16*10000),2)&amp;"元整"</f>
        <v>壹拾伍亿玖仟伍佰捌拾玖万元整</v>
      </c>
      <c r="E17" s="1955"/>
    </row>
    <row r="18" spans="1:5" ht="15">
      <c r="A18" s="1955"/>
      <c r="B18" s="3048"/>
      <c r="C18" s="1959" t="s">
        <v>1625</v>
      </c>
      <c r="D18" s="1048">
        <f ca="1">'结果表（办公）'!H110</f>
        <v>33120</v>
      </c>
      <c r="E18" s="1955"/>
    </row>
    <row r="19" spans="1:5" ht="15.75">
      <c r="A19" s="1955"/>
      <c r="B19" s="3039" t="str">
        <f>'结果表（办公）'!E111</f>
        <v>——</v>
      </c>
      <c r="C19" s="1963" t="s">
        <v>1623</v>
      </c>
      <c r="D19" s="1037" t="str">
        <f>'结果表（办公）'!H111</f>
        <v>——</v>
      </c>
      <c r="E19" s="1955"/>
    </row>
    <row r="20" spans="1:5" ht="15.75">
      <c r="A20" s="1955"/>
      <c r="B20" s="3040"/>
      <c r="C20" s="1958" t="s">
        <v>1636</v>
      </c>
      <c r="D20" s="1036" t="e">
        <f>NUMBERSTRING(INT(D19*10000),2)&amp;"元整"</f>
        <v>#VALUE!</v>
      </c>
      <c r="E20" s="1955"/>
    </row>
    <row r="21" spans="1:5" ht="15.75" thickBot="1">
      <c r="A21" s="1955"/>
      <c r="B21" s="3041"/>
      <c r="C21" s="1965" t="s">
        <v>1634</v>
      </c>
      <c r="D21" s="1049" t="str">
        <f>'结果表（办公）'!H112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49" t="str">
        <f>IF(项目基本情况!B9="房地产市场价值","估价结果一览表","结果表-2")</f>
        <v>结果表-2</v>
      </c>
      <c r="B1" s="3049"/>
      <c r="C1" s="3049"/>
      <c r="D1" s="3049"/>
      <c r="E1" s="3049"/>
      <c r="F1" s="3049"/>
      <c r="G1" s="3049"/>
      <c r="H1" s="3049"/>
      <c r="I1" s="3049"/>
    </row>
    <row r="2" spans="1:9" ht="30" customHeight="1" thickTop="1">
      <c r="A2" s="3050" t="s">
        <v>1641</v>
      </c>
      <c r="B2" s="3050" t="s">
        <v>1642</v>
      </c>
      <c r="C2" s="3050" t="s">
        <v>1643</v>
      </c>
      <c r="D2" s="3050" t="str">
        <f>'结果表（办公）'!D116</f>
        <v>出让国有建设用地使用权价值</v>
      </c>
      <c r="E2" s="3050"/>
      <c r="F2" s="3050" t="str">
        <f>'结果表（办公）'!F116</f>
        <v>在建建筑物价值</v>
      </c>
      <c r="G2" s="3050"/>
      <c r="H2" s="3050" t="str">
        <f>IF(项目基本情况!B9="房地产市场价值","房地产市场价值","房地产价值")</f>
        <v>房地产价值</v>
      </c>
      <c r="I2" s="3050"/>
    </row>
    <row r="3" spans="1:9" ht="15">
      <c r="A3" s="3051"/>
      <c r="B3" s="3051"/>
      <c r="C3" s="3051"/>
      <c r="D3" s="1040" t="s">
        <v>1638</v>
      </c>
      <c r="E3" s="1040" t="s">
        <v>1644</v>
      </c>
      <c r="F3" s="1040" t="s">
        <v>1638</v>
      </c>
      <c r="G3" s="1040" t="s">
        <v>1639</v>
      </c>
      <c r="H3" s="1040" t="s">
        <v>1638</v>
      </c>
      <c r="I3" s="1040" t="s">
        <v>1639</v>
      </c>
    </row>
    <row r="4" spans="1:9" ht="15">
      <c r="A4" s="1969" t="str">
        <f>项目基本情况!S2</f>
        <v>北京市大兴区黄村镇房地产</v>
      </c>
      <c r="B4" s="1040">
        <f>项目基本情况!C17</f>
        <v>48185.319999999992</v>
      </c>
      <c r="C4" s="1040">
        <f>项目基本情况!C18</f>
        <v>9619.89</v>
      </c>
      <c r="D4" s="1040">
        <f ca="1">'结果表（办公）'!D118</f>
        <v>137247</v>
      </c>
      <c r="E4" s="1040">
        <f ca="1">'结果表（办公）'!E118</f>
        <v>37545</v>
      </c>
      <c r="F4" s="1040">
        <f ca="1">'结果表（办公）'!F118</f>
        <v>22342</v>
      </c>
      <c r="G4" s="1040">
        <f ca="1">'结果表（办公）'!G118</f>
        <v>6112</v>
      </c>
      <c r="H4" s="1040">
        <f ca="1">'结果表（办公）'!H118</f>
        <v>159589</v>
      </c>
      <c r="I4" s="1040">
        <f ca="1">'结果表（办公）'!I118</f>
        <v>43657</v>
      </c>
    </row>
    <row r="5" spans="1:9" ht="30" customHeight="1">
      <c r="A5" s="3051" t="s">
        <v>1640</v>
      </c>
      <c r="B5" s="3051"/>
      <c r="C5" s="3051"/>
      <c r="D5" s="3052" t="str">
        <f ca="1">'结果表（办公）'!D119</f>
        <v>壹拾叁亿柒仟贰佰肆拾柒万元整</v>
      </c>
      <c r="E5" s="3052"/>
      <c r="F5" s="3052" t="str">
        <f ca="1">'结果表（办公）'!F119</f>
        <v>贰亿贰仟叁佰肆拾贰万元整</v>
      </c>
      <c r="G5" s="3052"/>
      <c r="H5" s="3052" t="str">
        <f ca="1">'结果表（办公）'!H119</f>
        <v>壹拾伍亿玖仟伍佰捌拾玖万元整</v>
      </c>
      <c r="I5" s="3052"/>
    </row>
    <row r="6" spans="1:9" ht="15.75">
      <c r="A6" s="3053" t="str">
        <f>'结果表（办公）'!A120</f>
        <v>估价师知悉的法定优先受偿款</v>
      </c>
      <c r="B6" s="3053"/>
      <c r="C6" s="3053"/>
      <c r="D6" s="3053">
        <f>'结果表（办公）'!D120</f>
        <v>0</v>
      </c>
      <c r="E6" s="3053"/>
      <c r="F6" s="3053"/>
      <c r="G6" s="3053"/>
      <c r="H6" s="3053"/>
      <c r="I6" s="3053"/>
    </row>
    <row r="7" spans="1:9" ht="15">
      <c r="A7" s="3051" t="s">
        <v>1640</v>
      </c>
      <c r="B7" s="3051"/>
      <c r="C7" s="3051"/>
      <c r="D7" s="3054" t="str">
        <f>'结果表（办公）'!D121</f>
        <v>零元整</v>
      </c>
      <c r="E7" s="3055"/>
      <c r="F7" s="3055"/>
      <c r="G7" s="3055"/>
      <c r="H7" s="3055"/>
      <c r="I7" s="3056"/>
    </row>
    <row r="8" spans="1:9" ht="15.75">
      <c r="A8" s="3053" t="str">
        <f>'结果表（办公）'!A122</f>
        <v/>
      </c>
      <c r="B8" s="3053"/>
      <c r="C8" s="3053"/>
      <c r="D8" s="3053" t="str">
        <f>'结果表（办公）'!D122</f>
        <v>——</v>
      </c>
      <c r="E8" s="3053"/>
      <c r="F8" s="3053"/>
      <c r="G8" s="3053"/>
      <c r="H8" s="3053"/>
      <c r="I8" s="3053"/>
    </row>
    <row r="9" spans="1:9" ht="15">
      <c r="A9" s="3051" t="s">
        <v>1640</v>
      </c>
      <c r="B9" s="3051"/>
      <c r="C9" s="3051"/>
      <c r="D9" s="3052" t="e">
        <f>'结果表（办公）'!D123</f>
        <v>#VALUE!</v>
      </c>
      <c r="E9" s="3052"/>
      <c r="F9" s="3052"/>
      <c r="G9" s="3052"/>
      <c r="H9" s="3052"/>
      <c r="I9" s="3052"/>
    </row>
    <row r="10" spans="1:9" ht="15.75">
      <c r="A10" s="3053" t="str">
        <f>'结果表（办公）'!A124</f>
        <v>抵押担保权已注销时的房地产抵押价值</v>
      </c>
      <c r="B10" s="3053"/>
      <c r="C10" s="3053"/>
      <c r="D10" s="3053">
        <f ca="1">'结果表（办公）'!D124</f>
        <v>159589</v>
      </c>
      <c r="E10" s="3053"/>
      <c r="F10" s="3053"/>
      <c r="G10" s="3053"/>
      <c r="H10" s="3053"/>
      <c r="I10" s="3053"/>
    </row>
    <row r="11" spans="1:9" ht="15">
      <c r="A11" s="3051" t="s">
        <v>1640</v>
      </c>
      <c r="B11" s="3051"/>
      <c r="C11" s="3051"/>
      <c r="D11" s="3052" t="str">
        <f ca="1">'结果表（办公）'!D125</f>
        <v>壹拾伍亿玖仟伍佰捌拾玖万元整</v>
      </c>
      <c r="E11" s="3052"/>
      <c r="F11" s="3052"/>
      <c r="G11" s="3052"/>
      <c r="H11" s="3052"/>
      <c r="I11" s="3052"/>
    </row>
    <row r="12" spans="1:9" ht="15.75">
      <c r="A12" s="3053" t="str">
        <f>'结果表（办公）'!A126</f>
        <v/>
      </c>
      <c r="B12" s="3053"/>
      <c r="C12" s="3053"/>
      <c r="D12" s="3053" t="str">
        <f>'结果表（办公）'!D126</f>
        <v>——</v>
      </c>
      <c r="E12" s="3053"/>
      <c r="F12" s="3053"/>
      <c r="G12" s="3053"/>
      <c r="H12" s="3053"/>
      <c r="I12" s="3053"/>
    </row>
    <row r="13" spans="1:9" ht="15.75" thickBot="1">
      <c r="A13" s="3057" t="s">
        <v>1640</v>
      </c>
      <c r="B13" s="3057"/>
      <c r="C13" s="3057"/>
      <c r="D13" s="3058" t="e">
        <f>'结果表（办公）'!D127</f>
        <v>#VALUE!</v>
      </c>
      <c r="E13" s="3058"/>
      <c r="F13" s="3058"/>
      <c r="G13" s="3058"/>
      <c r="H13" s="3058"/>
      <c r="I13" s="3058"/>
    </row>
    <row r="14" spans="1:9" ht="15" thickTop="1">
      <c r="A14" s="3059" t="s">
        <v>1645</v>
      </c>
      <c r="B14" s="3059"/>
      <c r="C14" s="3059"/>
      <c r="D14" s="3059"/>
      <c r="E14" s="3059"/>
      <c r="F14" s="3059"/>
      <c r="G14" s="3059"/>
      <c r="H14" s="3059"/>
      <c r="I14" s="3059"/>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60" t="s">
        <v>1662</v>
      </c>
      <c r="B1" s="3060"/>
      <c r="C1" s="3060"/>
      <c r="D1" s="3060"/>
    </row>
    <row r="2" spans="1:4" ht="18">
      <c r="A2" s="3061" t="s">
        <v>1646</v>
      </c>
      <c r="B2" s="3061"/>
      <c r="C2" s="3061"/>
      <c r="D2" s="3061"/>
    </row>
    <row r="3" spans="1:4" ht="18.75">
      <c r="A3" s="1973" t="s">
        <v>1647</v>
      </c>
      <c r="B3" s="1973" t="s">
        <v>1648</v>
      </c>
      <c r="C3" s="1973" t="s">
        <v>1649</v>
      </c>
      <c r="D3" s="1973" t="s">
        <v>1650</v>
      </c>
    </row>
    <row r="4" spans="1:4" ht="56.25" customHeight="1">
      <c r="A4" s="1974" t="str">
        <f>项目基本情况!B4</f>
        <v>欧红伟</v>
      </c>
      <c r="B4" s="1975">
        <f ca="1">项目基本情况!C4</f>
        <v>1120000080</v>
      </c>
      <c r="C4" s="1976"/>
      <c r="D4" s="1977" t="s">
        <v>1651</v>
      </c>
    </row>
    <row r="5" spans="1:4" ht="56.25" customHeight="1">
      <c r="A5" s="1974" t="str">
        <f>项目基本情况!D4</f>
        <v>梁津</v>
      </c>
      <c r="B5" s="1975">
        <f ca="1">项目基本情况!E4</f>
        <v>1119970066</v>
      </c>
      <c r="C5" s="1978"/>
      <c r="D5" s="1977" t="s">
        <v>1651</v>
      </c>
    </row>
    <row r="6" spans="1:4" ht="18">
      <c r="A6" s="3061" t="s">
        <v>1652</v>
      </c>
      <c r="B6" s="3061"/>
      <c r="C6" s="3061"/>
      <c r="D6" s="3061"/>
    </row>
    <row r="7" spans="1:4" ht="18.75">
      <c r="A7" s="1973" t="s">
        <v>1647</v>
      </c>
      <c r="B7" s="1975" t="s">
        <v>1653</v>
      </c>
      <c r="C7" s="1973" t="s">
        <v>1649</v>
      </c>
      <c r="D7" s="1973" t="s">
        <v>1650</v>
      </c>
    </row>
    <row r="8" spans="1:4" ht="56.25" customHeight="1">
      <c r="A8" s="1979" t="s">
        <v>869</v>
      </c>
      <c r="B8" s="1979" t="s">
        <v>1</v>
      </c>
      <c r="C8" s="1976"/>
      <c r="D8" s="1977" t="s">
        <v>1651</v>
      </c>
    </row>
    <row r="9" spans="1:4">
      <c r="A9" s="727"/>
      <c r="B9" s="727"/>
      <c r="C9" s="727"/>
      <c r="D9" s="727"/>
    </row>
    <row r="10" spans="1:4" ht="18.75">
      <c r="A10" s="1980" t="s">
        <v>1654</v>
      </c>
      <c r="B10" s="727"/>
      <c r="C10" s="727"/>
      <c r="D10" s="727"/>
    </row>
    <row r="11" spans="1:4" ht="30" customHeight="1">
      <c r="A11" s="3062" t="s">
        <v>1655</v>
      </c>
      <c r="B11" s="3063"/>
      <c r="C11" s="3063"/>
      <c r="D11" s="3063"/>
    </row>
    <row r="12" spans="1:4" ht="15.75">
      <c r="A12" s="30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4"/>
      <c r="C12" s="3064"/>
      <c r="D12" s="3064"/>
    </row>
    <row r="13" spans="1:4" ht="30" customHeight="1">
      <c r="A13" s="30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4"/>
      <c r="C13" s="3064"/>
      <c r="D13" s="3064"/>
    </row>
    <row r="14" spans="1:4" ht="15.75" customHeight="1">
      <c r="A14" s="3063" t="str">
        <f>IF(项目基本情况!B8="抵押","4.本次评估估价师所知悉的法定优先受偿款情况说明如下：","——")</f>
        <v>4.本次评估估价师所知悉的法定优先受偿款情况说明如下：</v>
      </c>
      <c r="B14" s="3064"/>
      <c r="C14" s="3064"/>
      <c r="D14" s="3064"/>
    </row>
    <row r="15" spans="1:4" ht="42" customHeight="1">
      <c r="A15" s="306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63"/>
      <c r="C15" s="3063"/>
      <c r="D15" s="3063"/>
    </row>
    <row r="16" spans="1:4" ht="30" customHeight="1">
      <c r="A16" s="3066" t="s">
        <v>1656</v>
      </c>
      <c r="B16" s="3066"/>
      <c r="C16" s="3066"/>
      <c r="D16" s="3066"/>
    </row>
    <row r="17" spans="1:4" ht="144" customHeight="1">
      <c r="A17" s="3066" t="s">
        <v>1657</v>
      </c>
      <c r="B17" s="3066"/>
      <c r="C17" s="3066"/>
      <c r="D17" s="3066"/>
    </row>
    <row r="18" spans="1:4" ht="15.75" customHeight="1">
      <c r="A18" s="3063" t="str">
        <f>IF(项目基本情况!B8="抵押",'结果表（办公）'!K120,"——")</f>
        <v>故，本次评估不存在估价师知悉的法定优先受偿款</v>
      </c>
      <c r="B18" s="3063"/>
      <c r="C18" s="3063"/>
      <c r="D18" s="3063"/>
    </row>
    <row r="19" spans="1:4" ht="46.5" customHeight="1">
      <c r="A19" s="30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3"/>
      <c r="C19" s="3063"/>
      <c r="D19" s="3063"/>
    </row>
    <row r="20" spans="1:4" ht="57.75" customHeight="1">
      <c r="A20" s="3063"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3"/>
      <c r="C20" s="3063"/>
      <c r="D20" s="3063"/>
    </row>
    <row r="21" spans="1:4" ht="57.75" customHeight="1">
      <c r="A21" s="3067"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7"/>
      <c r="C21" s="3067"/>
      <c r="D21" s="3067"/>
    </row>
    <row r="22" spans="1:4" ht="18.75" customHeight="1">
      <c r="A22" s="3068" t="s">
        <v>1658</v>
      </c>
      <c r="B22" s="3068"/>
      <c r="C22" s="3068"/>
      <c r="D22" s="3068"/>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3065">
        <v>42551</v>
      </c>
      <c r="D31" s="306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074" t="s">
        <v>1669</v>
      </c>
      <c r="B15" s="3069" t="s">
        <v>136</v>
      </c>
      <c r="C15" s="3070"/>
    </row>
    <row r="16" spans="1:7" ht="13.5">
      <c r="A16" s="3075"/>
      <c r="B16" s="3069" t="s">
        <v>69</v>
      </c>
      <c r="C16" s="3070"/>
    </row>
    <row r="17" spans="1:3" ht="13.5">
      <c r="A17" s="3075"/>
      <c r="B17" s="3072" t="s">
        <v>1670</v>
      </c>
      <c r="C17" s="1996" t="s">
        <v>1669</v>
      </c>
    </row>
    <row r="18" spans="1:3" ht="13.5">
      <c r="A18" s="3075"/>
      <c r="B18" s="3072"/>
      <c r="C18" s="1996" t="s">
        <v>1671</v>
      </c>
    </row>
    <row r="19" spans="1:3" ht="13.5">
      <c r="A19" s="3075"/>
      <c r="B19" s="3072"/>
      <c r="C19" s="1996" t="s">
        <v>1672</v>
      </c>
    </row>
    <row r="20" spans="1:3" ht="13.5">
      <c r="A20" s="3076"/>
      <c r="B20" s="3071" t="s">
        <v>1673</v>
      </c>
      <c r="C20" s="3070"/>
    </row>
    <row r="21" spans="1:3" ht="13.5">
      <c r="A21" s="1997" t="s">
        <v>1674</v>
      </c>
      <c r="B21" s="1998"/>
      <c r="C21" s="1999"/>
    </row>
    <row r="22" spans="1:3" ht="13.5">
      <c r="A22" s="3073" t="s">
        <v>1675</v>
      </c>
      <c r="B22" s="3071" t="s">
        <v>1676</v>
      </c>
      <c r="C22" s="3070"/>
    </row>
    <row r="23" spans="1:3" ht="13.5">
      <c r="A23" s="3073"/>
      <c r="B23" s="3071" t="s">
        <v>1677</v>
      </c>
      <c r="C23" s="3070"/>
    </row>
    <row r="24" spans="1:3" ht="13.5">
      <c r="A24" s="3073"/>
      <c r="B24" s="3071" t="s">
        <v>1678</v>
      </c>
      <c r="C24" s="3070"/>
    </row>
    <row r="25" spans="1:3" ht="13.5">
      <c r="A25" s="3073"/>
      <c r="B25" s="3072" t="s">
        <v>1679</v>
      </c>
      <c r="C25" s="1996" t="s">
        <v>1680</v>
      </c>
    </row>
    <row r="26" spans="1:3" ht="13.5">
      <c r="A26" s="3073"/>
      <c r="B26" s="3072"/>
      <c r="C26" s="1996" t="s">
        <v>1681</v>
      </c>
    </row>
    <row r="27" spans="1:3" ht="13.5">
      <c r="A27" s="3073"/>
      <c r="B27" s="3072"/>
      <c r="C27" s="1996" t="s">
        <v>1682</v>
      </c>
    </row>
    <row r="28" spans="1:3" ht="13.5">
      <c r="A28" s="3073"/>
      <c r="B28" s="3072"/>
      <c r="C28" s="1996" t="s">
        <v>1683</v>
      </c>
    </row>
    <row r="29" spans="1:3" ht="13.5">
      <c r="A29" s="3073"/>
      <c r="B29" s="3072"/>
      <c r="C29" s="1996" t="s">
        <v>1684</v>
      </c>
    </row>
    <row r="30" spans="1:3" ht="13.5">
      <c r="A30" s="3073"/>
      <c r="B30" s="3072"/>
      <c r="C30" s="1996" t="s">
        <v>1685</v>
      </c>
    </row>
    <row r="31" spans="1:3" ht="13.5">
      <c r="A31" s="3073"/>
      <c r="B31" s="3072"/>
      <c r="C31" s="1996" t="s">
        <v>1686</v>
      </c>
    </row>
    <row r="32" spans="1:3" ht="13.5">
      <c r="A32" s="3073"/>
      <c r="B32" s="3072"/>
      <c r="C32" s="1996" t="s">
        <v>1687</v>
      </c>
    </row>
    <row r="33" spans="1:3" ht="13.5">
      <c r="A33" s="3073"/>
      <c r="B33" s="3072"/>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43186</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43359</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c r="B12" s="1018"/>
      <c r="C12" s="2340"/>
      <c r="D12" s="2343"/>
      <c r="E12" s="1018"/>
      <c r="F12" s="1018"/>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1149</v>
      </c>
      <c r="B15" s="1018">
        <v>1120070085</v>
      </c>
      <c r="C15" s="2340">
        <v>43814</v>
      </c>
      <c r="D15" s="2344" t="s">
        <v>1149</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340">
        <v>43304</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1333</v>
      </c>
      <c r="B24" s="1699" t="s">
        <v>1333</v>
      </c>
      <c r="C24" s="2341" t="s">
        <v>1333</v>
      </c>
      <c r="D24" s="2344" t="s">
        <v>1333</v>
      </c>
      <c r="E24" s="1699" t="s">
        <v>1333</v>
      </c>
      <c r="F24" s="1699" t="s">
        <v>1333</v>
      </c>
    </row>
    <row r="25" spans="1:7" ht="24" customHeight="1">
      <c r="A25" s="3077" t="s">
        <v>846</v>
      </c>
      <c r="B25" s="3077"/>
      <c r="C25" s="3077"/>
      <c r="D25" s="3077"/>
      <c r="E25" s="3077"/>
      <c r="F25" s="3077"/>
      <c r="G25" s="3077"/>
    </row>
    <row r="26" spans="1:7" s="1021" customFormat="1" ht="24" customHeight="1">
      <c r="A26" s="3078" t="s">
        <v>847</v>
      </c>
      <c r="B26" s="3078"/>
      <c r="C26" s="3079"/>
      <c r="D26" s="3080" t="s">
        <v>848</v>
      </c>
      <c r="E26" s="3078"/>
      <c r="F26" s="3078"/>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22" priority="55">
      <formula>AND($C28-TODAY()&lt;30,TODAY()&lt;$C28)</formula>
    </cfRule>
  </conditionalFormatting>
  <conditionalFormatting sqref="C28 F4">
    <cfRule type="cellIs" dxfId="221" priority="57" stopIfTrue="1" operator="lessThan">
      <formula>$B$2</formula>
    </cfRule>
  </conditionalFormatting>
  <conditionalFormatting sqref="C5">
    <cfRule type="expression" dxfId="220" priority="52">
      <formula>AND($C5-TODAY()&lt;30,TODAY()&lt;$C5)</formula>
    </cfRule>
  </conditionalFormatting>
  <conditionalFormatting sqref="C5 F5">
    <cfRule type="cellIs" dxfId="219" priority="53" stopIfTrue="1" operator="lessThan">
      <formula>$B$2</formula>
    </cfRule>
  </conditionalFormatting>
  <conditionalFormatting sqref="F6 F8 F10">
    <cfRule type="cellIs" dxfId="218" priority="51" stopIfTrue="1" operator="lessThan">
      <formula>$B$2</formula>
    </cfRule>
  </conditionalFormatting>
  <conditionalFormatting sqref="C4:C23">
    <cfRule type="expression" dxfId="217" priority="49">
      <formula>AND($C4-TODAY()&lt;30,TODAY()&lt;$C4)</formula>
    </cfRule>
  </conditionalFormatting>
  <conditionalFormatting sqref="F7 F9 F11 C4:C23">
    <cfRule type="cellIs" dxfId="216" priority="50" stopIfTrue="1" operator="lessThan">
      <formula>$B$2</formula>
    </cfRule>
  </conditionalFormatting>
  <conditionalFormatting sqref="C12">
    <cfRule type="expression" dxfId="215" priority="47">
      <formula>AND($C12-TODAY()&lt;30,TODAY()&lt;$C12)</formula>
    </cfRule>
  </conditionalFormatting>
  <conditionalFormatting sqref="C12">
    <cfRule type="cellIs" dxfId="214" priority="48" stopIfTrue="1" operator="lessThan">
      <formula>$B$2</formula>
    </cfRule>
  </conditionalFormatting>
  <conditionalFormatting sqref="C14">
    <cfRule type="expression" dxfId="213" priority="43">
      <formula>AND($C14-TODAY()&lt;30,TODAY()&lt;$C14)</formula>
    </cfRule>
  </conditionalFormatting>
  <conditionalFormatting sqref="C14">
    <cfRule type="cellIs" dxfId="212" priority="44" stopIfTrue="1" operator="lessThan">
      <formula>$B$2</formula>
    </cfRule>
  </conditionalFormatting>
  <conditionalFormatting sqref="C16">
    <cfRule type="expression" dxfId="211" priority="41">
      <formula>AND($C16-TODAY()&lt;30,TODAY()&lt;$C16)</formula>
    </cfRule>
  </conditionalFormatting>
  <conditionalFormatting sqref="C16">
    <cfRule type="cellIs" dxfId="210" priority="42" stopIfTrue="1" operator="lessThan">
      <formula>$B$2</formula>
    </cfRule>
  </conditionalFormatting>
  <conditionalFormatting sqref="C18">
    <cfRule type="expression" dxfId="209" priority="39">
      <formula>AND($C18-TODAY()&lt;30,TODAY()&lt;$C18)</formula>
    </cfRule>
  </conditionalFormatting>
  <conditionalFormatting sqref="C18">
    <cfRule type="cellIs" dxfId="208" priority="40" stopIfTrue="1" operator="lessThan">
      <formula>$B$2</formula>
    </cfRule>
  </conditionalFormatting>
  <conditionalFormatting sqref="C20">
    <cfRule type="expression" dxfId="207" priority="37">
      <formula>AND($C20-TODAY()&lt;30,TODAY()&lt;$C20)</formula>
    </cfRule>
  </conditionalFormatting>
  <conditionalFormatting sqref="C20">
    <cfRule type="cellIs" dxfId="206" priority="38" stopIfTrue="1" operator="lessThan">
      <formula>$B$2</formula>
    </cfRule>
  </conditionalFormatting>
  <conditionalFormatting sqref="C22">
    <cfRule type="expression" dxfId="205" priority="35">
      <formula>AND($C22-TODAY()&lt;30,TODAY()&lt;$C22)</formula>
    </cfRule>
  </conditionalFormatting>
  <conditionalFormatting sqref="C22">
    <cfRule type="cellIs" dxfId="204" priority="36" stopIfTrue="1" operator="lessThan">
      <formula>$B$2</formula>
    </cfRule>
  </conditionalFormatting>
  <conditionalFormatting sqref="C15">
    <cfRule type="expression" dxfId="203" priority="33">
      <formula>AND($C15-TODAY()&lt;30,TODAY()&lt;$C15)</formula>
    </cfRule>
  </conditionalFormatting>
  <conditionalFormatting sqref="C15">
    <cfRule type="cellIs" dxfId="202" priority="34" stopIfTrue="1" operator="lessThan">
      <formula>$B$2</formula>
    </cfRule>
  </conditionalFormatting>
  <conditionalFormatting sqref="C17">
    <cfRule type="expression" dxfId="201" priority="31">
      <formula>AND($C17-TODAY()&lt;30,TODAY()&lt;$C17)</formula>
    </cfRule>
  </conditionalFormatting>
  <conditionalFormatting sqref="C17">
    <cfRule type="cellIs" dxfId="200" priority="32" stopIfTrue="1" operator="lessThan">
      <formula>$B$2</formula>
    </cfRule>
  </conditionalFormatting>
  <conditionalFormatting sqref="C19">
    <cfRule type="expression" dxfId="199" priority="29">
      <formula>AND($C19-TODAY()&lt;30,TODAY()&lt;$C19)</formula>
    </cfRule>
  </conditionalFormatting>
  <conditionalFormatting sqref="C19">
    <cfRule type="cellIs" dxfId="198" priority="30" stopIfTrue="1" operator="lessThan">
      <formula>$B$2</formula>
    </cfRule>
  </conditionalFormatting>
  <conditionalFormatting sqref="C21">
    <cfRule type="expression" dxfId="197" priority="27">
      <formula>AND($C21-TODAY()&lt;30,TODAY()&lt;$C21)</formula>
    </cfRule>
  </conditionalFormatting>
  <conditionalFormatting sqref="C21">
    <cfRule type="cellIs" dxfId="196" priority="28" stopIfTrue="1" operator="lessThan">
      <formula>$B$2</formula>
    </cfRule>
  </conditionalFormatting>
  <conditionalFormatting sqref="C23">
    <cfRule type="expression" dxfId="195" priority="25">
      <formula>AND($C23-TODAY()&lt;30,TODAY()&lt;$C23)</formula>
    </cfRule>
  </conditionalFormatting>
  <conditionalFormatting sqref="C23">
    <cfRule type="cellIs" dxfId="194" priority="26" stopIfTrue="1" operator="lessThan">
      <formula>$B$2</formula>
    </cfRule>
  </conditionalFormatting>
  <conditionalFormatting sqref="F16">
    <cfRule type="cellIs" dxfId="193" priority="23" stopIfTrue="1" operator="lessThan">
      <formula>$B$2</formula>
    </cfRule>
  </conditionalFormatting>
  <conditionalFormatting sqref="F18">
    <cfRule type="cellIs" dxfId="192" priority="22" stopIfTrue="1" operator="lessThan">
      <formula>$B$2</formula>
    </cfRule>
  </conditionalFormatting>
  <conditionalFormatting sqref="F22">
    <cfRule type="cellIs" dxfId="191" priority="21" stopIfTrue="1" operator="lessThan">
      <formula>$B$2</formula>
    </cfRule>
  </conditionalFormatting>
  <conditionalFormatting sqref="F21">
    <cfRule type="cellIs" dxfId="190" priority="20" stopIfTrue="1" operator="lessThan">
      <formula>$B$2</formula>
    </cfRule>
  </conditionalFormatting>
  <conditionalFormatting sqref="F17">
    <cfRule type="cellIs" dxfId="189" priority="19" stopIfTrue="1" operator="lessThan">
      <formula>$B$2</formula>
    </cfRule>
  </conditionalFormatting>
  <conditionalFormatting sqref="B4:B14 E4:E14 B16:B23 E16:E23">
    <cfRule type="cellIs" dxfId="188" priority="18" stopIfTrue="1" operator="equal">
      <formula>"已过期"</formula>
    </cfRule>
  </conditionalFormatting>
  <conditionalFormatting sqref="A24:F24">
    <cfRule type="cellIs" dxfId="187" priority="14" stopIfTrue="1" operator="equal">
      <formula>"已过期"</formula>
    </cfRule>
  </conditionalFormatting>
  <conditionalFormatting sqref="F28">
    <cfRule type="expression" dxfId="186" priority="12">
      <formula>AND($E28-TODAY()&lt;30,TODAY()&lt;$E28)</formula>
    </cfRule>
  </conditionalFormatting>
  <conditionalFormatting sqref="F28">
    <cfRule type="cellIs" dxfId="185" priority="13" stopIfTrue="1" operator="lessThan">
      <formula>$B$2</formula>
    </cfRule>
  </conditionalFormatting>
  <conditionalFormatting sqref="F29">
    <cfRule type="expression" dxfId="184" priority="8" stopIfTrue="1">
      <formula>AND($E29-TODAY()&lt;30,TODAY()&lt;$E29)</formula>
    </cfRule>
  </conditionalFormatting>
  <conditionalFormatting sqref="F29">
    <cfRule type="cellIs" dxfId="183" priority="9" stopIfTrue="1" operator="lessThan">
      <formula>$B$2</formula>
    </cfRule>
  </conditionalFormatting>
  <conditionalFormatting sqref="B15">
    <cfRule type="cellIs" dxfId="182" priority="6" stopIfTrue="1" operator="equal">
      <formula>"已过期"</formula>
    </cfRule>
  </conditionalFormatting>
  <conditionalFormatting sqref="A15">
    <cfRule type="cellIs" dxfId="181" priority="5" stopIfTrue="1" operator="equal">
      <formula>"已过期"</formula>
    </cfRule>
  </conditionalFormatting>
  <conditionalFormatting sqref="C15">
    <cfRule type="expression" dxfId="180" priority="4">
      <formula>AND($C15-TODAY()&lt;30,TODAY()&lt;$C15)</formula>
    </cfRule>
  </conditionalFormatting>
  <conditionalFormatting sqref="E15">
    <cfRule type="cellIs" dxfId="179" priority="3" stopIfTrue="1" operator="equal">
      <formula>"已过期"</formula>
    </cfRule>
  </conditionalFormatting>
  <conditionalFormatting sqref="D15">
    <cfRule type="cellIs" dxfId="178" priority="2" stopIfTrue="1" operator="equal">
      <formula>"已过期"</formula>
    </cfRule>
  </conditionalFormatting>
  <conditionalFormatting sqref="F13">
    <cfRule type="cellIs" dxfId="17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3558</v>
      </c>
      <c r="C17" s="2011"/>
    </row>
    <row r="18" spans="1:3">
      <c r="A18" s="2010" t="s">
        <v>1767</v>
      </c>
      <c r="B18" s="2010" t="s">
        <v>3560</v>
      </c>
      <c r="C18" s="2011"/>
    </row>
    <row r="19" spans="1:3">
      <c r="A19" s="2010" t="s">
        <v>1768</v>
      </c>
      <c r="B19" s="2010"/>
      <c r="C19" s="2011"/>
    </row>
    <row r="20" spans="1:3">
      <c r="A20" s="2010" t="s">
        <v>1769</v>
      </c>
      <c r="B20" s="2010" t="s">
        <v>3564</v>
      </c>
      <c r="C20" s="2011"/>
    </row>
    <row r="21" spans="1:3">
      <c r="A21" s="2010" t="s">
        <v>1770</v>
      </c>
      <c r="B21" s="2010" t="s">
        <v>3566</v>
      </c>
      <c r="C21" s="2011"/>
    </row>
    <row r="22" spans="1:3">
      <c r="A22" s="2010" t="s">
        <v>1771</v>
      </c>
      <c r="B22" s="2010" t="s">
        <v>3568</v>
      </c>
      <c r="C22" s="2011"/>
    </row>
    <row r="23" spans="1:3">
      <c r="A23" s="2010" t="s">
        <v>1772</v>
      </c>
      <c r="B23" s="2010" t="s">
        <v>3562</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为估价委托人在向英大国际信托有限责任公司办理贷款手续过程中，确定房地产抵押贷款额度提供参考依据而评估房地产抵押价值。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正浩置业有限公司拟使用北京市大兴区黄村镇房地产作为抵押担保物，向英大国际信托有限责任公司办理贷款手续。英大国际信托有限责任公司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81"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23日，估价对象规划用途为办公、商业、地下车库土地取得方式为出让，出让国有建设用地使用权剩余土地使用年限为XX年(多用途剩余年限尾数不同时，可只体现小数点后一位)，假定未设立法定优先受偿款下的房地产市场价值。</v>
      </c>
    </row>
    <row r="54" spans="1:4">
      <c r="A54" s="3081"/>
      <c r="B54" s="2018" t="s">
        <v>864</v>
      </c>
      <c r="C54" s="2015" t="s">
        <v>1281</v>
      </c>
    </row>
    <row r="55" spans="1:4">
      <c r="A55" s="3081"/>
      <c r="B55" s="2018" t="s">
        <v>865</v>
      </c>
      <c r="C55" s="2015" t="s">
        <v>1282</v>
      </c>
    </row>
    <row r="56" spans="1:4">
      <c r="A56" s="3081"/>
      <c r="B56" s="2018" t="s">
        <v>866</v>
      </c>
      <c r="C56" s="2015" t="s">
        <v>1286</v>
      </c>
    </row>
    <row r="57" spans="1:4">
      <c r="A57" s="3081"/>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3" sqref="H23"/>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1776</v>
      </c>
      <c r="B1" s="3082" t="str">
        <f>IF(B10="北京市","北京市",C10)&amp;F10&amp;IF('结果表（办公）'!G1="在建","出让国有建设用地使用权及在建建筑物",IF('结果表（办公）'!G1="土地","出让国有建设用地使用权",))&amp;B9&amp;"预评估"</f>
        <v>北京市大兴区黄村镇房地产抵押价值预评估</v>
      </c>
      <c r="C1" s="3083"/>
      <c r="D1" s="3083"/>
      <c r="E1" s="3083"/>
      <c r="F1" s="3083"/>
      <c r="G1" s="3083"/>
      <c r="H1" s="3083"/>
      <c r="I1" s="3084"/>
      <c r="J1" s="2022"/>
      <c r="K1" s="2023"/>
      <c r="L1" s="2024"/>
      <c r="M1" s="2024"/>
      <c r="N1" s="2025"/>
      <c r="O1" s="2026"/>
      <c r="P1" s="2025"/>
      <c r="Q1" s="2025"/>
      <c r="R1" s="2025"/>
      <c r="S1" s="2027" t="str">
        <f>IF(B10="北京市","北京市",C10)&amp;F10&amp;IF('结果表（办公）'!G1="在建","出让国有建设用地使用权及在建建筑物房地产抵押价值",IF('结果表（办公）'!G1="土地","出让国有建设用地使用权抵押价值",B9))</f>
        <v>北京市大兴区黄村镇房地产抵押价值</v>
      </c>
    </row>
    <row r="2" spans="1:19" ht="18" customHeight="1">
      <c r="A2" s="2022" t="s">
        <v>1777</v>
      </c>
      <c r="B2" s="1035"/>
      <c r="C2" s="2029"/>
      <c r="D2" s="2022"/>
      <c r="E2" s="2030"/>
      <c r="F2" s="2030"/>
      <c r="G2" s="2022"/>
      <c r="H2" s="2022"/>
      <c r="I2" s="2022"/>
      <c r="J2" s="2022"/>
      <c r="K2" s="2023"/>
      <c r="L2" s="2024"/>
      <c r="M2" s="2024"/>
      <c r="N2" s="2025"/>
      <c r="O2" s="2026"/>
      <c r="P2" s="2025"/>
      <c r="Q2" s="2025"/>
      <c r="R2" s="2025"/>
      <c r="S2" s="2027" t="str">
        <f>IF(B10="北京市","北京市",C10)&amp;F10&amp;IF('结果表（办公）'!G1="在建","出让国有建设用地使用权及在建建筑物房地产",IF('结果表（办公）'!G1="土地","出让国有建设用地使用权","房地产"))</f>
        <v>北京市大兴区黄村镇房地产</v>
      </c>
    </row>
    <row r="3" spans="1:19" ht="18" customHeight="1">
      <c r="A3" s="2031" t="s">
        <v>1778</v>
      </c>
      <c r="B3" s="2032">
        <v>43182</v>
      </c>
      <c r="C3" s="2033" t="s">
        <v>1779</v>
      </c>
      <c r="D3" s="2032">
        <f>B3</f>
        <v>43182</v>
      </c>
      <c r="E3" s="2022"/>
      <c r="F3" s="2022"/>
      <c r="G3" s="2022"/>
      <c r="H3" s="2022"/>
      <c r="I3" s="2022"/>
      <c r="J3" s="2022"/>
      <c r="K3" s="2023"/>
      <c r="L3" s="2024"/>
      <c r="M3" s="2024"/>
      <c r="N3" s="2025"/>
      <c r="O3" s="2026"/>
      <c r="P3" s="2025"/>
      <c r="Q3" s="2025"/>
      <c r="R3" s="2025"/>
      <c r="S3" s="2027"/>
    </row>
    <row r="4" spans="1:19" ht="18" customHeight="1" thickBot="1">
      <c r="A4" s="2034" t="s">
        <v>1780</v>
      </c>
      <c r="B4" s="2035" t="s">
        <v>3055</v>
      </c>
      <c r="C4" s="1033">
        <f ca="1">SUMIF(注册房地产估价师,B4,估价师及机构信息!B3:B24)</f>
        <v>1120000080</v>
      </c>
      <c r="D4" s="2035" t="s">
        <v>3056</v>
      </c>
      <c r="E4" s="1034">
        <f ca="1">SUMIF(注册房地产估价师,D4,估价师及机构信息!B3:B24)</f>
        <v>1119970066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欧红伟（注册号：1120000080)、梁津（注册号：1119970066)</v>
      </c>
      <c r="L4" s="2024"/>
      <c r="M4" s="2024"/>
      <c r="N4" s="2025"/>
      <c r="O4" s="2026"/>
      <c r="P4" s="2025"/>
      <c r="Q4" s="2025"/>
      <c r="R4" s="2025"/>
      <c r="S4" s="2027"/>
    </row>
    <row r="5" spans="1:19" ht="18" customHeight="1" thickTop="1">
      <c r="A5" s="2040" t="s">
        <v>1781</v>
      </c>
      <c r="B5" s="2934" t="s">
        <v>3576</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1782</v>
      </c>
      <c r="B6" s="2935" t="s">
        <v>3057</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1783</v>
      </c>
      <c r="B7" s="2936" t="s">
        <v>3058</v>
      </c>
      <c r="C7" s="2044"/>
      <c r="D7" s="2045"/>
      <c r="E7" s="2030"/>
      <c r="F7" s="2038"/>
      <c r="G7" s="2038"/>
      <c r="H7" s="2038"/>
      <c r="I7" s="2038"/>
      <c r="J7" s="2038"/>
      <c r="K7" s="2047"/>
      <c r="L7" s="2024"/>
      <c r="M7" s="2024"/>
      <c r="N7" s="2025"/>
      <c r="O7" s="2026"/>
      <c r="P7" s="2025"/>
      <c r="Q7" s="2025"/>
      <c r="R7" s="2025"/>
    </row>
    <row r="8" spans="1:19" ht="18" customHeight="1">
      <c r="A8" s="2043" t="s">
        <v>1784</v>
      </c>
      <c r="B8" s="2048" t="s">
        <v>3059</v>
      </c>
      <c r="C8" s="2049"/>
      <c r="D8" s="3085" t="s">
        <v>1785</v>
      </c>
      <c r="E8" s="2050" t="s">
        <v>3060</v>
      </c>
      <c r="F8" s="2051"/>
      <c r="G8" s="2022"/>
      <c r="H8" s="2022"/>
      <c r="I8" s="2022"/>
      <c r="J8" s="2038"/>
      <c r="K8" s="2039"/>
      <c r="L8" s="2024"/>
      <c r="M8" s="2024"/>
      <c r="N8" s="2025"/>
      <c r="O8" s="2026"/>
      <c r="P8" s="2025"/>
      <c r="Q8" s="2025"/>
      <c r="R8" s="2025"/>
    </row>
    <row r="9" spans="1:19" ht="18" customHeight="1" thickBot="1">
      <c r="A9" s="2036" t="s">
        <v>1786</v>
      </c>
      <c r="B9" s="2052" t="s">
        <v>3061</v>
      </c>
      <c r="C9" s="2053"/>
      <c r="D9" s="3086"/>
      <c r="E9" s="2052" t="s">
        <v>70</v>
      </c>
      <c r="F9" s="2054"/>
      <c r="G9" s="2055"/>
      <c r="H9" s="2055"/>
      <c r="I9" s="2055"/>
      <c r="J9" s="2038"/>
      <c r="K9" s="2047"/>
      <c r="L9" s="2024"/>
      <c r="M9" s="2024"/>
      <c r="N9" s="2025"/>
      <c r="O9" s="2026"/>
      <c r="P9" s="2025"/>
      <c r="Q9" s="2025"/>
      <c r="R9" s="2025"/>
    </row>
    <row r="10" spans="1:19" ht="18" customHeight="1" thickTop="1">
      <c r="A10" s="2056" t="s">
        <v>1787</v>
      </c>
      <c r="B10" s="2057" t="s">
        <v>3062</v>
      </c>
      <c r="C10" s="2058"/>
      <c r="D10" s="2042"/>
      <c r="E10" s="2059" t="s">
        <v>1788</v>
      </c>
      <c r="F10" s="2937" t="s">
        <v>3063</v>
      </c>
      <c r="G10" s="2060"/>
      <c r="H10" s="2061"/>
      <c r="I10" s="2042"/>
      <c r="J10" s="2038"/>
      <c r="K10" s="2047"/>
      <c r="L10" s="2024"/>
      <c r="M10" s="2024"/>
      <c r="N10" s="2025"/>
      <c r="O10" s="2026"/>
      <c r="P10" s="2025"/>
      <c r="Q10" s="2025"/>
      <c r="R10" s="2025"/>
    </row>
    <row r="11" spans="1:19" ht="18" customHeight="1">
      <c r="A11" s="2062" t="s">
        <v>1789</v>
      </c>
      <c r="B11" s="2063"/>
      <c r="C11" s="2064"/>
      <c r="D11" s="2065"/>
      <c r="E11" s="2038"/>
      <c r="F11" s="2038"/>
      <c r="G11" s="2038"/>
      <c r="H11" s="2038"/>
      <c r="I11" s="2038"/>
      <c r="J11" s="2038"/>
      <c r="K11" s="2047"/>
      <c r="L11" s="2024"/>
      <c r="M11" s="2024"/>
      <c r="N11" s="2025"/>
      <c r="O11" s="2026"/>
      <c r="P11" s="2025"/>
      <c r="Q11" s="2025"/>
      <c r="R11" s="2025"/>
    </row>
    <row r="12" spans="1:19" ht="18" customHeight="1">
      <c r="A12" s="2066" t="s">
        <v>1790</v>
      </c>
      <c r="B12" s="2063" t="s">
        <v>3046</v>
      </c>
      <c r="C12" s="2067" t="s">
        <v>1791</v>
      </c>
      <c r="D12" s="2068" t="s">
        <v>1792</v>
      </c>
      <c r="E12" s="2068" t="s">
        <v>1793</v>
      </c>
      <c r="F12" s="2068" t="s">
        <v>1794</v>
      </c>
      <c r="G12" s="2068" t="s">
        <v>1795</v>
      </c>
      <c r="H12" s="2068" t="s">
        <v>1796</v>
      </c>
      <c r="I12" s="2068" t="s">
        <v>1797</v>
      </c>
      <c r="J12" s="2038"/>
      <c r="K12" s="2047"/>
      <c r="L12" s="2024"/>
      <c r="M12" s="2024"/>
      <c r="N12" s="2025"/>
      <c r="O12" s="2026"/>
      <c r="P12" s="2025"/>
      <c r="Q12" s="2025"/>
      <c r="R12" s="2025"/>
    </row>
    <row r="13" spans="1:19" ht="18" customHeight="1">
      <c r="A13" s="2069"/>
      <c r="B13" s="2070"/>
      <c r="C13" s="2071" t="s">
        <v>1798</v>
      </c>
      <c r="D13" s="2072"/>
      <c r="E13" s="1043">
        <v>56394</v>
      </c>
      <c r="F13" s="1043">
        <v>60047</v>
      </c>
      <c r="G13" s="1043">
        <v>60047</v>
      </c>
      <c r="H13" s="2072"/>
      <c r="I13" s="1043"/>
      <c r="J13" s="2038"/>
      <c r="K13" s="2047"/>
      <c r="L13" s="2024"/>
      <c r="M13" s="2024"/>
      <c r="N13" s="2025"/>
      <c r="O13" s="2026"/>
      <c r="P13" s="2025"/>
      <c r="Q13" s="2025"/>
      <c r="R13" s="2025"/>
    </row>
    <row r="14" spans="1:19" ht="18" customHeight="1">
      <c r="A14" s="2069"/>
      <c r="B14" s="2070"/>
      <c r="C14" s="2071" t="s">
        <v>1799</v>
      </c>
      <c r="D14" s="1046"/>
      <c r="E14" s="1046">
        <v>40</v>
      </c>
      <c r="F14" s="1046">
        <v>50</v>
      </c>
      <c r="G14" s="1046">
        <v>50</v>
      </c>
      <c r="H14" s="1046"/>
      <c r="I14" s="1046"/>
      <c r="J14" s="2038"/>
      <c r="K14" s="2073"/>
      <c r="L14" s="2024"/>
      <c r="M14" s="2024"/>
      <c r="N14" s="2025"/>
      <c r="O14" s="2026"/>
      <c r="P14" s="2025"/>
      <c r="Q14" s="2025"/>
      <c r="R14" s="2025"/>
    </row>
    <row r="15" spans="1:19" ht="18" customHeight="1">
      <c r="A15" s="2056"/>
      <c r="B15" s="2074"/>
      <c r="C15" s="2071" t="s">
        <v>1800</v>
      </c>
      <c r="D15" s="1045" t="str">
        <f>IF(B12="出让",IF(D13="","",ROUNDDOWN(MIN((D13-$D$3)/365,D14),2)),D14)</f>
        <v/>
      </c>
      <c r="E15" s="1045">
        <f>IF(B12="出让",IF(E13="","",ROUNDDOWN(MIN((E13-$D$3)/365,E14),2)),E14)</f>
        <v>36.19</v>
      </c>
      <c r="F15" s="1045">
        <f>IF(B12="出让",IF(F13="","",ROUNDDOWN(MIN((F13-$D$3)/365,F14),2)),F14)</f>
        <v>46.2</v>
      </c>
      <c r="G15" s="1045">
        <f>IF(B12="出让",IF(G13="","",ROUNDDOWN(MIN((G13-$D$3)/365,G14),2)),G14)</f>
        <v>46.2</v>
      </c>
      <c r="H15" s="1045" t="str">
        <f>IF(B12="出让",IF(H13="","",ROUNDDOWN(MIN((H13-$D$3)/365,H14),2)),H14)</f>
        <v/>
      </c>
      <c r="I15" s="1045" t="str">
        <f>IF(B12="出让",IF(I13="","",ROUNDDOWN(MIN((I13-$D$3)/365,I14),2)),I14)</f>
        <v/>
      </c>
      <c r="J15" s="2038"/>
      <c r="K15" s="2075"/>
      <c r="L15" s="2076"/>
      <c r="M15" s="2076"/>
      <c r="N15" s="2077"/>
      <c r="O15" s="2076"/>
      <c r="P15" s="2077"/>
      <c r="Q15" s="2025"/>
      <c r="R15" s="2025"/>
    </row>
    <row r="16" spans="1:19" ht="30.75" customHeight="1">
      <c r="A16" s="2059" t="s">
        <v>1801</v>
      </c>
      <c r="B16" s="3092" t="s">
        <v>3064</v>
      </c>
      <c r="C16" s="3093"/>
      <c r="D16" s="3094"/>
      <c r="E16" s="2078" t="s">
        <v>1802</v>
      </c>
      <c r="F16" s="3095"/>
      <c r="G16" s="3096"/>
      <c r="H16" s="3096"/>
      <c r="I16" s="3097"/>
      <c r="J16" s="2025"/>
      <c r="K16" s="2075"/>
      <c r="L16" s="2076"/>
      <c r="M16" s="2076"/>
      <c r="N16" s="2077"/>
      <c r="O16" s="2076"/>
      <c r="P16" s="2077"/>
      <c r="Q16" s="2025"/>
      <c r="R16" s="2025"/>
    </row>
    <row r="17" spans="1:22" ht="18" customHeight="1">
      <c r="A17" s="2079" t="s">
        <v>1803</v>
      </c>
      <c r="B17" s="2031" t="s">
        <v>1804</v>
      </c>
      <c r="C17" s="1050">
        <f>'数据-汇总表'!E3</f>
        <v>48185.319999999992</v>
      </c>
      <c r="D17" s="2080" t="s">
        <v>1805</v>
      </c>
      <c r="E17" s="3098" t="s">
        <v>3065</v>
      </c>
      <c r="F17" s="3099"/>
      <c r="G17" s="3099"/>
      <c r="H17" s="3099"/>
      <c r="I17" s="3100"/>
      <c r="J17" s="2025"/>
      <c r="K17" s="2081"/>
      <c r="L17" s="2076"/>
      <c r="M17" s="2076"/>
      <c r="N17" s="2077"/>
      <c r="O17" s="2076"/>
      <c r="P17" s="2077"/>
      <c r="Q17" s="2025"/>
      <c r="R17" s="2025"/>
      <c r="S17" s="2025"/>
      <c r="T17" s="2025"/>
      <c r="U17" s="2025"/>
      <c r="V17" s="2025"/>
    </row>
    <row r="18" spans="1:22" ht="36" customHeight="1" thickBot="1">
      <c r="A18" s="2082" t="s">
        <v>1806</v>
      </c>
      <c r="B18" s="2034" t="s">
        <v>1807</v>
      </c>
      <c r="C18" s="1440">
        <f>'数据-汇总表'!D3</f>
        <v>9619.89</v>
      </c>
      <c r="D18" s="2083" t="s">
        <v>1805</v>
      </c>
      <c r="E18" s="3101" t="s">
        <v>3066</v>
      </c>
      <c r="F18" s="3102"/>
      <c r="G18" s="3102"/>
      <c r="H18" s="3102"/>
      <c r="I18" s="3103"/>
      <c r="J18" s="2025"/>
      <c r="K18" s="2081"/>
      <c r="L18" s="2076"/>
      <c r="M18" s="2076"/>
      <c r="N18" s="2077"/>
      <c r="O18" s="2076"/>
      <c r="P18" s="2077"/>
      <c r="Q18" s="2025"/>
      <c r="R18" s="2025"/>
      <c r="S18" s="2025"/>
      <c r="T18" s="2025"/>
      <c r="U18" s="2025"/>
      <c r="V18" s="2025"/>
    </row>
    <row r="19" spans="1:22" ht="37.5" customHeight="1" thickTop="1" thickBot="1">
      <c r="A19" s="372" t="s">
        <v>1808</v>
      </c>
      <c r="B19" s="351" t="s">
        <v>1809</v>
      </c>
      <c r="C19" s="2084" t="s">
        <v>3045</v>
      </c>
      <c r="D19" s="2085" t="s">
        <v>1810</v>
      </c>
      <c r="E19" s="2086"/>
      <c r="F19" s="2087" t="str">
        <f>IF(AND(C19="是",E19="否"),"是否提供他项权证或相关说明","")</f>
        <v/>
      </c>
      <c r="G19" s="2088"/>
      <c r="H19" s="2038"/>
      <c r="I19" s="2038"/>
      <c r="J19" s="2038"/>
      <c r="K19" s="2047"/>
      <c r="L19" s="2024"/>
      <c r="M19" s="2024"/>
      <c r="N19" s="2077"/>
      <c r="O19" s="2076"/>
      <c r="P19" s="2077"/>
      <c r="Q19" s="2025"/>
      <c r="R19" s="2025"/>
      <c r="S19" s="2025"/>
      <c r="T19" s="2025"/>
      <c r="U19" s="2025"/>
      <c r="V19" s="2025"/>
    </row>
    <row r="20" spans="1:22" ht="18" customHeight="1">
      <c r="A20" s="2089" t="s">
        <v>1811</v>
      </c>
      <c r="B20" s="3088" t="s">
        <v>1812</v>
      </c>
      <c r="C20" s="3089"/>
      <c r="D20" s="3090" t="s">
        <v>1813</v>
      </c>
      <c r="E20" s="3091"/>
      <c r="F20" s="2090" t="s">
        <v>1814</v>
      </c>
      <c r="G20" s="2038"/>
      <c r="H20" s="2038"/>
      <c r="I20" s="2038"/>
      <c r="J20" s="2038"/>
      <c r="K20" s="3087" t="s">
        <v>1815</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1816</v>
      </c>
      <c r="C21" s="2092" t="s">
        <v>1817</v>
      </c>
      <c r="D21" s="2093" t="s">
        <v>1818</v>
      </c>
      <c r="E21" s="2094" t="s">
        <v>1817</v>
      </c>
      <c r="F21" s="2095"/>
      <c r="G21" s="2038"/>
      <c r="H21" s="2038"/>
      <c r="I21" s="2038"/>
      <c r="J21" s="2038"/>
      <c r="K21" s="308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1819</v>
      </c>
      <c r="C22" s="2092" t="s">
        <v>1820</v>
      </c>
      <c r="D22" s="2022"/>
      <c r="E22" s="2022"/>
      <c r="F22" s="2097"/>
      <c r="G22" s="2038"/>
      <c r="H22" s="2038"/>
      <c r="I22" s="2038"/>
      <c r="J22" s="2038"/>
      <c r="K22" s="3087"/>
      <c r="L22" s="747"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1821</v>
      </c>
      <c r="B23" s="182" t="s">
        <v>1822</v>
      </c>
      <c r="C23" s="2099"/>
      <c r="D23" s="2100" t="s">
        <v>1822</v>
      </c>
      <c r="E23" s="2101"/>
      <c r="F23" s="2097"/>
      <c r="G23" s="2038"/>
      <c r="H23" s="2038"/>
      <c r="I23" s="2038"/>
      <c r="J23" s="2038"/>
      <c r="K23" s="2102"/>
      <c r="L23" s="747"/>
      <c r="M23" s="2024"/>
      <c r="N23" s="2077"/>
      <c r="O23" s="2076"/>
      <c r="P23" s="2077"/>
      <c r="Q23" s="2025"/>
      <c r="R23" s="2025"/>
      <c r="S23" s="2025"/>
      <c r="T23" s="2025"/>
      <c r="U23" s="2025"/>
      <c r="V23" s="2025"/>
    </row>
    <row r="24" spans="1:22" ht="18" customHeight="1">
      <c r="A24" s="2103"/>
      <c r="B24" s="182" t="s">
        <v>1823</v>
      </c>
      <c r="C24" s="2104"/>
      <c r="D24" s="2098" t="s">
        <v>1823</v>
      </c>
      <c r="E24" s="2105"/>
      <c r="F24" s="2097"/>
      <c r="G24" s="2038"/>
      <c r="H24" s="2038"/>
      <c r="I24" s="2038"/>
      <c r="J24" s="2038"/>
      <c r="K24" s="2102"/>
      <c r="L24" s="747"/>
      <c r="M24" s="2024"/>
      <c r="N24" s="2077"/>
      <c r="O24" s="2076"/>
      <c r="P24" s="2077"/>
      <c r="Q24" s="2025"/>
      <c r="R24" s="2025"/>
      <c r="S24" s="2025"/>
      <c r="T24" s="2025"/>
      <c r="U24" s="2025"/>
      <c r="V24" s="2025"/>
    </row>
    <row r="25" spans="1:22" ht="18" customHeight="1">
      <c r="A25" s="2103"/>
      <c r="B25" s="182" t="s">
        <v>1824</v>
      </c>
      <c r="C25" s="2104"/>
      <c r="D25" s="2098" t="s">
        <v>1824</v>
      </c>
      <c r="E25" s="2105"/>
      <c r="F25" s="2097"/>
      <c r="G25" s="2038"/>
      <c r="H25" s="2038"/>
      <c r="I25" s="2038"/>
      <c r="J25" s="2038"/>
      <c r="K25" s="2047"/>
      <c r="L25" s="2024"/>
      <c r="M25" s="2024"/>
      <c r="N25" s="2077"/>
      <c r="O25" s="2076"/>
      <c r="P25" s="2077"/>
      <c r="Q25" s="2025"/>
      <c r="R25" s="2025"/>
      <c r="S25" s="2025"/>
      <c r="T25" s="2025"/>
      <c r="U25" s="2025"/>
      <c r="V25" s="2025"/>
    </row>
    <row r="26" spans="1:22" ht="18" customHeight="1" thickBot="1">
      <c r="A26" s="2106"/>
      <c r="B26" s="2107" t="s">
        <v>1825</v>
      </c>
      <c r="C26" s="2108"/>
      <c r="D26" s="2109" t="s">
        <v>1826</v>
      </c>
      <c r="E26" s="2110"/>
      <c r="F26" s="2111"/>
      <c r="G26" s="2055"/>
      <c r="H26" s="2055"/>
      <c r="I26" s="2055"/>
      <c r="J26" s="2038"/>
      <c r="K26" s="2047"/>
      <c r="L26" s="2024"/>
      <c r="M26" s="2024"/>
      <c r="N26" s="2077"/>
      <c r="O26" s="2076"/>
      <c r="P26" s="2077"/>
      <c r="Q26" s="2025"/>
      <c r="R26" s="2025"/>
      <c r="S26" s="2025"/>
      <c r="T26" s="2025"/>
      <c r="U26" s="2025"/>
      <c r="V26" s="2025"/>
    </row>
    <row r="27" spans="1:22" ht="18" customHeight="1" thickTop="1">
      <c r="A27" s="3105" t="s">
        <v>1827</v>
      </c>
      <c r="B27" s="2056" t="s">
        <v>1828</v>
      </c>
      <c r="C27" s="2112"/>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105"/>
      <c r="B28" s="2031" t="s">
        <v>1829</v>
      </c>
      <c r="C28" s="2114"/>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105"/>
      <c r="B29" s="2031" t="s">
        <v>1830</v>
      </c>
      <c r="C29" s="2117"/>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106"/>
      <c r="B30" s="2031" t="s">
        <v>1831</v>
      </c>
      <c r="C30" s="3107"/>
      <c r="D30" s="3108"/>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109" t="s">
        <v>1832</v>
      </c>
      <c r="B31" s="2119"/>
      <c r="C31" s="2120" t="str">
        <f>IF(B31="现房","成新及维护状况正常否",IF(B31="在建","工程状态是否正常",IF(B31="土地","是否闲置","-")))</f>
        <v>-</v>
      </c>
      <c r="D31" s="2121"/>
      <c r="E31" s="2122"/>
      <c r="F31" s="2038"/>
      <c r="G31" s="2038"/>
      <c r="H31" s="2038"/>
      <c r="I31" s="2038"/>
      <c r="J31" s="2038"/>
      <c r="K31" s="2046"/>
      <c r="L31" s="2024"/>
      <c r="M31" s="2024"/>
      <c r="N31" s="2025"/>
      <c r="O31" s="2026"/>
      <c r="P31" s="2025"/>
      <c r="Q31" s="2025"/>
      <c r="R31" s="2025"/>
      <c r="S31" s="2025"/>
      <c r="T31" s="2025"/>
      <c r="U31" s="2025"/>
      <c r="V31" s="2025"/>
    </row>
    <row r="32" spans="1:22" ht="18" customHeight="1">
      <c r="A32" s="3110"/>
      <c r="B32" s="2119"/>
      <c r="C32" s="2120" t="str">
        <f>IF(B32="现房","成新及维护状况是否正常",IF(B32="在建","工程状态是否正常",IF(B32="土地","是否闲置","-")))</f>
        <v>-</v>
      </c>
      <c r="D32" s="2121"/>
      <c r="E32" s="2122"/>
      <c r="F32" s="2038"/>
      <c r="G32" s="2038"/>
      <c r="H32" s="2038"/>
      <c r="I32" s="2038"/>
      <c r="J32" s="2038"/>
      <c r="K32" s="2047"/>
      <c r="L32" s="2024"/>
      <c r="M32" s="2024"/>
      <c r="N32" s="2025"/>
      <c r="O32" s="2026"/>
      <c r="P32" s="2025"/>
      <c r="Q32" s="2025"/>
      <c r="R32" s="2025"/>
      <c r="S32" s="2025"/>
      <c r="T32" s="2025"/>
      <c r="U32" s="2025"/>
      <c r="V32" s="2025"/>
    </row>
    <row r="33" spans="1:22" ht="18" customHeight="1">
      <c r="A33" s="3110"/>
      <c r="B33" s="2123"/>
      <c r="C33" s="2062" t="str">
        <f>IF(B33="现房","成新及维护状况是否正常",IF(B33="在建","工程状态是否正常",IF(B33="土地","是否闲置","-")))</f>
        <v>-</v>
      </c>
      <c r="D33" s="2124"/>
      <c r="E33" s="2125"/>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1833</v>
      </c>
      <c r="B34" s="2126"/>
      <c r="C34" s="2126"/>
      <c r="D34" s="2126"/>
      <c r="E34" s="2126"/>
      <c r="F34" s="2126"/>
      <c r="G34" s="2126"/>
      <c r="H34" s="2126"/>
      <c r="I34" s="2038"/>
      <c r="J34" s="2038"/>
      <c r="K34" s="1791">
        <f>COUNTIF(B34:H34,"——")</f>
        <v>0</v>
      </c>
      <c r="L34" s="2067" t="s">
        <v>1834</v>
      </c>
      <c r="M34" s="2067" t="s">
        <v>1835</v>
      </c>
      <c r="N34" s="2067" t="s">
        <v>1836</v>
      </c>
      <c r="O34" s="2067" t="s">
        <v>1837</v>
      </c>
      <c r="P34" s="2067" t="s">
        <v>1838</v>
      </c>
      <c r="Q34" s="2067" t="s">
        <v>1839</v>
      </c>
      <c r="R34" s="2067" t="s">
        <v>1840</v>
      </c>
      <c r="S34" s="3104" t="s">
        <v>1841</v>
      </c>
      <c r="T34" s="2127" t="str">
        <f>NUMBERSTRING(7-K34,1)&amp;"通"</f>
        <v>七通</v>
      </c>
      <c r="U34" s="2025"/>
      <c r="V34" s="2025"/>
    </row>
    <row r="35" spans="1:22" ht="18" customHeight="1">
      <c r="A35" s="2128"/>
      <c r="B35" s="3111" t="s">
        <v>1842</v>
      </c>
      <c r="C35" s="3111"/>
      <c r="D35" s="3111"/>
      <c r="E35" s="3111"/>
      <c r="F35" s="2129">
        <f>C10</f>
        <v>0</v>
      </c>
      <c r="G35" s="2038"/>
      <c r="H35" s="2038"/>
      <c r="I35" s="2038"/>
      <c r="J35" s="2038"/>
      <c r="K35" s="2067"/>
      <c r="L35" s="2067">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104"/>
      <c r="T35" s="47" t="str">
        <f>IF(T34="一通",L35,IF(T34="二通",M35,IF(T34="三通",N35,IF(T34="四通",O35,IF(T34="五通",P35,IF(T34="六通",Q35,R35))))))</f>
        <v>、、、、、、</v>
      </c>
      <c r="U35" s="2025"/>
      <c r="V35" s="2025"/>
    </row>
    <row r="36" spans="1:22" ht="18" customHeight="1">
      <c r="A36" s="2130"/>
      <c r="B36" s="2129" t="s">
        <v>1843</v>
      </c>
      <c r="C36" s="2129" t="s">
        <v>1844</v>
      </c>
      <c r="D36" s="2129" t="s">
        <v>1845</v>
      </c>
      <c r="E36" s="2129" t="s">
        <v>1846</v>
      </c>
      <c r="F36" s="2131"/>
      <c r="G36" s="2038"/>
      <c r="H36" s="2038"/>
      <c r="I36" s="2038"/>
      <c r="J36" s="2038"/>
      <c r="K36" s="2047"/>
      <c r="L36" s="2024"/>
      <c r="M36" s="2024"/>
      <c r="N36" s="2025"/>
      <c r="O36" s="2026"/>
      <c r="P36" s="2025"/>
      <c r="Q36" s="2025"/>
      <c r="R36" s="2025"/>
      <c r="S36" s="2025"/>
      <c r="T36" s="2025"/>
      <c r="U36" s="2025"/>
      <c r="V36" s="2025"/>
    </row>
    <row r="37" spans="1:22" ht="18" customHeight="1">
      <c r="A37" s="2132" t="s">
        <v>1847</v>
      </c>
      <c r="B37" s="2995" t="s">
        <v>528</v>
      </c>
      <c r="C37" s="2995" t="s">
        <v>528</v>
      </c>
      <c r="D37" s="2133"/>
      <c r="E37" s="2133"/>
      <c r="F37" s="2131"/>
      <c r="G37" s="2038"/>
      <c r="H37" s="2038"/>
      <c r="I37" s="2038"/>
      <c r="J37" s="2038"/>
      <c r="K37" s="2047"/>
      <c r="L37" s="2024"/>
      <c r="M37" s="2024"/>
      <c r="N37" s="2025"/>
      <c r="O37" s="2026"/>
      <c r="P37" s="2025"/>
      <c r="Q37" s="2025"/>
      <c r="R37" s="2025"/>
      <c r="S37" s="2025"/>
      <c r="T37" s="2025"/>
      <c r="U37" s="2025"/>
      <c r="V37" s="2025"/>
    </row>
    <row r="38" spans="1:22" ht="18" customHeight="1" thickBot="1">
      <c r="A38" s="2134" t="s">
        <v>1848</v>
      </c>
      <c r="B38" s="2996" t="s">
        <v>3467</v>
      </c>
      <c r="C38" s="2996" t="s">
        <v>3467</v>
      </c>
      <c r="D38" s="2135"/>
      <c r="E38" s="2135"/>
      <c r="F38" s="2136"/>
      <c r="G38" s="2055"/>
      <c r="H38" s="2055"/>
      <c r="I38" s="2055"/>
      <c r="J38" s="2038"/>
      <c r="K38" s="2047"/>
      <c r="L38" s="2024"/>
      <c r="M38" s="2024"/>
      <c r="N38" s="2025"/>
      <c r="O38" s="2026"/>
      <c r="P38" s="2025"/>
      <c r="Q38" s="2025"/>
      <c r="R38" s="2025"/>
      <c r="S38" s="2025"/>
      <c r="T38" s="2025"/>
      <c r="U38" s="2025"/>
      <c r="V38" s="2025"/>
    </row>
    <row r="39" spans="1:22" s="2141" customFormat="1" ht="18" customHeight="1" thickTop="1" thickBot="1">
      <c r="A39" s="2137" t="s">
        <v>1849</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5"/>
      <c r="L40" s="2076"/>
      <c r="M40" s="2076"/>
      <c r="N40" s="2077"/>
      <c r="O40" s="2076"/>
      <c r="P40" s="2025"/>
      <c r="Q40" s="2025"/>
      <c r="R40" s="2025"/>
      <c r="S40" s="2025"/>
      <c r="T40" s="2025"/>
      <c r="U40" s="2025"/>
      <c r="V40" s="2025"/>
    </row>
    <row r="41" spans="1:22" ht="18" customHeight="1">
      <c r="A41" s="8" t="s">
        <v>1850</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1851</v>
      </c>
      <c r="B42" s="1791" t="s">
        <v>1852</v>
      </c>
      <c r="C42" s="1791" t="s">
        <v>1853</v>
      </c>
      <c r="D42" s="1791" t="s">
        <v>1854</v>
      </c>
      <c r="E42" s="1791" t="s">
        <v>1855</v>
      </c>
      <c r="F42" s="1791" t="s">
        <v>1856</v>
      </c>
      <c r="G42" s="1791" t="s">
        <v>1857</v>
      </c>
      <c r="H42" s="1791" t="s">
        <v>1858</v>
      </c>
      <c r="I42" s="1791" t="s">
        <v>1859</v>
      </c>
      <c r="J42" s="2145" t="s">
        <v>1860</v>
      </c>
      <c r="K42" s="2068" t="s">
        <v>1861</v>
      </c>
      <c r="L42" s="2068" t="s">
        <v>1862</v>
      </c>
      <c r="M42" s="2068" t="s">
        <v>1863</v>
      </c>
      <c r="N42" s="1791" t="s">
        <v>1864</v>
      </c>
      <c r="O42" s="1791" t="s">
        <v>1865</v>
      </c>
      <c r="P42" s="1791" t="s">
        <v>1866</v>
      </c>
      <c r="Q42" s="2067" t="s">
        <v>1867</v>
      </c>
      <c r="R42" s="2067" t="s">
        <v>1868</v>
      </c>
      <c r="S42" s="2025"/>
      <c r="T42" s="2025"/>
      <c r="U42" s="2025"/>
      <c r="V42" s="2025"/>
    </row>
    <row r="43" spans="1:22" s="2150" customFormat="1" ht="18" customHeight="1">
      <c r="A43" s="2146"/>
      <c r="B43" s="1268"/>
      <c r="C43" s="1268"/>
      <c r="D43" s="1268"/>
      <c r="E43" s="1268"/>
      <c r="F43" s="1268"/>
      <c r="G43" s="1268"/>
      <c r="H43" s="9"/>
      <c r="I43" s="9"/>
      <c r="J43" s="2147"/>
      <c r="K43" s="2148"/>
      <c r="L43" s="2148"/>
      <c r="M43" s="9"/>
      <c r="N43" s="1268"/>
      <c r="O43" s="9"/>
      <c r="P43" s="1268"/>
      <c r="Q43" s="1268"/>
      <c r="R43" s="1268"/>
      <c r="S43" s="2149"/>
      <c r="T43" s="2149"/>
      <c r="U43" s="2149"/>
      <c r="V43" s="2149"/>
    </row>
    <row r="44" spans="1:22" s="2150" customFormat="1" ht="18" customHeight="1">
      <c r="A44" s="2146"/>
      <c r="B44" s="2146"/>
      <c r="C44" s="1268"/>
      <c r="D44" s="1268"/>
      <c r="E44" s="1268"/>
      <c r="F44" s="1268"/>
      <c r="G44" s="1268"/>
      <c r="H44" s="9"/>
      <c r="I44" s="9"/>
      <c r="J44" s="2147"/>
      <c r="K44" s="2148"/>
      <c r="L44" s="2148"/>
      <c r="M44" s="9"/>
      <c r="N44" s="1268"/>
      <c r="O44" s="9"/>
      <c r="P44" s="1268"/>
      <c r="Q44" s="1268"/>
      <c r="R44" s="1268"/>
      <c r="S44" s="2149"/>
      <c r="T44" s="2149"/>
      <c r="U44" s="2149"/>
      <c r="V44" s="2149"/>
    </row>
    <row r="45" spans="1:22" s="2150" customFormat="1" ht="18" customHeight="1">
      <c r="A45" s="2146"/>
      <c r="B45" s="2146"/>
      <c r="C45" s="1268"/>
      <c r="D45" s="1268"/>
      <c r="E45" s="1268"/>
      <c r="F45" s="1268"/>
      <c r="G45" s="1268"/>
      <c r="H45" s="9"/>
      <c r="I45" s="9"/>
      <c r="J45" s="2147"/>
      <c r="K45" s="2148"/>
      <c r="L45" s="2148"/>
      <c r="M45" s="9"/>
      <c r="N45" s="1268"/>
      <c r="O45" s="9"/>
      <c r="P45" s="1268"/>
      <c r="Q45" s="1268"/>
      <c r="R45" s="1268"/>
      <c r="S45" s="2149"/>
      <c r="T45" s="2149"/>
      <c r="U45" s="2149"/>
      <c r="V45" s="2149"/>
    </row>
    <row r="46" spans="1:22" s="2150" customFormat="1" ht="18" customHeight="1">
      <c r="A46" s="2146"/>
      <c r="B46" s="2146"/>
      <c r="C46" s="1268"/>
      <c r="D46" s="1268"/>
      <c r="E46" s="1268"/>
      <c r="F46" s="1268"/>
      <c r="G46" s="1268"/>
      <c r="H46" s="9"/>
      <c r="I46" s="9"/>
      <c r="J46" s="2147"/>
      <c r="K46" s="2148"/>
      <c r="L46" s="2148"/>
      <c r="M46" s="9"/>
      <c r="N46" s="1268"/>
      <c r="O46" s="9"/>
      <c r="P46" s="1268"/>
      <c r="Q46" s="1268"/>
      <c r="R46" s="1268"/>
      <c r="S46" s="2149"/>
      <c r="T46" s="2149"/>
      <c r="U46" s="2149"/>
      <c r="V46" s="2149"/>
    </row>
    <row r="47" spans="1:22" s="2150" customFormat="1" ht="18" customHeight="1">
      <c r="A47" s="2146"/>
      <c r="B47" s="2146"/>
      <c r="C47" s="1268"/>
      <c r="D47" s="1268"/>
      <c r="E47" s="1268"/>
      <c r="F47" s="1268"/>
      <c r="G47" s="1268"/>
      <c r="H47" s="9"/>
      <c r="I47" s="9"/>
      <c r="J47" s="2147"/>
      <c r="K47" s="2148"/>
      <c r="L47" s="2148"/>
      <c r="M47" s="9"/>
      <c r="N47" s="1268"/>
      <c r="O47" s="9"/>
      <c r="P47" s="1268"/>
      <c r="Q47" s="1268"/>
      <c r="R47" s="1268"/>
      <c r="S47" s="2149"/>
      <c r="T47" s="2149"/>
      <c r="U47" s="2149"/>
      <c r="V47" s="2149"/>
    </row>
    <row r="48" spans="1:22" s="2150" customFormat="1" ht="18" customHeight="1">
      <c r="A48" s="2146"/>
      <c r="B48" s="2146"/>
      <c r="C48" s="1268"/>
      <c r="D48" s="1268"/>
      <c r="E48" s="1268"/>
      <c r="F48" s="1268"/>
      <c r="G48" s="1268"/>
      <c r="H48" s="9"/>
      <c r="I48" s="9"/>
      <c r="J48" s="2147"/>
      <c r="K48" s="2148"/>
      <c r="L48" s="2148"/>
      <c r="M48" s="9"/>
      <c r="N48" s="1268"/>
      <c r="O48" s="9"/>
      <c r="P48" s="1268"/>
      <c r="Q48" s="1268"/>
      <c r="R48" s="1268"/>
      <c r="S48" s="2149"/>
      <c r="T48" s="2149"/>
      <c r="U48" s="2149"/>
      <c r="V48" s="2149"/>
    </row>
    <row r="49" spans="1:22" s="2150" customFormat="1" ht="18" customHeight="1">
      <c r="A49" s="2146"/>
      <c r="B49" s="2146"/>
      <c r="C49" s="1268"/>
      <c r="D49" s="1268"/>
      <c r="E49" s="1268"/>
      <c r="F49" s="1268"/>
      <c r="G49" s="1268"/>
      <c r="H49" s="9"/>
      <c r="I49" s="9"/>
      <c r="J49" s="2147"/>
      <c r="K49" s="2148"/>
      <c r="L49" s="2148"/>
      <c r="M49" s="9"/>
      <c r="N49" s="1268"/>
      <c r="O49" s="9"/>
      <c r="P49" s="1268"/>
      <c r="Q49" s="1268"/>
      <c r="R49" s="1268"/>
      <c r="S49" s="2149"/>
      <c r="T49" s="2149"/>
      <c r="U49" s="2149"/>
      <c r="V49" s="2149"/>
    </row>
    <row r="50" spans="1:22" s="2150" customFormat="1" ht="18" customHeight="1">
      <c r="A50" s="2146"/>
      <c r="B50" s="2146"/>
      <c r="C50" s="1268"/>
      <c r="D50" s="1268"/>
      <c r="E50" s="1268"/>
      <c r="F50" s="1268"/>
      <c r="G50" s="1268"/>
      <c r="H50" s="9"/>
      <c r="I50" s="9"/>
      <c r="J50" s="2147"/>
      <c r="K50" s="2148"/>
      <c r="L50" s="2148"/>
      <c r="M50" s="9"/>
      <c r="N50" s="1268"/>
      <c r="O50" s="9"/>
      <c r="P50" s="1268"/>
      <c r="Q50" s="1268"/>
      <c r="R50" s="1268"/>
      <c r="S50" s="2149"/>
      <c r="T50" s="2149"/>
      <c r="U50" s="2149"/>
      <c r="V50" s="2149"/>
    </row>
    <row r="51" spans="1:22" s="2150" customFormat="1" ht="18" customHeight="1">
      <c r="A51" s="2146"/>
      <c r="B51" s="2146"/>
      <c r="C51" s="1268"/>
      <c r="D51" s="1268"/>
      <c r="E51" s="1268"/>
      <c r="F51" s="1268"/>
      <c r="G51" s="1268"/>
      <c r="H51" s="9"/>
      <c r="I51" s="9"/>
      <c r="J51" s="2147"/>
      <c r="K51" s="2148"/>
      <c r="L51" s="2148"/>
      <c r="M51" s="9"/>
      <c r="N51" s="1268"/>
      <c r="O51" s="9"/>
      <c r="P51" s="1268"/>
      <c r="Q51" s="1268"/>
      <c r="R51" s="1268"/>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 sqref="O1:AB1048576"/>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hidden="1" customWidth="1"/>
    <col min="16" max="16" width="9.75" style="2152" hidden="1" customWidth="1"/>
    <col min="17" max="17" width="9.375" style="2152" hidden="1" customWidth="1"/>
    <col min="18" max="18" width="9.25" style="2152" hidden="1" customWidth="1"/>
    <col min="19" max="19" width="10.875" style="2152" hidden="1" customWidth="1"/>
    <col min="20" max="21" width="10.75" style="2152" hidden="1" customWidth="1"/>
    <col min="22" max="22" width="10.875" style="2152" hidden="1"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1869</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1870</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1871</v>
      </c>
      <c r="B2" s="11" t="s">
        <v>1872</v>
      </c>
      <c r="C2" s="11" t="s">
        <v>1873</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5" t="s">
        <v>1874</v>
      </c>
      <c r="AZ2" s="1266" t="s">
        <v>1875</v>
      </c>
      <c r="BA2" s="11" t="s">
        <v>1876</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3000">
        <f>ROUND('数据-汇总表'!F31/'数据-汇总表'!I7,2)</f>
        <v>9619.89</v>
      </c>
      <c r="B3" s="13">
        <f>IF(C3="否",G5-AT5,G5)</f>
        <v>48185.319999999992</v>
      </c>
      <c r="C3" s="2161" t="s">
        <v>1877</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7"/>
      <c r="AZ3" s="1268"/>
      <c r="BA3" s="1269"/>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4" t="s">
        <v>1878</v>
      </c>
      <c r="B5" s="1799"/>
      <c r="C5" s="1799"/>
      <c r="D5" s="1802"/>
      <c r="E5" s="15" t="s">
        <v>1</v>
      </c>
      <c r="F5" s="15">
        <f>SUM(F13:F587)</f>
        <v>0</v>
      </c>
      <c r="G5" s="15">
        <f>SUM(G13:G587)</f>
        <v>48185.319999999992</v>
      </c>
      <c r="H5" s="15">
        <f t="shared" ref="H5:AT5" si="0">SUM(H13:H656)</f>
        <v>48185.319999999992</v>
      </c>
      <c r="I5" s="15">
        <f t="shared" si="0"/>
        <v>36555.58</v>
      </c>
      <c r="J5" s="15">
        <f t="shared" si="0"/>
        <v>0</v>
      </c>
      <c r="K5" s="15">
        <f t="shared" si="0"/>
        <v>3150.28</v>
      </c>
      <c r="L5" s="15">
        <f t="shared" si="0"/>
        <v>0</v>
      </c>
      <c r="M5" s="15">
        <f t="shared" si="0"/>
        <v>8479.4599999999919</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8"/>
      <c r="AV5" s="14" t="s">
        <v>1878</v>
      </c>
      <c r="AW5" s="1799"/>
      <c r="AX5" s="1799"/>
      <c r="AY5" s="16" t="s">
        <v>3</v>
      </c>
      <c r="AZ5" s="17">
        <f t="shared" ref="AZ5:BT5" si="1">SUM(AZ13:AZ656)</f>
        <v>48185.319999999992</v>
      </c>
      <c r="BA5" s="17">
        <f t="shared" si="1"/>
        <v>48185.319999999992</v>
      </c>
      <c r="BB5" s="17">
        <f t="shared" si="1"/>
        <v>36555.58</v>
      </c>
      <c r="BC5" s="17">
        <f t="shared" si="1"/>
        <v>3150.28</v>
      </c>
      <c r="BD5" s="17">
        <f t="shared" si="1"/>
        <v>8479.4599999999919</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0" customFormat="1" ht="12.75">
      <c r="A6" s="14" t="s">
        <v>1879</v>
      </c>
      <c r="B6" s="2167"/>
      <c r="C6" s="2167"/>
      <c r="D6" s="2168"/>
      <c r="E6" s="15">
        <f>H6+AC6+AT6</f>
        <v>9619.89</v>
      </c>
      <c r="F6" s="15" t="s">
        <v>1</v>
      </c>
      <c r="G6" s="15" t="s">
        <v>2</v>
      </c>
      <c r="H6" s="19">
        <f>SUMIF(I$12:AB$12,"总值",I6:AB6)</f>
        <v>9619.89</v>
      </c>
      <c r="I6" s="15">
        <f t="shared" ref="I6:AB6" si="2">ROUND($A$3*I5/$B$3,2)</f>
        <v>7298.09</v>
      </c>
      <c r="J6" s="15">
        <f t="shared" si="2"/>
        <v>0</v>
      </c>
      <c r="K6" s="15">
        <f t="shared" si="2"/>
        <v>628.92999999999995</v>
      </c>
      <c r="L6" s="15">
        <f t="shared" si="2"/>
        <v>0</v>
      </c>
      <c r="M6" s="15">
        <f t="shared" si="2"/>
        <v>1692.87</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9"/>
      <c r="AV6" s="14" t="s">
        <v>1879</v>
      </c>
      <c r="AW6" s="2167"/>
      <c r="AX6" s="2167"/>
      <c r="AY6" s="20">
        <f>IF(AY3&gt;0,AY3,ROUND($A$3*AZ5/$B$3,2))</f>
        <v>9619.89</v>
      </c>
      <c r="AZ6" s="15" t="s">
        <v>3</v>
      </c>
      <c r="BA6" s="15">
        <f>ROUND($AY$6*BA5/$AZ$5,2)</f>
        <v>9619.89</v>
      </c>
      <c r="BB6" s="15">
        <f>ROUND($AY$6*BB5/$AZ$5,2)</f>
        <v>7298.09</v>
      </c>
      <c r="BC6" s="15">
        <f t="shared" ref="BC6:BH6" si="4">ROUND($AY$6*BC5/$AZ$5,2)</f>
        <v>628.92999999999995</v>
      </c>
      <c r="BD6" s="15">
        <f t="shared" si="4"/>
        <v>1692.87</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0" customFormat="1" ht="24.75">
      <c r="A7" s="2102" t="s">
        <v>1880</v>
      </c>
      <c r="B7" s="2102" t="s">
        <v>1881</v>
      </c>
      <c r="C7" s="2102" t="s">
        <v>1882</v>
      </c>
      <c r="D7" s="2102" t="s">
        <v>1883</v>
      </c>
      <c r="E7" s="2102" t="s">
        <v>1884</v>
      </c>
      <c r="F7" s="2102" t="s">
        <v>1885</v>
      </c>
      <c r="G7" s="2171" t="s">
        <v>1886</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1887</v>
      </c>
      <c r="AV7" s="22" t="s">
        <v>1888</v>
      </c>
      <c r="AW7" s="2159" t="s">
        <v>1889</v>
      </c>
      <c r="AX7" s="22" t="s">
        <v>1882</v>
      </c>
      <c r="AY7" s="1799" t="s">
        <v>1890</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1891</v>
      </c>
      <c r="H8" s="2177" t="s">
        <v>1892</v>
      </c>
      <c r="I8" s="2178"/>
      <c r="J8" s="1814"/>
      <c r="K8" s="1814"/>
      <c r="L8" s="1814"/>
      <c r="M8" s="1814"/>
      <c r="N8" s="1814"/>
      <c r="O8" s="1814"/>
      <c r="P8" s="1814"/>
      <c r="Q8" s="1814"/>
      <c r="R8" s="1814"/>
      <c r="S8" s="1814"/>
      <c r="T8" s="1814"/>
      <c r="U8" s="1814"/>
      <c r="V8" s="2179"/>
      <c r="W8" s="1814"/>
      <c r="X8" s="1814"/>
      <c r="Y8" s="1814"/>
      <c r="Z8" s="1814"/>
      <c r="AA8" s="2179"/>
      <c r="AB8" s="2180"/>
      <c r="AC8" s="977" t="s">
        <v>1893</v>
      </c>
      <c r="AD8" s="2181"/>
      <c r="AE8" s="2173"/>
      <c r="AF8" s="1814"/>
      <c r="AG8" s="1814"/>
      <c r="AH8" s="1814"/>
      <c r="AI8" s="1814"/>
      <c r="AJ8" s="1814"/>
      <c r="AK8" s="1814"/>
      <c r="AL8" s="1814"/>
      <c r="AM8" s="1814"/>
      <c r="AN8" s="1814"/>
      <c r="AO8" s="1814"/>
      <c r="AP8" s="1814"/>
      <c r="AQ8" s="1814"/>
      <c r="AR8" s="1814"/>
      <c r="AS8" s="1814"/>
      <c r="AT8" s="1288" t="s">
        <v>1894</v>
      </c>
      <c r="AU8" s="2175" t="s">
        <v>1895</v>
      </c>
      <c r="AV8" s="1288"/>
      <c r="AW8" s="2158"/>
      <c r="AX8" s="1288"/>
      <c r="AY8" s="2159" t="s">
        <v>1896</v>
      </c>
      <c r="AZ8" s="1813" t="s">
        <v>1897</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2" customFormat="1" ht="12.75">
      <c r="A9" s="2175"/>
      <c r="B9" s="2175"/>
      <c r="C9" s="2175"/>
      <c r="D9" s="2175"/>
      <c r="E9" s="2175"/>
      <c r="F9" s="2175"/>
      <c r="G9" s="1288"/>
      <c r="H9" s="2183" t="s">
        <v>1898</v>
      </c>
      <c r="I9" s="2184" t="s">
        <v>3044</v>
      </c>
      <c r="J9" s="977"/>
      <c r="K9" s="2184" t="s">
        <v>3068</v>
      </c>
      <c r="L9" s="977"/>
      <c r="M9" s="2184" t="s">
        <v>3068</v>
      </c>
      <c r="N9" s="977"/>
      <c r="O9" s="2184"/>
      <c r="P9" s="977"/>
      <c r="Q9" s="2184"/>
      <c r="R9" s="977"/>
      <c r="S9" s="2184"/>
      <c r="T9" s="977"/>
      <c r="U9" s="2184"/>
      <c r="V9" s="977"/>
      <c r="W9" s="2184"/>
      <c r="X9" s="2185"/>
      <c r="Y9" s="2184"/>
      <c r="Z9" s="977"/>
      <c r="AA9" s="2184"/>
      <c r="AB9" s="977"/>
      <c r="AC9" s="2176" t="s">
        <v>1898</v>
      </c>
      <c r="AD9" s="14" t="s">
        <v>1899</v>
      </c>
      <c r="AE9" s="1294"/>
      <c r="AF9" s="14" t="s">
        <v>1900</v>
      </c>
      <c r="AG9" s="1294"/>
      <c r="AH9" s="14" t="s">
        <v>1899</v>
      </c>
      <c r="AI9" s="1294"/>
      <c r="AJ9" s="14" t="s">
        <v>1900</v>
      </c>
      <c r="AK9" s="1294"/>
      <c r="AL9" s="14" t="s">
        <v>1899</v>
      </c>
      <c r="AM9" s="1294"/>
      <c r="AN9" s="14" t="s">
        <v>1900</v>
      </c>
      <c r="AO9" s="1294"/>
      <c r="AP9" s="14" t="s">
        <v>1899</v>
      </c>
      <c r="AQ9" s="1294"/>
      <c r="AR9" s="14" t="s">
        <v>1900</v>
      </c>
      <c r="AS9" s="2186"/>
      <c r="AT9" s="2175"/>
      <c r="AU9" s="2175" t="s">
        <v>1901</v>
      </c>
      <c r="AV9" s="1288"/>
      <c r="AW9" s="2158"/>
      <c r="AX9" s="1288"/>
      <c r="AY9" s="27"/>
      <c r="AZ9" s="27" t="s">
        <v>1891</v>
      </c>
      <c r="BA9" s="2187" t="s">
        <v>1902</v>
      </c>
      <c r="BB9" s="2188"/>
      <c r="BC9" s="1334"/>
      <c r="BD9" s="1334"/>
      <c r="BE9" s="1334"/>
      <c r="BF9" s="1334"/>
      <c r="BG9" s="1334"/>
      <c r="BH9" s="1334"/>
      <c r="BI9" s="1334"/>
      <c r="BJ9" s="1334"/>
      <c r="BK9" s="2189"/>
      <c r="BL9" s="14" t="s">
        <v>1903</v>
      </c>
      <c r="BM9" s="1814"/>
      <c r="BN9" s="2178"/>
      <c r="BO9" s="1814"/>
      <c r="BP9" s="1814"/>
      <c r="BQ9" s="1814"/>
      <c r="BR9" s="1814"/>
      <c r="BS9" s="1814"/>
      <c r="BT9" s="25"/>
    </row>
    <row r="10" spans="1:72" s="2182" customFormat="1" ht="12.75">
      <c r="A10" s="2175"/>
      <c r="B10" s="2175"/>
      <c r="C10" s="2175"/>
      <c r="D10" s="2175"/>
      <c r="E10" s="2175"/>
      <c r="F10" s="2175"/>
      <c r="G10" s="1288"/>
      <c r="H10" s="27"/>
      <c r="I10" s="2184" t="s">
        <v>27</v>
      </c>
      <c r="J10" s="977"/>
      <c r="K10" s="2190" t="s">
        <v>1377</v>
      </c>
      <c r="L10" s="977"/>
      <c r="M10" s="2190" t="s">
        <v>3496</v>
      </c>
      <c r="N10" s="977"/>
      <c r="O10" s="2190"/>
      <c r="P10" s="977"/>
      <c r="Q10" s="2190"/>
      <c r="R10" s="977"/>
      <c r="S10" s="2190"/>
      <c r="T10" s="977"/>
      <c r="U10" s="2190"/>
      <c r="V10" s="977"/>
      <c r="W10" s="2190"/>
      <c r="X10" s="977"/>
      <c r="Y10" s="2190"/>
      <c r="Z10" s="977"/>
      <c r="AA10" s="2190"/>
      <c r="AB10" s="977"/>
      <c r="AC10" s="1288"/>
      <c r="AD10" s="14" t="s">
        <v>1904</v>
      </c>
      <c r="AE10" s="2191"/>
      <c r="AF10" s="14" t="s">
        <v>1904</v>
      </c>
      <c r="AG10" s="2191"/>
      <c r="AH10" s="14" t="s">
        <v>1905</v>
      </c>
      <c r="AI10" s="2191"/>
      <c r="AJ10" s="14" t="s">
        <v>1905</v>
      </c>
      <c r="AK10" s="2191"/>
      <c r="AL10" s="14" t="s">
        <v>1906</v>
      </c>
      <c r="AM10" s="1294"/>
      <c r="AN10" s="14" t="s">
        <v>1906</v>
      </c>
      <c r="AO10" s="1294"/>
      <c r="AP10" s="14" t="s">
        <v>1907</v>
      </c>
      <c r="AQ10" s="1294"/>
      <c r="AR10" s="14" t="s">
        <v>1907</v>
      </c>
      <c r="AS10" s="1294"/>
      <c r="AT10" s="2175"/>
      <c r="AU10" s="2175"/>
      <c r="AV10" s="1288"/>
      <c r="AW10" s="2158"/>
      <c r="AX10" s="1288"/>
      <c r="AY10" s="27"/>
      <c r="AZ10" s="27"/>
      <c r="BA10" s="2192" t="s">
        <v>1898</v>
      </c>
      <c r="BB10" s="2193" t="str">
        <f>I9</f>
        <v>地上</v>
      </c>
      <c r="BC10" s="28" t="str">
        <f>K9</f>
        <v>地下</v>
      </c>
      <c r="BD10" s="28" t="str">
        <f>M9</f>
        <v>地下</v>
      </c>
      <c r="BE10" s="28">
        <f>O9</f>
        <v>0</v>
      </c>
      <c r="BF10" s="28">
        <f>Q9</f>
        <v>0</v>
      </c>
      <c r="BG10" s="28">
        <f>S9</f>
        <v>0</v>
      </c>
      <c r="BH10" s="28">
        <f>U9</f>
        <v>0</v>
      </c>
      <c r="BI10" s="28">
        <f>W9</f>
        <v>0</v>
      </c>
      <c r="BJ10" s="28">
        <f>Y9</f>
        <v>0</v>
      </c>
      <c r="BK10" s="28">
        <f>AA9</f>
        <v>0</v>
      </c>
      <c r="BL10" s="24" t="s">
        <v>1898</v>
      </c>
      <c r="BM10" s="1813" t="str">
        <f>AD9</f>
        <v>地上</v>
      </c>
      <c r="BN10" s="28" t="str">
        <f>AF9</f>
        <v>地下</v>
      </c>
      <c r="BO10" s="1813" t="str">
        <f>AH9</f>
        <v>地上</v>
      </c>
      <c r="BP10" s="28" t="str">
        <f>AJ9</f>
        <v>地下</v>
      </c>
      <c r="BQ10" s="1813" t="str">
        <f>AL9</f>
        <v>地上</v>
      </c>
      <c r="BR10" s="28" t="str">
        <f>AN9</f>
        <v>地下</v>
      </c>
      <c r="BS10" s="1813" t="str">
        <f>AP9</f>
        <v>地上</v>
      </c>
      <c r="BT10" s="2194" t="str">
        <f>AR9</f>
        <v>地下</v>
      </c>
    </row>
    <row r="11" spans="1:72" s="2182" customFormat="1" ht="12.75">
      <c r="A11" s="2175"/>
      <c r="B11" s="2175"/>
      <c r="C11" s="2175"/>
      <c r="D11" s="2175"/>
      <c r="E11" s="2175"/>
      <c r="F11" s="2175"/>
      <c r="G11" s="1288"/>
      <c r="H11" s="2192"/>
      <c r="I11" s="2195" t="s">
        <v>3067</v>
      </c>
      <c r="J11" s="2196"/>
      <c r="K11" s="2195" t="s">
        <v>3069</v>
      </c>
      <c r="L11" s="2196"/>
      <c r="M11" s="2195" t="s">
        <v>3070</v>
      </c>
      <c r="N11" s="2196"/>
      <c r="O11" s="2195"/>
      <c r="P11" s="2196"/>
      <c r="Q11" s="2195"/>
      <c r="R11" s="2196"/>
      <c r="S11" s="2195"/>
      <c r="T11" s="2196"/>
      <c r="U11" s="2195"/>
      <c r="V11" s="2196"/>
      <c r="W11" s="2195"/>
      <c r="X11" s="2196"/>
      <c r="Y11" s="2195"/>
      <c r="Z11" s="2196"/>
      <c r="AA11" s="2195"/>
      <c r="AB11" s="2196"/>
      <c r="AC11" s="1288"/>
      <c r="AD11" s="2197" t="s">
        <v>1908</v>
      </c>
      <c r="AE11" s="1815"/>
      <c r="AF11" s="2197" t="s">
        <v>1908</v>
      </c>
      <c r="AG11" s="1815"/>
      <c r="AH11" s="2197" t="s">
        <v>1909</v>
      </c>
      <c r="AI11" s="2198"/>
      <c r="AJ11" s="2197" t="s">
        <v>1909</v>
      </c>
      <c r="AK11" s="1815"/>
      <c r="AL11" s="1813"/>
      <c r="AM11" s="1815"/>
      <c r="AN11" s="1813"/>
      <c r="AO11" s="1815"/>
      <c r="AP11" s="1813"/>
      <c r="AQ11" s="1815"/>
      <c r="AR11" s="1813"/>
      <c r="AS11" s="1815"/>
      <c r="AT11" s="2158"/>
      <c r="AU11" s="2175"/>
      <c r="AV11" s="1288"/>
      <c r="AW11" s="2158"/>
      <c r="AX11" s="1288"/>
      <c r="AY11" s="27"/>
      <c r="AZ11" s="27"/>
      <c r="BA11" s="27"/>
      <c r="BB11" s="2180" t="str">
        <f>I10</f>
        <v>办公</v>
      </c>
      <c r="BC11" s="2180" t="str">
        <f>K10</f>
        <v>商业</v>
      </c>
      <c r="BD11" s="2180" t="str">
        <f>M10</f>
        <v>车库—办公</v>
      </c>
      <c r="BE11" s="2180">
        <f>O10</f>
        <v>0</v>
      </c>
      <c r="BF11" s="2180">
        <f>Q10</f>
        <v>0</v>
      </c>
      <c r="BG11" s="2180">
        <f>S10</f>
        <v>0</v>
      </c>
      <c r="BH11" s="2180">
        <f>U10</f>
        <v>0</v>
      </c>
      <c r="BI11" s="2180">
        <f>W10</f>
        <v>0</v>
      </c>
      <c r="BJ11" s="2180">
        <f>Y10</f>
        <v>0</v>
      </c>
      <c r="BK11" s="2180">
        <f>AA10</f>
        <v>0</v>
      </c>
      <c r="BL11" s="1288"/>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199" t="str">
        <f>AR10</f>
        <v>未注明</v>
      </c>
    </row>
    <row r="12" spans="1:72" s="2160" customFormat="1" ht="12.75">
      <c r="A12" s="2200"/>
      <c r="B12" s="2200"/>
      <c r="C12" s="2200"/>
      <c r="D12" s="2200"/>
      <c r="E12" s="2200"/>
      <c r="F12" s="2200"/>
      <c r="G12" s="29"/>
      <c r="H12" s="2201"/>
      <c r="I12" s="1802"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8" t="s">
        <v>1911</v>
      </c>
      <c r="W12" s="11" t="s">
        <v>1910</v>
      </c>
      <c r="X12" s="11" t="s">
        <v>1911</v>
      </c>
      <c r="Y12" s="11" t="s">
        <v>1910</v>
      </c>
      <c r="Z12" s="11" t="s">
        <v>1911</v>
      </c>
      <c r="AA12" s="11" t="s">
        <v>1910</v>
      </c>
      <c r="AB12" s="11" t="s">
        <v>1911</v>
      </c>
      <c r="AC12" s="2202"/>
      <c r="AD12" s="1802"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29" t="s">
        <v>1910</v>
      </c>
      <c r="AS12" s="2200" t="s">
        <v>1911</v>
      </c>
      <c r="AT12" s="2203"/>
      <c r="AU12" s="2200"/>
      <c r="AV12" s="30"/>
      <c r="AW12" s="2159"/>
      <c r="AX12" s="30"/>
      <c r="AY12" s="2204"/>
      <c r="AZ12" s="27"/>
      <c r="BA12" s="2192"/>
      <c r="BB12" s="23" t="str">
        <f>I11</f>
        <v>LOFT住宅</v>
      </c>
      <c r="BC12" s="2205" t="str">
        <f>K11</f>
        <v>底商</v>
      </c>
      <c r="BD12" s="2205" t="str">
        <f>M11</f>
        <v>车库</v>
      </c>
      <c r="BE12" s="2180">
        <f>O11</f>
        <v>0</v>
      </c>
      <c r="BF12" s="2180">
        <f>Q11</f>
        <v>0</v>
      </c>
      <c r="BG12" s="2180">
        <f>S11</f>
        <v>0</v>
      </c>
      <c r="BH12" s="2180">
        <f>U11</f>
        <v>0</v>
      </c>
      <c r="BI12" s="2180">
        <f>W11</f>
        <v>0</v>
      </c>
      <c r="BJ12" s="2180">
        <f>Y11</f>
        <v>0</v>
      </c>
      <c r="BK12" s="2180">
        <f>AA11</f>
        <v>0</v>
      </c>
      <c r="BL12" s="1288"/>
      <c r="BM12" s="1813" t="str">
        <f>AD11</f>
        <v>（住宅）</v>
      </c>
      <c r="BN12" s="1813" t="str">
        <f>AF11</f>
        <v>（住宅）</v>
      </c>
      <c r="BO12" s="23" t="str">
        <f>AH11</f>
        <v>（住宅、计出让金）</v>
      </c>
      <c r="BP12" s="23" t="str">
        <f>AJ11</f>
        <v>（住宅、计出让金）</v>
      </c>
      <c r="BQ12" s="23">
        <f>AL11</f>
        <v>0</v>
      </c>
      <c r="BR12" s="23">
        <f>AN11</f>
        <v>0</v>
      </c>
      <c r="BS12" s="24">
        <f>AP11</f>
        <v>0</v>
      </c>
      <c r="BT12" s="2199">
        <f>AR11</f>
        <v>0</v>
      </c>
    </row>
    <row r="13" spans="1:72" s="2160" customFormat="1" ht="12.75">
      <c r="A13" s="1268"/>
      <c r="B13" s="1268"/>
      <c r="C13" s="1268"/>
      <c r="D13" s="2206" t="s">
        <v>3045</v>
      </c>
      <c r="E13" s="15">
        <f>IF($C$3="是",ROUND($A$3*G13/$B$3,2),ROUND($A$3*(G13-AT13)/$B$3,2))</f>
        <v>9619.89</v>
      </c>
      <c r="F13" s="31"/>
      <c r="G13" s="32">
        <f>H13+AC13+AT13</f>
        <v>48185.319999999992</v>
      </c>
      <c r="H13" s="19">
        <f>SUMIF(I$12:AB$12,"总值",I13:AB13)</f>
        <v>48185.319999999992</v>
      </c>
      <c r="I13" s="2207">
        <f>面积表!I4</f>
        <v>36555.58</v>
      </c>
      <c r="J13" s="2207"/>
      <c r="K13" s="2207">
        <f>面积表!J4</f>
        <v>3150.28</v>
      </c>
      <c r="L13" s="2207"/>
      <c r="M13" s="2207">
        <f>面积表!K4</f>
        <v>8479.4599999999919</v>
      </c>
      <c r="N13" s="2207"/>
      <c r="O13" s="2207"/>
      <c r="P13" s="2207"/>
      <c r="Q13" s="2207"/>
      <c r="R13" s="2207"/>
      <c r="S13" s="2207"/>
      <c r="T13" s="2207"/>
      <c r="U13" s="2207"/>
      <c r="V13" s="2207"/>
      <c r="W13" s="2207"/>
      <c r="X13" s="2207"/>
      <c r="Y13" s="2207"/>
      <c r="Z13" s="2207"/>
      <c r="AA13" s="2207"/>
      <c r="AB13" s="2207"/>
      <c r="AC13" s="15">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2">
        <f>ROUND($AY$6*AZ13/$AZ$5,2)</f>
        <v>9619.89</v>
      </c>
      <c r="AZ13" s="15">
        <f>BA13+BL13</f>
        <v>48185.319999999992</v>
      </c>
      <c r="BA13" s="15">
        <f>SUM(BB13:BK13)</f>
        <v>48185.319999999992</v>
      </c>
      <c r="BB13" s="15">
        <f>IF($D13="是",I13-J13,0)</f>
        <v>36555.58</v>
      </c>
      <c r="BC13" s="15">
        <f>IF($D13="是",K13-L13,0)</f>
        <v>3150.28</v>
      </c>
      <c r="BD13" s="15">
        <f>IF($D13="是",M13-N13,0)</f>
        <v>8479.4599999999919</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0" customFormat="1" ht="12.75">
      <c r="A14" s="1268"/>
      <c r="B14" s="1268"/>
      <c r="C14" s="2146"/>
      <c r="D14" s="2206"/>
      <c r="E14" s="15">
        <f>IF($C$3="是",ROUND($A$3*G14/$B$3,2),ROUND($A$3*(G14-AT14)/$B$3,2))</f>
        <v>0</v>
      </c>
      <c r="F14" s="31"/>
      <c r="G14" s="32">
        <f>H14+AC14+AT14</f>
        <v>0</v>
      </c>
      <c r="H14" s="19">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5">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0" customFormat="1" ht="12.75">
      <c r="A15" s="1268"/>
      <c r="B15" s="1268"/>
      <c r="C15" s="2146"/>
      <c r="D15" s="2206"/>
      <c r="E15" s="15">
        <f>IF($C$3="是",ROUND($A$3*G15/$B$3,2),ROUND($A$3*(G15-AT15)/$B$3,2))</f>
        <v>0</v>
      </c>
      <c r="F15" s="31"/>
      <c r="G15" s="32">
        <f>H15+AC15+AT15</f>
        <v>0</v>
      </c>
      <c r="H15" s="19">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5">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0" customFormat="1" ht="12.75">
      <c r="A16" s="1268"/>
      <c r="B16" s="1268"/>
      <c r="C16" s="2146"/>
      <c r="D16" s="2206"/>
      <c r="E16" s="15">
        <f>IF($C$3="是",ROUND($A$3*G16/$B$3,2),ROUND($A$3*(G16-AT16)/$B$3,2))</f>
        <v>0</v>
      </c>
      <c r="F16" s="31"/>
      <c r="G16" s="32">
        <f>H16+AC16+AT16</f>
        <v>0</v>
      </c>
      <c r="H16" s="19">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5">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0" customFormat="1" ht="12.75">
      <c r="A17" s="1268"/>
      <c r="B17" s="1268"/>
      <c r="C17" s="2146"/>
      <c r="D17" s="2206"/>
      <c r="E17" s="15">
        <f>IF($C$3="是",ROUND($A$3*G17/$B$3,2),ROUND($A$3*(G17-AT17)/$B$3,2))</f>
        <v>0</v>
      </c>
      <c r="F17" s="31"/>
      <c r="G17" s="32">
        <f>H17+AC17+AT17</f>
        <v>0</v>
      </c>
      <c r="H17" s="19">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5">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1"/>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2"/>
      <c r="AV18" s="1791">
        <f t="shared" ref="AV18:AV112" si="11">A18</f>
        <v>0</v>
      </c>
      <c r="AW18" s="1791">
        <f t="shared" ref="AW18:AW112" si="12">B18</f>
        <v>0</v>
      </c>
      <c r="AX18" s="1791">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1"/>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2"/>
      <c r="AV19" s="1791">
        <f t="shared" si="11"/>
        <v>0</v>
      </c>
      <c r="AW19" s="1791">
        <f t="shared" si="12"/>
        <v>0</v>
      </c>
      <c r="AX19" s="1791">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1"/>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2"/>
      <c r="AV20" s="1791">
        <f t="shared" si="11"/>
        <v>0</v>
      </c>
      <c r="AW20" s="1791">
        <f t="shared" si="12"/>
        <v>0</v>
      </c>
      <c r="AX20" s="1791">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1"/>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2"/>
      <c r="AV21" s="1791">
        <f t="shared" si="11"/>
        <v>0</v>
      </c>
      <c r="AW21" s="1791">
        <f t="shared" si="12"/>
        <v>0</v>
      </c>
      <c r="AX21" s="1791">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1"/>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2"/>
      <c r="AV22" s="1791">
        <f t="shared" si="11"/>
        <v>0</v>
      </c>
      <c r="AW22" s="1791">
        <f t="shared" si="12"/>
        <v>0</v>
      </c>
      <c r="AX22" s="1791">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1"/>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2"/>
      <c r="AV23" s="1791">
        <f t="shared" si="11"/>
        <v>0</v>
      </c>
      <c r="AW23" s="1791">
        <f t="shared" si="12"/>
        <v>0</v>
      </c>
      <c r="AX23" s="1791">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1"/>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2"/>
      <c r="AV24" s="1791">
        <f t="shared" si="11"/>
        <v>0</v>
      </c>
      <c r="AW24" s="1791">
        <f t="shared" si="12"/>
        <v>0</v>
      </c>
      <c r="AX24" s="1791">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1"/>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2"/>
      <c r="AV25" s="1791">
        <f t="shared" si="11"/>
        <v>0</v>
      </c>
      <c r="AW25" s="1791">
        <f t="shared" si="12"/>
        <v>0</v>
      </c>
      <c r="AX25" s="1791">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1"/>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2"/>
      <c r="AV26" s="1791">
        <f t="shared" si="11"/>
        <v>0</v>
      </c>
      <c r="AW26" s="1791">
        <f t="shared" si="12"/>
        <v>0</v>
      </c>
      <c r="AX26" s="1791">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1"/>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2"/>
      <c r="AV27" s="1791">
        <f t="shared" si="11"/>
        <v>0</v>
      </c>
      <c r="AW27" s="1791">
        <f t="shared" si="12"/>
        <v>0</v>
      </c>
      <c r="AX27" s="1791">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1"/>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2"/>
      <c r="AV28" s="1791">
        <f t="shared" si="11"/>
        <v>0</v>
      </c>
      <c r="AW28" s="1791">
        <f t="shared" si="12"/>
        <v>0</v>
      </c>
      <c r="AX28" s="1791">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1"/>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2"/>
      <c r="AV29" s="1791">
        <f t="shared" si="11"/>
        <v>0</v>
      </c>
      <c r="AW29" s="1791">
        <f t="shared" si="12"/>
        <v>0</v>
      </c>
      <c r="AX29" s="1791">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1"/>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2"/>
      <c r="AV30" s="1791">
        <f t="shared" si="11"/>
        <v>0</v>
      </c>
      <c r="AW30" s="1791">
        <f t="shared" si="12"/>
        <v>0</v>
      </c>
      <c r="AX30" s="1791">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1"/>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2"/>
      <c r="AV31" s="1791">
        <f t="shared" si="11"/>
        <v>0</v>
      </c>
      <c r="AW31" s="1791">
        <f t="shared" si="12"/>
        <v>0</v>
      </c>
      <c r="AX31" s="1791">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1"/>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2"/>
      <c r="AV32" s="1791">
        <f t="shared" si="11"/>
        <v>0</v>
      </c>
      <c r="AW32" s="1791">
        <f t="shared" si="12"/>
        <v>0</v>
      </c>
      <c r="AX32" s="1791">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1"/>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2"/>
      <c r="AV33" s="1791">
        <f t="shared" si="11"/>
        <v>0</v>
      </c>
      <c r="AW33" s="1791">
        <f t="shared" si="12"/>
        <v>0</v>
      </c>
      <c r="AX33" s="1791">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1"/>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2"/>
      <c r="AV34" s="1791">
        <f t="shared" si="11"/>
        <v>0</v>
      </c>
      <c r="AW34" s="1791">
        <f t="shared" si="12"/>
        <v>0</v>
      </c>
      <c r="AX34" s="1791">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1"/>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2"/>
      <c r="AV35" s="1791">
        <f t="shared" si="11"/>
        <v>0</v>
      </c>
      <c r="AW35" s="1791">
        <f t="shared" si="12"/>
        <v>0</v>
      </c>
      <c r="AX35" s="1791">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1"/>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2"/>
      <c r="AV36" s="1791">
        <f t="shared" si="11"/>
        <v>0</v>
      </c>
      <c r="AW36" s="1791">
        <f t="shared" si="12"/>
        <v>0</v>
      </c>
      <c r="AX36" s="1791">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1"/>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2"/>
      <c r="AV37" s="1791">
        <f t="shared" si="11"/>
        <v>0</v>
      </c>
      <c r="AW37" s="1791">
        <f t="shared" si="12"/>
        <v>0</v>
      </c>
      <c r="AX37" s="1791">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1"/>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2"/>
      <c r="AV38" s="1791">
        <f t="shared" si="11"/>
        <v>0</v>
      </c>
      <c r="AW38" s="1791">
        <f t="shared" si="12"/>
        <v>0</v>
      </c>
      <c r="AX38" s="1791">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1"/>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2"/>
      <c r="AV39" s="1791">
        <f t="shared" si="11"/>
        <v>0</v>
      </c>
      <c r="AW39" s="1791">
        <f t="shared" si="12"/>
        <v>0</v>
      </c>
      <c r="AX39" s="1791">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1"/>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2"/>
      <c r="AV40" s="1791">
        <f t="shared" si="11"/>
        <v>0</v>
      </c>
      <c r="AW40" s="1791">
        <f t="shared" si="12"/>
        <v>0</v>
      </c>
      <c r="AX40" s="1791">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1"/>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2"/>
      <c r="AV41" s="1791">
        <f t="shared" si="11"/>
        <v>0</v>
      </c>
      <c r="AW41" s="1791">
        <f t="shared" si="12"/>
        <v>0</v>
      </c>
      <c r="AX41" s="1791">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1"/>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2"/>
      <c r="AV42" s="1791">
        <f t="shared" si="11"/>
        <v>0</v>
      </c>
      <c r="AW42" s="1791">
        <f t="shared" si="12"/>
        <v>0</v>
      </c>
      <c r="AX42" s="1791">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1"/>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2"/>
      <c r="AV43" s="1791">
        <f t="shared" si="11"/>
        <v>0</v>
      </c>
      <c r="AW43" s="1791">
        <f t="shared" si="12"/>
        <v>0</v>
      </c>
      <c r="AX43" s="1791">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1"/>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2"/>
      <c r="AV44" s="1791">
        <f t="shared" si="11"/>
        <v>0</v>
      </c>
      <c r="AW44" s="1791">
        <f t="shared" si="12"/>
        <v>0</v>
      </c>
      <c r="AX44" s="1791">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1"/>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2"/>
      <c r="AV45" s="1791">
        <f t="shared" si="11"/>
        <v>0</v>
      </c>
      <c r="AW45" s="1791">
        <f t="shared" si="12"/>
        <v>0</v>
      </c>
      <c r="AX45" s="1791">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1"/>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2"/>
      <c r="AV46" s="1791">
        <f t="shared" si="11"/>
        <v>0</v>
      </c>
      <c r="AW46" s="1791">
        <f t="shared" si="12"/>
        <v>0</v>
      </c>
      <c r="AX46" s="1791">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1"/>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2"/>
      <c r="AV47" s="1791">
        <f t="shared" si="11"/>
        <v>0</v>
      </c>
      <c r="AW47" s="1791">
        <f t="shared" si="12"/>
        <v>0</v>
      </c>
      <c r="AX47" s="1791">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1"/>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2"/>
      <c r="AV48" s="1791">
        <f t="shared" si="11"/>
        <v>0</v>
      </c>
      <c r="AW48" s="1791">
        <f t="shared" si="12"/>
        <v>0</v>
      </c>
      <c r="AX48" s="1791">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1"/>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2"/>
      <c r="AV49" s="1791">
        <f t="shared" si="11"/>
        <v>0</v>
      </c>
      <c r="AW49" s="1791">
        <f t="shared" si="12"/>
        <v>0</v>
      </c>
      <c r="AX49" s="1791">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1"/>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2"/>
      <c r="AV50" s="1791">
        <f t="shared" si="11"/>
        <v>0</v>
      </c>
      <c r="AW50" s="1791">
        <f t="shared" si="12"/>
        <v>0</v>
      </c>
      <c r="AX50" s="1791">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1"/>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2"/>
      <c r="AV51" s="1791">
        <f t="shared" si="11"/>
        <v>0</v>
      </c>
      <c r="AW51" s="1791">
        <f t="shared" si="12"/>
        <v>0</v>
      </c>
      <c r="AX51" s="1791">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1"/>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2"/>
      <c r="AV52" s="1791">
        <f t="shared" si="11"/>
        <v>0</v>
      </c>
      <c r="AW52" s="1791">
        <f t="shared" si="12"/>
        <v>0</v>
      </c>
      <c r="AX52" s="1791">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1"/>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2"/>
      <c r="AV53" s="1791">
        <f t="shared" si="11"/>
        <v>0</v>
      </c>
      <c r="AW53" s="1791">
        <f t="shared" si="12"/>
        <v>0</v>
      </c>
      <c r="AX53" s="1791">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1"/>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2"/>
      <c r="AV54" s="1791">
        <f t="shared" si="11"/>
        <v>0</v>
      </c>
      <c r="AW54" s="1791">
        <f t="shared" si="12"/>
        <v>0</v>
      </c>
      <c r="AX54" s="1791">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1"/>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2"/>
      <c r="AV55" s="1791">
        <f t="shared" si="11"/>
        <v>0</v>
      </c>
      <c r="AW55" s="1791">
        <f t="shared" si="12"/>
        <v>0</v>
      </c>
      <c r="AX55" s="1791">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1"/>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2"/>
      <c r="AV56" s="1791">
        <f t="shared" si="11"/>
        <v>0</v>
      </c>
      <c r="AW56" s="1791">
        <f t="shared" si="12"/>
        <v>0</v>
      </c>
      <c r="AX56" s="1791">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1"/>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2"/>
      <c r="AV57" s="1791">
        <f t="shared" si="11"/>
        <v>0</v>
      </c>
      <c r="AW57" s="1791">
        <f t="shared" si="12"/>
        <v>0</v>
      </c>
      <c r="AX57" s="1791">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1"/>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2"/>
      <c r="AV58" s="1791">
        <f t="shared" si="11"/>
        <v>0</v>
      </c>
      <c r="AW58" s="1791">
        <f t="shared" si="12"/>
        <v>0</v>
      </c>
      <c r="AX58" s="1791">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1"/>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2"/>
      <c r="AV59" s="1791">
        <f t="shared" si="11"/>
        <v>0</v>
      </c>
      <c r="AW59" s="1791">
        <f t="shared" si="12"/>
        <v>0</v>
      </c>
      <c r="AX59" s="1791">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1"/>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2"/>
      <c r="AV60" s="1791">
        <f t="shared" si="11"/>
        <v>0</v>
      </c>
      <c r="AW60" s="1791">
        <f t="shared" si="12"/>
        <v>0</v>
      </c>
      <c r="AX60" s="1791">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1"/>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2"/>
      <c r="AV61" s="1791">
        <f t="shared" si="11"/>
        <v>0</v>
      </c>
      <c r="AW61" s="1791">
        <f t="shared" si="12"/>
        <v>0</v>
      </c>
      <c r="AX61" s="1791">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1"/>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2"/>
      <c r="AV62" s="1791">
        <f t="shared" si="11"/>
        <v>0</v>
      </c>
      <c r="AW62" s="1791">
        <f t="shared" si="12"/>
        <v>0</v>
      </c>
      <c r="AX62" s="1791">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1"/>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2"/>
      <c r="AV63" s="1791">
        <f t="shared" si="11"/>
        <v>0</v>
      </c>
      <c r="AW63" s="1791">
        <f t="shared" si="12"/>
        <v>0</v>
      </c>
      <c r="AX63" s="1791">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1"/>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2"/>
      <c r="AV64" s="1791">
        <f t="shared" si="11"/>
        <v>0</v>
      </c>
      <c r="AW64" s="1791">
        <f t="shared" si="12"/>
        <v>0</v>
      </c>
      <c r="AX64" s="1791">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1"/>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2"/>
      <c r="AV65" s="1791">
        <f t="shared" si="11"/>
        <v>0</v>
      </c>
      <c r="AW65" s="1791">
        <f t="shared" si="12"/>
        <v>0</v>
      </c>
      <c r="AX65" s="1791">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1"/>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2"/>
      <c r="AV66" s="1791">
        <f t="shared" si="11"/>
        <v>0</v>
      </c>
      <c r="AW66" s="1791">
        <f t="shared" si="12"/>
        <v>0</v>
      </c>
      <c r="AX66" s="1791">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1"/>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2"/>
      <c r="AV67" s="1791">
        <f t="shared" si="11"/>
        <v>0</v>
      </c>
      <c r="AW67" s="1791">
        <f t="shared" si="12"/>
        <v>0</v>
      </c>
      <c r="AX67" s="1791">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1"/>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2"/>
      <c r="AV68" s="1791">
        <f t="shared" si="11"/>
        <v>0</v>
      </c>
      <c r="AW68" s="1791">
        <f t="shared" si="12"/>
        <v>0</v>
      </c>
      <c r="AX68" s="1791">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1"/>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2"/>
      <c r="AV69" s="1791">
        <f t="shared" si="11"/>
        <v>0</v>
      </c>
      <c r="AW69" s="1791">
        <f t="shared" si="12"/>
        <v>0</v>
      </c>
      <c r="AX69" s="1791">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1"/>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2"/>
      <c r="AV70" s="1791">
        <f t="shared" si="11"/>
        <v>0</v>
      </c>
      <c r="AW70" s="1791">
        <f t="shared" si="12"/>
        <v>0</v>
      </c>
      <c r="AX70" s="1791">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1"/>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2"/>
      <c r="AV71" s="1791">
        <f t="shared" si="11"/>
        <v>0</v>
      </c>
      <c r="AW71" s="1791">
        <f t="shared" si="12"/>
        <v>0</v>
      </c>
      <c r="AX71" s="1791">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1"/>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2"/>
      <c r="AV72" s="1791">
        <f t="shared" si="11"/>
        <v>0</v>
      </c>
      <c r="AW72" s="1791">
        <f t="shared" si="12"/>
        <v>0</v>
      </c>
      <c r="AX72" s="1791">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1"/>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2"/>
      <c r="AV73" s="1791">
        <f t="shared" si="11"/>
        <v>0</v>
      </c>
      <c r="AW73" s="1791">
        <f t="shared" si="12"/>
        <v>0</v>
      </c>
      <c r="AX73" s="1791">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1"/>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2"/>
      <c r="AV74" s="1791">
        <f t="shared" si="11"/>
        <v>0</v>
      </c>
      <c r="AW74" s="1791">
        <f t="shared" si="12"/>
        <v>0</v>
      </c>
      <c r="AX74" s="1791">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1"/>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2"/>
      <c r="AV75" s="1791">
        <f t="shared" si="11"/>
        <v>0</v>
      </c>
      <c r="AW75" s="1791">
        <f t="shared" si="12"/>
        <v>0</v>
      </c>
      <c r="AX75" s="1791">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1"/>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2"/>
      <c r="AV76" s="1791">
        <f t="shared" si="11"/>
        <v>0</v>
      </c>
      <c r="AW76" s="1791">
        <f t="shared" si="12"/>
        <v>0</v>
      </c>
      <c r="AX76" s="1791">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1"/>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2"/>
      <c r="AV77" s="1791">
        <f t="shared" si="11"/>
        <v>0</v>
      </c>
      <c r="AW77" s="1791">
        <f t="shared" si="12"/>
        <v>0</v>
      </c>
      <c r="AX77" s="1791">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1"/>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2"/>
      <c r="AV78" s="1791">
        <f t="shared" si="11"/>
        <v>0</v>
      </c>
      <c r="AW78" s="1791">
        <f t="shared" si="12"/>
        <v>0</v>
      </c>
      <c r="AX78" s="1791">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1"/>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2"/>
      <c r="AV79" s="1791">
        <f t="shared" si="11"/>
        <v>0</v>
      </c>
      <c r="AW79" s="1791">
        <f t="shared" si="12"/>
        <v>0</v>
      </c>
      <c r="AX79" s="1791">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1"/>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2"/>
      <c r="AV80" s="1791">
        <f t="shared" si="11"/>
        <v>0</v>
      </c>
      <c r="AW80" s="1791">
        <f t="shared" si="12"/>
        <v>0</v>
      </c>
      <c r="AX80" s="1791">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1"/>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2"/>
      <c r="AV81" s="1791">
        <f t="shared" si="11"/>
        <v>0</v>
      </c>
      <c r="AW81" s="1791">
        <f t="shared" si="12"/>
        <v>0</v>
      </c>
      <c r="AX81" s="1791">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1"/>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2"/>
      <c r="AV82" s="1791">
        <f t="shared" si="11"/>
        <v>0</v>
      </c>
      <c r="AW82" s="1791">
        <f t="shared" si="12"/>
        <v>0</v>
      </c>
      <c r="AX82" s="1791">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1"/>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2"/>
      <c r="AV83" s="1791">
        <f t="shared" si="11"/>
        <v>0</v>
      </c>
      <c r="AW83" s="1791">
        <f t="shared" si="12"/>
        <v>0</v>
      </c>
      <c r="AX83" s="1791">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1"/>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2"/>
      <c r="AV84" s="1791">
        <f t="shared" si="11"/>
        <v>0</v>
      </c>
      <c r="AW84" s="1791">
        <f t="shared" si="12"/>
        <v>0</v>
      </c>
      <c r="AX84" s="1791">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1"/>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2"/>
      <c r="AV85" s="1791">
        <f t="shared" si="11"/>
        <v>0</v>
      </c>
      <c r="AW85" s="1791">
        <f t="shared" si="12"/>
        <v>0</v>
      </c>
      <c r="AX85" s="1791">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1"/>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2"/>
      <c r="AV86" s="1791">
        <f t="shared" si="11"/>
        <v>0</v>
      </c>
      <c r="AW86" s="1791">
        <f t="shared" si="12"/>
        <v>0</v>
      </c>
      <c r="AX86" s="1791">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1"/>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2"/>
      <c r="AV87" s="1791">
        <f t="shared" si="11"/>
        <v>0</v>
      </c>
      <c r="AW87" s="1791">
        <f t="shared" si="12"/>
        <v>0</v>
      </c>
      <c r="AX87" s="1791">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1"/>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2"/>
      <c r="AV88" s="1791">
        <f t="shared" si="11"/>
        <v>0</v>
      </c>
      <c r="AW88" s="1791">
        <f t="shared" si="12"/>
        <v>0</v>
      </c>
      <c r="AX88" s="1791">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1"/>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2"/>
      <c r="AV89" s="1791">
        <f t="shared" si="11"/>
        <v>0</v>
      </c>
      <c r="AW89" s="1791">
        <f t="shared" si="12"/>
        <v>0</v>
      </c>
      <c r="AX89" s="1791">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1"/>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2"/>
      <c r="AV90" s="1791">
        <f t="shared" si="11"/>
        <v>0</v>
      </c>
      <c r="AW90" s="1791">
        <f t="shared" si="12"/>
        <v>0</v>
      </c>
      <c r="AX90" s="1791">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1"/>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2"/>
      <c r="AV91" s="1791">
        <f t="shared" si="11"/>
        <v>0</v>
      </c>
      <c r="AW91" s="1791">
        <f t="shared" si="12"/>
        <v>0</v>
      </c>
      <c r="AX91" s="1791">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1"/>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2"/>
      <c r="AV92" s="1791">
        <f t="shared" si="11"/>
        <v>0</v>
      </c>
      <c r="AW92" s="1791">
        <f t="shared" si="12"/>
        <v>0</v>
      </c>
      <c r="AX92" s="1791">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1"/>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2"/>
      <c r="AV93" s="1791">
        <f t="shared" si="11"/>
        <v>0</v>
      </c>
      <c r="AW93" s="1791">
        <f t="shared" si="12"/>
        <v>0</v>
      </c>
      <c r="AX93" s="1791">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1"/>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2"/>
      <c r="AV94" s="1791">
        <f t="shared" si="11"/>
        <v>0</v>
      </c>
      <c r="AW94" s="1791">
        <f t="shared" si="12"/>
        <v>0</v>
      </c>
      <c r="AX94" s="1791">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1"/>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2"/>
      <c r="AV95" s="1791">
        <f t="shared" si="11"/>
        <v>0</v>
      </c>
      <c r="AW95" s="1791">
        <f t="shared" si="12"/>
        <v>0</v>
      </c>
      <c r="AX95" s="1791">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1"/>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2"/>
      <c r="AV96" s="1791">
        <f t="shared" si="11"/>
        <v>0</v>
      </c>
      <c r="AW96" s="1791">
        <f t="shared" si="12"/>
        <v>0</v>
      </c>
      <c r="AX96" s="1791">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1"/>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2"/>
      <c r="AV97" s="1791">
        <f t="shared" si="11"/>
        <v>0</v>
      </c>
      <c r="AW97" s="1791">
        <f t="shared" si="12"/>
        <v>0</v>
      </c>
      <c r="AX97" s="1791">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1"/>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2"/>
      <c r="AV98" s="1791">
        <f t="shared" si="11"/>
        <v>0</v>
      </c>
      <c r="AW98" s="1791">
        <f t="shared" si="12"/>
        <v>0</v>
      </c>
      <c r="AX98" s="1791">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1"/>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2"/>
      <c r="AV99" s="1791">
        <f t="shared" si="11"/>
        <v>0</v>
      </c>
      <c r="AW99" s="1791">
        <f t="shared" si="12"/>
        <v>0</v>
      </c>
      <c r="AX99" s="1791">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1"/>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2"/>
      <c r="AV100" s="1791">
        <f t="shared" si="11"/>
        <v>0</v>
      </c>
      <c r="AW100" s="1791">
        <f t="shared" si="12"/>
        <v>0</v>
      </c>
      <c r="AX100" s="1791">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1"/>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2"/>
      <c r="AV101" s="1791">
        <f t="shared" si="11"/>
        <v>0</v>
      </c>
      <c r="AW101" s="1791">
        <f t="shared" si="12"/>
        <v>0</v>
      </c>
      <c r="AX101" s="1791">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1"/>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2"/>
      <c r="AV102" s="1791">
        <f t="shared" si="11"/>
        <v>0</v>
      </c>
      <c r="AW102" s="1791">
        <f t="shared" si="12"/>
        <v>0</v>
      </c>
      <c r="AX102" s="1791">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1"/>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2"/>
      <c r="AV103" s="1791">
        <f t="shared" si="11"/>
        <v>0</v>
      </c>
      <c r="AW103" s="1791">
        <f t="shared" si="12"/>
        <v>0</v>
      </c>
      <c r="AX103" s="1791">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1"/>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2"/>
      <c r="AV104" s="1791">
        <f t="shared" si="11"/>
        <v>0</v>
      </c>
      <c r="AW104" s="1791">
        <f t="shared" si="12"/>
        <v>0</v>
      </c>
      <c r="AX104" s="1791">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1"/>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2"/>
      <c r="AV105" s="1791">
        <f t="shared" si="11"/>
        <v>0</v>
      </c>
      <c r="AW105" s="1791">
        <f t="shared" si="12"/>
        <v>0</v>
      </c>
      <c r="AX105" s="1791">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1"/>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2"/>
      <c r="AV106" s="1791">
        <f t="shared" si="11"/>
        <v>0</v>
      </c>
      <c r="AW106" s="1791">
        <f t="shared" si="12"/>
        <v>0</v>
      </c>
      <c r="AX106" s="1791">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1"/>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2"/>
      <c r="AV107" s="1791">
        <f t="shared" si="11"/>
        <v>0</v>
      </c>
      <c r="AW107" s="1791">
        <f t="shared" si="12"/>
        <v>0</v>
      </c>
      <c r="AX107" s="1791">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1"/>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2"/>
      <c r="AV108" s="1791">
        <f t="shared" si="11"/>
        <v>0</v>
      </c>
      <c r="AW108" s="1791">
        <f t="shared" si="12"/>
        <v>0</v>
      </c>
      <c r="AX108" s="1791">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1"/>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2"/>
      <c r="AV109" s="1791">
        <f t="shared" si="11"/>
        <v>0</v>
      </c>
      <c r="AW109" s="1791">
        <f t="shared" si="12"/>
        <v>0</v>
      </c>
      <c r="AX109" s="1791">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1"/>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7"/>
      <c r="AV110" s="1791">
        <f t="shared" si="11"/>
        <v>0</v>
      </c>
      <c r="AW110" s="1791">
        <f t="shared" si="12"/>
        <v>0</v>
      </c>
      <c r="AX110" s="1791">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1"/>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7"/>
      <c r="AV111" s="1791">
        <f t="shared" si="11"/>
        <v>0</v>
      </c>
      <c r="AW111" s="1791">
        <f t="shared" si="12"/>
        <v>0</v>
      </c>
      <c r="AX111" s="1791">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1"/>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7"/>
      <c r="AV112" s="1791">
        <f t="shared" si="11"/>
        <v>0</v>
      </c>
      <c r="AW112" s="1791">
        <f t="shared" si="12"/>
        <v>0</v>
      </c>
      <c r="AX112" s="1791">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1"/>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2"/>
      <c r="AV113" s="1791">
        <f t="shared" ref="AV113:AV144" si="62">A113</f>
        <v>0</v>
      </c>
      <c r="AW113" s="1791">
        <f t="shared" ref="AW113:AW144" si="63">B113</f>
        <v>0</v>
      </c>
      <c r="AX113" s="1791">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1"/>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2"/>
      <c r="AV114" s="1791">
        <f t="shared" si="62"/>
        <v>0</v>
      </c>
      <c r="AW114" s="1791">
        <f t="shared" si="63"/>
        <v>0</v>
      </c>
      <c r="AX114" s="1791">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1"/>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2"/>
      <c r="AV115" s="1791">
        <f t="shared" si="62"/>
        <v>0</v>
      </c>
      <c r="AW115" s="1791">
        <f t="shared" si="63"/>
        <v>0</v>
      </c>
      <c r="AX115" s="1791">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1"/>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2"/>
      <c r="AV116" s="1791">
        <f t="shared" si="62"/>
        <v>0</v>
      </c>
      <c r="AW116" s="1791">
        <f t="shared" si="63"/>
        <v>0</v>
      </c>
      <c r="AX116" s="1791">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1"/>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2"/>
      <c r="AV117" s="1791">
        <f t="shared" si="62"/>
        <v>0</v>
      </c>
      <c r="AW117" s="1791">
        <f t="shared" si="63"/>
        <v>0</v>
      </c>
      <c r="AX117" s="1791">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1"/>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2"/>
      <c r="AV118" s="1791">
        <f t="shared" si="62"/>
        <v>0</v>
      </c>
      <c r="AW118" s="1791">
        <f t="shared" si="63"/>
        <v>0</v>
      </c>
      <c r="AX118" s="1791">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1"/>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2"/>
      <c r="AV119" s="1791">
        <f t="shared" si="62"/>
        <v>0</v>
      </c>
      <c r="AW119" s="1791">
        <f t="shared" si="63"/>
        <v>0</v>
      </c>
      <c r="AX119" s="1791">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1"/>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2"/>
      <c r="AV120" s="1791">
        <f t="shared" si="62"/>
        <v>0</v>
      </c>
      <c r="AW120" s="1791">
        <f t="shared" si="63"/>
        <v>0</v>
      </c>
      <c r="AX120" s="1791">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1"/>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2"/>
      <c r="AV121" s="1791">
        <f t="shared" si="62"/>
        <v>0</v>
      </c>
      <c r="AW121" s="1791">
        <f t="shared" si="63"/>
        <v>0</v>
      </c>
      <c r="AX121" s="1791">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1"/>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2"/>
      <c r="AV122" s="1791">
        <f t="shared" si="62"/>
        <v>0</v>
      </c>
      <c r="AW122" s="1791">
        <f t="shared" si="63"/>
        <v>0</v>
      </c>
      <c r="AX122" s="1791">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1"/>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2"/>
      <c r="AV123" s="1791">
        <f t="shared" si="62"/>
        <v>0</v>
      </c>
      <c r="AW123" s="1791">
        <f t="shared" si="63"/>
        <v>0</v>
      </c>
      <c r="AX123" s="1791">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1"/>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2"/>
      <c r="AV124" s="1791">
        <f t="shared" si="62"/>
        <v>0</v>
      </c>
      <c r="AW124" s="1791">
        <f t="shared" si="63"/>
        <v>0</v>
      </c>
      <c r="AX124" s="1791">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1"/>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2"/>
      <c r="AV125" s="1791">
        <f t="shared" si="62"/>
        <v>0</v>
      </c>
      <c r="AW125" s="1791">
        <f t="shared" si="63"/>
        <v>0</v>
      </c>
      <c r="AX125" s="1791">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1"/>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2"/>
      <c r="AV126" s="1791">
        <f t="shared" si="62"/>
        <v>0</v>
      </c>
      <c r="AW126" s="1791">
        <f t="shared" si="63"/>
        <v>0</v>
      </c>
      <c r="AX126" s="1791">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1"/>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2"/>
      <c r="AV127" s="1791">
        <f t="shared" si="62"/>
        <v>0</v>
      </c>
      <c r="AW127" s="1791">
        <f t="shared" si="63"/>
        <v>0</v>
      </c>
      <c r="AX127" s="1791">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1"/>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2"/>
      <c r="AV128" s="1791">
        <f t="shared" si="62"/>
        <v>0</v>
      </c>
      <c r="AW128" s="1791">
        <f t="shared" si="63"/>
        <v>0</v>
      </c>
      <c r="AX128" s="1791">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1"/>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2"/>
      <c r="AV129" s="1791">
        <f t="shared" si="62"/>
        <v>0</v>
      </c>
      <c r="AW129" s="1791">
        <f t="shared" si="63"/>
        <v>0</v>
      </c>
      <c r="AX129" s="1791">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1"/>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2"/>
      <c r="AV130" s="1791">
        <f t="shared" si="62"/>
        <v>0</v>
      </c>
      <c r="AW130" s="1791">
        <f t="shared" si="63"/>
        <v>0</v>
      </c>
      <c r="AX130" s="1791">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1"/>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2"/>
      <c r="AV131" s="1791">
        <f t="shared" si="62"/>
        <v>0</v>
      </c>
      <c r="AW131" s="1791">
        <f t="shared" si="63"/>
        <v>0</v>
      </c>
      <c r="AX131" s="1791">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1"/>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2"/>
      <c r="AV132" s="1791">
        <f t="shared" si="62"/>
        <v>0</v>
      </c>
      <c r="AW132" s="1791">
        <f t="shared" si="63"/>
        <v>0</v>
      </c>
      <c r="AX132" s="1791">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1"/>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2"/>
      <c r="AV133" s="1791">
        <f t="shared" si="62"/>
        <v>0</v>
      </c>
      <c r="AW133" s="1791">
        <f t="shared" si="63"/>
        <v>0</v>
      </c>
      <c r="AX133" s="1791">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1"/>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2"/>
      <c r="AV134" s="1791">
        <f t="shared" si="62"/>
        <v>0</v>
      </c>
      <c r="AW134" s="1791">
        <f t="shared" si="63"/>
        <v>0</v>
      </c>
      <c r="AX134" s="1791">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1"/>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2"/>
      <c r="AV135" s="1791">
        <f t="shared" si="62"/>
        <v>0</v>
      </c>
      <c r="AW135" s="1791">
        <f t="shared" si="63"/>
        <v>0</v>
      </c>
      <c r="AX135" s="1791">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1"/>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2"/>
      <c r="AV136" s="1791">
        <f t="shared" si="62"/>
        <v>0</v>
      </c>
      <c r="AW136" s="1791">
        <f t="shared" si="63"/>
        <v>0</v>
      </c>
      <c r="AX136" s="1791">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1"/>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2"/>
      <c r="AV137" s="1791">
        <f t="shared" si="62"/>
        <v>0</v>
      </c>
      <c r="AW137" s="1791">
        <f t="shared" si="63"/>
        <v>0</v>
      </c>
      <c r="AX137" s="1791">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1"/>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2"/>
      <c r="AV138" s="1791">
        <f t="shared" si="62"/>
        <v>0</v>
      </c>
      <c r="AW138" s="1791">
        <f t="shared" si="63"/>
        <v>0</v>
      </c>
      <c r="AX138" s="1791">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1"/>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2"/>
      <c r="AV139" s="1791">
        <f t="shared" si="62"/>
        <v>0</v>
      </c>
      <c r="AW139" s="1791">
        <f t="shared" si="63"/>
        <v>0</v>
      </c>
      <c r="AX139" s="1791">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1"/>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2"/>
      <c r="AV140" s="1791">
        <f t="shared" si="62"/>
        <v>0</v>
      </c>
      <c r="AW140" s="1791">
        <f t="shared" si="63"/>
        <v>0</v>
      </c>
      <c r="AX140" s="1791">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1"/>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2"/>
      <c r="AV141" s="1791">
        <f t="shared" si="62"/>
        <v>0</v>
      </c>
      <c r="AW141" s="1791">
        <f t="shared" si="63"/>
        <v>0</v>
      </c>
      <c r="AX141" s="1791">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1"/>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2"/>
      <c r="AV142" s="1791">
        <f t="shared" si="62"/>
        <v>0</v>
      </c>
      <c r="AW142" s="1791">
        <f t="shared" si="63"/>
        <v>0</v>
      </c>
      <c r="AX142" s="1791">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1"/>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2"/>
      <c r="AV143" s="1791">
        <f t="shared" si="62"/>
        <v>0</v>
      </c>
      <c r="AW143" s="1791">
        <f t="shared" si="63"/>
        <v>0</v>
      </c>
      <c r="AX143" s="1791">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1"/>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2"/>
      <c r="AV144" s="1791">
        <f t="shared" si="62"/>
        <v>0</v>
      </c>
      <c r="AW144" s="1791">
        <f t="shared" si="63"/>
        <v>0</v>
      </c>
      <c r="AX144" s="1791">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1"/>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2"/>
      <c r="AV145" s="1791">
        <f t="shared" ref="AV145:AV176" si="91">A145</f>
        <v>0</v>
      </c>
      <c r="AW145" s="1791">
        <f t="shared" ref="AW145:AW176" si="92">B145</f>
        <v>0</v>
      </c>
      <c r="AX145" s="1791">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1"/>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2"/>
      <c r="AV146" s="1791">
        <f t="shared" si="91"/>
        <v>0</v>
      </c>
      <c r="AW146" s="1791">
        <f t="shared" si="92"/>
        <v>0</v>
      </c>
      <c r="AX146" s="1791">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1"/>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2"/>
      <c r="AV147" s="1791">
        <f t="shared" si="91"/>
        <v>0</v>
      </c>
      <c r="AW147" s="1791">
        <f t="shared" si="92"/>
        <v>0</v>
      </c>
      <c r="AX147" s="1791">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1"/>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2"/>
      <c r="AV148" s="1791">
        <f t="shared" si="91"/>
        <v>0</v>
      </c>
      <c r="AW148" s="1791">
        <f t="shared" si="92"/>
        <v>0</v>
      </c>
      <c r="AX148" s="1791">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1"/>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2"/>
      <c r="AV149" s="1791">
        <f t="shared" si="91"/>
        <v>0</v>
      </c>
      <c r="AW149" s="1791">
        <f t="shared" si="92"/>
        <v>0</v>
      </c>
      <c r="AX149" s="1791">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1"/>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2"/>
      <c r="AV150" s="1791">
        <f t="shared" si="91"/>
        <v>0</v>
      </c>
      <c r="AW150" s="1791">
        <f t="shared" si="92"/>
        <v>0</v>
      </c>
      <c r="AX150" s="1791">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1"/>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2"/>
      <c r="AV151" s="1791">
        <f t="shared" si="91"/>
        <v>0</v>
      </c>
      <c r="AW151" s="1791">
        <f t="shared" si="92"/>
        <v>0</v>
      </c>
      <c r="AX151" s="1791">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1"/>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2"/>
      <c r="AV152" s="1791">
        <f t="shared" si="91"/>
        <v>0</v>
      </c>
      <c r="AW152" s="1791">
        <f t="shared" si="92"/>
        <v>0</v>
      </c>
      <c r="AX152" s="1791">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1"/>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2"/>
      <c r="AV153" s="1791">
        <f t="shared" si="91"/>
        <v>0</v>
      </c>
      <c r="AW153" s="1791">
        <f t="shared" si="92"/>
        <v>0</v>
      </c>
      <c r="AX153" s="1791">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1"/>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2"/>
      <c r="AV154" s="1791">
        <f t="shared" si="91"/>
        <v>0</v>
      </c>
      <c r="AW154" s="1791">
        <f t="shared" si="92"/>
        <v>0</v>
      </c>
      <c r="AX154" s="1791">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1"/>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2"/>
      <c r="AV155" s="1791">
        <f t="shared" si="91"/>
        <v>0</v>
      </c>
      <c r="AW155" s="1791">
        <f t="shared" si="92"/>
        <v>0</v>
      </c>
      <c r="AX155" s="1791">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1"/>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2"/>
      <c r="AV156" s="1791">
        <f t="shared" si="91"/>
        <v>0</v>
      </c>
      <c r="AW156" s="1791">
        <f t="shared" si="92"/>
        <v>0</v>
      </c>
      <c r="AX156" s="1791">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1"/>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2"/>
      <c r="AV157" s="1791">
        <f t="shared" si="91"/>
        <v>0</v>
      </c>
      <c r="AW157" s="1791">
        <f t="shared" si="92"/>
        <v>0</v>
      </c>
      <c r="AX157" s="1791">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1"/>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2"/>
      <c r="AV158" s="1791">
        <f t="shared" si="91"/>
        <v>0</v>
      </c>
      <c r="AW158" s="1791">
        <f t="shared" si="92"/>
        <v>0</v>
      </c>
      <c r="AX158" s="1791">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1"/>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2"/>
      <c r="AV159" s="1791">
        <f t="shared" si="91"/>
        <v>0</v>
      </c>
      <c r="AW159" s="1791">
        <f t="shared" si="92"/>
        <v>0</v>
      </c>
      <c r="AX159" s="1791">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1"/>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2"/>
      <c r="AV160" s="1791">
        <f t="shared" si="91"/>
        <v>0</v>
      </c>
      <c r="AW160" s="1791">
        <f t="shared" si="92"/>
        <v>0</v>
      </c>
      <c r="AX160" s="1791">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1"/>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2"/>
      <c r="AV161" s="1791">
        <f t="shared" si="91"/>
        <v>0</v>
      </c>
      <c r="AW161" s="1791">
        <f t="shared" si="92"/>
        <v>0</v>
      </c>
      <c r="AX161" s="1791">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1"/>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2"/>
      <c r="AV162" s="1791">
        <f t="shared" si="91"/>
        <v>0</v>
      </c>
      <c r="AW162" s="1791">
        <f t="shared" si="92"/>
        <v>0</v>
      </c>
      <c r="AX162" s="1791">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1"/>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2"/>
      <c r="AV163" s="1791">
        <f t="shared" si="91"/>
        <v>0</v>
      </c>
      <c r="AW163" s="1791">
        <f t="shared" si="92"/>
        <v>0</v>
      </c>
      <c r="AX163" s="1791">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1"/>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2"/>
      <c r="AV164" s="1791">
        <f t="shared" si="91"/>
        <v>0</v>
      </c>
      <c r="AW164" s="1791">
        <f t="shared" si="92"/>
        <v>0</v>
      </c>
      <c r="AX164" s="1791">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1"/>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2"/>
      <c r="AV165" s="1791">
        <f t="shared" si="91"/>
        <v>0</v>
      </c>
      <c r="AW165" s="1791">
        <f t="shared" si="92"/>
        <v>0</v>
      </c>
      <c r="AX165" s="1791">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1"/>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2"/>
      <c r="AV166" s="1791">
        <f t="shared" si="91"/>
        <v>0</v>
      </c>
      <c r="AW166" s="1791">
        <f t="shared" si="92"/>
        <v>0</v>
      </c>
      <c r="AX166" s="1791">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1"/>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2"/>
      <c r="AV167" s="1791">
        <f t="shared" si="91"/>
        <v>0</v>
      </c>
      <c r="AW167" s="1791">
        <f t="shared" si="92"/>
        <v>0</v>
      </c>
      <c r="AX167" s="1791">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1"/>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2"/>
      <c r="AV168" s="1791">
        <f t="shared" si="91"/>
        <v>0</v>
      </c>
      <c r="AW168" s="1791">
        <f t="shared" si="92"/>
        <v>0</v>
      </c>
      <c r="AX168" s="1791">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1"/>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2"/>
      <c r="AV169" s="1791">
        <f t="shared" si="91"/>
        <v>0</v>
      </c>
      <c r="AW169" s="1791">
        <f t="shared" si="92"/>
        <v>0</v>
      </c>
      <c r="AX169" s="1791">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1"/>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2"/>
      <c r="AV170" s="1791">
        <f t="shared" si="91"/>
        <v>0</v>
      </c>
      <c r="AW170" s="1791">
        <f t="shared" si="92"/>
        <v>0</v>
      </c>
      <c r="AX170" s="1791">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1"/>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2"/>
      <c r="AV171" s="1791">
        <f t="shared" si="91"/>
        <v>0</v>
      </c>
      <c r="AW171" s="1791">
        <f t="shared" si="92"/>
        <v>0</v>
      </c>
      <c r="AX171" s="1791">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1"/>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2"/>
      <c r="AV172" s="1791">
        <f t="shared" si="91"/>
        <v>0</v>
      </c>
      <c r="AW172" s="1791">
        <f t="shared" si="92"/>
        <v>0</v>
      </c>
      <c r="AX172" s="1791">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1"/>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2"/>
      <c r="AV173" s="1791">
        <f t="shared" si="91"/>
        <v>0</v>
      </c>
      <c r="AW173" s="1791">
        <f t="shared" si="92"/>
        <v>0</v>
      </c>
      <c r="AX173" s="1791">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1"/>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2"/>
      <c r="AV174" s="1791">
        <f t="shared" si="91"/>
        <v>0</v>
      </c>
      <c r="AW174" s="1791">
        <f t="shared" si="92"/>
        <v>0</v>
      </c>
      <c r="AX174" s="1791">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1"/>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2"/>
      <c r="AV175" s="1791">
        <f t="shared" si="91"/>
        <v>0</v>
      </c>
      <c r="AW175" s="1791">
        <f t="shared" si="92"/>
        <v>0</v>
      </c>
      <c r="AX175" s="1791">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1"/>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2"/>
      <c r="AV176" s="1791">
        <f t="shared" si="91"/>
        <v>0</v>
      </c>
      <c r="AW176" s="1791">
        <f t="shared" si="92"/>
        <v>0</v>
      </c>
      <c r="AX176" s="1791">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1"/>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2"/>
      <c r="AV177" s="1791">
        <f t="shared" ref="AV177:AV207" si="120">A177</f>
        <v>0</v>
      </c>
      <c r="AW177" s="1791">
        <f t="shared" ref="AW177:AW207" si="121">B177</f>
        <v>0</v>
      </c>
      <c r="AX177" s="1791">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1"/>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2"/>
      <c r="AV178" s="1791">
        <f t="shared" si="120"/>
        <v>0</v>
      </c>
      <c r="AW178" s="1791">
        <f t="shared" si="121"/>
        <v>0</v>
      </c>
      <c r="AX178" s="1791">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1"/>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2"/>
      <c r="AV179" s="1791">
        <f t="shared" si="120"/>
        <v>0</v>
      </c>
      <c r="AW179" s="1791">
        <f t="shared" si="121"/>
        <v>0</v>
      </c>
      <c r="AX179" s="1791">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1"/>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2"/>
      <c r="AV180" s="1791">
        <f t="shared" si="120"/>
        <v>0</v>
      </c>
      <c r="AW180" s="1791">
        <f t="shared" si="121"/>
        <v>0</v>
      </c>
      <c r="AX180" s="1791">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1"/>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2"/>
      <c r="AV181" s="1791">
        <f t="shared" si="120"/>
        <v>0</v>
      </c>
      <c r="AW181" s="1791">
        <f t="shared" si="121"/>
        <v>0</v>
      </c>
      <c r="AX181" s="1791">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1"/>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2"/>
      <c r="AV182" s="1791">
        <f t="shared" si="120"/>
        <v>0</v>
      </c>
      <c r="AW182" s="1791">
        <f t="shared" si="121"/>
        <v>0</v>
      </c>
      <c r="AX182" s="1791">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1"/>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2"/>
      <c r="AV183" s="1791">
        <f t="shared" si="120"/>
        <v>0</v>
      </c>
      <c r="AW183" s="1791">
        <f t="shared" si="121"/>
        <v>0</v>
      </c>
      <c r="AX183" s="1791">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1"/>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2"/>
      <c r="AV184" s="1791">
        <f t="shared" si="120"/>
        <v>0</v>
      </c>
      <c r="AW184" s="1791">
        <f t="shared" si="121"/>
        <v>0</v>
      </c>
      <c r="AX184" s="1791">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1"/>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2"/>
      <c r="AV185" s="1791">
        <f t="shared" si="120"/>
        <v>0</v>
      </c>
      <c r="AW185" s="1791">
        <f t="shared" si="121"/>
        <v>0</v>
      </c>
      <c r="AX185" s="1791">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1"/>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2"/>
      <c r="AV186" s="1791">
        <f t="shared" si="120"/>
        <v>0</v>
      </c>
      <c r="AW186" s="1791">
        <f t="shared" si="121"/>
        <v>0</v>
      </c>
      <c r="AX186" s="1791">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1"/>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2"/>
      <c r="AV187" s="1791">
        <f t="shared" si="120"/>
        <v>0</v>
      </c>
      <c r="AW187" s="1791">
        <f t="shared" si="121"/>
        <v>0</v>
      </c>
      <c r="AX187" s="1791">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1"/>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2"/>
      <c r="AV188" s="1791">
        <f t="shared" si="120"/>
        <v>0</v>
      </c>
      <c r="AW188" s="1791">
        <f t="shared" si="121"/>
        <v>0</v>
      </c>
      <c r="AX188" s="1791">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1"/>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2"/>
      <c r="AV189" s="1791">
        <f t="shared" si="120"/>
        <v>0</v>
      </c>
      <c r="AW189" s="1791">
        <f t="shared" si="121"/>
        <v>0</v>
      </c>
      <c r="AX189" s="1791">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1"/>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2"/>
      <c r="AV190" s="1791">
        <f t="shared" si="120"/>
        <v>0</v>
      </c>
      <c r="AW190" s="1791">
        <f t="shared" si="121"/>
        <v>0</v>
      </c>
      <c r="AX190" s="1791">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1"/>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2"/>
      <c r="AV191" s="1791">
        <f t="shared" si="120"/>
        <v>0</v>
      </c>
      <c r="AW191" s="1791">
        <f t="shared" si="121"/>
        <v>0</v>
      </c>
      <c r="AX191" s="1791">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1"/>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2"/>
      <c r="AV192" s="1791">
        <f t="shared" si="120"/>
        <v>0</v>
      </c>
      <c r="AW192" s="1791">
        <f t="shared" si="121"/>
        <v>0</v>
      </c>
      <c r="AX192" s="1791">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1"/>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2"/>
      <c r="AV193" s="1791">
        <f t="shared" si="120"/>
        <v>0</v>
      </c>
      <c r="AW193" s="1791">
        <f t="shared" si="121"/>
        <v>0</v>
      </c>
      <c r="AX193" s="1791">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1"/>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2"/>
      <c r="AV194" s="1791">
        <f t="shared" si="120"/>
        <v>0</v>
      </c>
      <c r="AW194" s="1791">
        <f t="shared" si="121"/>
        <v>0</v>
      </c>
      <c r="AX194" s="1791">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1"/>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2"/>
      <c r="AV195" s="1791">
        <f t="shared" si="120"/>
        <v>0</v>
      </c>
      <c r="AW195" s="1791">
        <f t="shared" si="121"/>
        <v>0</v>
      </c>
      <c r="AX195" s="1791">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1"/>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2"/>
      <c r="AV196" s="1791">
        <f t="shared" si="120"/>
        <v>0</v>
      </c>
      <c r="AW196" s="1791">
        <f t="shared" si="121"/>
        <v>0</v>
      </c>
      <c r="AX196" s="1791">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1"/>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2"/>
      <c r="AV197" s="1791">
        <f t="shared" si="120"/>
        <v>0</v>
      </c>
      <c r="AW197" s="1791">
        <f t="shared" si="121"/>
        <v>0</v>
      </c>
      <c r="AX197" s="1791">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1"/>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2"/>
      <c r="AV198" s="1791">
        <f t="shared" si="120"/>
        <v>0</v>
      </c>
      <c r="AW198" s="1791">
        <f t="shared" si="121"/>
        <v>0</v>
      </c>
      <c r="AX198" s="1791">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1"/>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2"/>
      <c r="AV199" s="1791">
        <f t="shared" si="120"/>
        <v>0</v>
      </c>
      <c r="AW199" s="1791">
        <f t="shared" si="121"/>
        <v>0</v>
      </c>
      <c r="AX199" s="1791">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1"/>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2"/>
      <c r="AV200" s="1791">
        <f t="shared" si="120"/>
        <v>0</v>
      </c>
      <c r="AW200" s="1791">
        <f t="shared" si="121"/>
        <v>0</v>
      </c>
      <c r="AX200" s="1791">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1"/>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2"/>
      <c r="AV201" s="1791">
        <f t="shared" si="120"/>
        <v>0</v>
      </c>
      <c r="AW201" s="1791">
        <f t="shared" si="121"/>
        <v>0</v>
      </c>
      <c r="AX201" s="1791">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1"/>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2"/>
      <c r="AV202" s="1791">
        <f t="shared" si="120"/>
        <v>0</v>
      </c>
      <c r="AW202" s="1791">
        <f t="shared" si="121"/>
        <v>0</v>
      </c>
      <c r="AX202" s="1791">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1"/>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2"/>
      <c r="AV203" s="1791">
        <f t="shared" si="120"/>
        <v>0</v>
      </c>
      <c r="AW203" s="1791">
        <f t="shared" si="121"/>
        <v>0</v>
      </c>
      <c r="AX203" s="1791">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1"/>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2"/>
      <c r="AV204" s="1791">
        <f t="shared" si="120"/>
        <v>0</v>
      </c>
      <c r="AW204" s="1791">
        <f t="shared" si="121"/>
        <v>0</v>
      </c>
      <c r="AX204" s="1791">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1"/>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7"/>
      <c r="AV205" s="1791">
        <f t="shared" si="120"/>
        <v>0</v>
      </c>
      <c r="AW205" s="1791">
        <f t="shared" si="121"/>
        <v>0</v>
      </c>
      <c r="AX205" s="1791">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1"/>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7"/>
      <c r="AV206" s="1791">
        <f t="shared" si="120"/>
        <v>0</v>
      </c>
      <c r="AW206" s="1791">
        <f t="shared" si="121"/>
        <v>0</v>
      </c>
      <c r="AX206" s="1791">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1"/>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7"/>
      <c r="AV207" s="1791">
        <f t="shared" si="120"/>
        <v>0</v>
      </c>
      <c r="AW207" s="1791">
        <f t="shared" si="121"/>
        <v>0</v>
      </c>
      <c r="AX207" s="1791">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1"/>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2"/>
      <c r="AV208" s="1791">
        <f t="shared" ref="AV208:AV302" si="127">A208</f>
        <v>0</v>
      </c>
      <c r="AW208" s="1791">
        <f t="shared" ref="AW208:AW302" si="128">B208</f>
        <v>0</v>
      </c>
      <c r="AX208" s="1791">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1"/>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2"/>
      <c r="AV209" s="1791">
        <f t="shared" si="127"/>
        <v>0</v>
      </c>
      <c r="AW209" s="1791">
        <f t="shared" si="128"/>
        <v>0</v>
      </c>
      <c r="AX209" s="1791">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1"/>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2"/>
      <c r="AV210" s="1791">
        <f t="shared" si="127"/>
        <v>0</v>
      </c>
      <c r="AW210" s="1791">
        <f t="shared" si="128"/>
        <v>0</v>
      </c>
      <c r="AX210" s="1791">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1"/>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2"/>
      <c r="AV211" s="1791">
        <f t="shared" si="127"/>
        <v>0</v>
      </c>
      <c r="AW211" s="1791">
        <f t="shared" si="128"/>
        <v>0</v>
      </c>
      <c r="AX211" s="1791">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1"/>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2"/>
      <c r="AV212" s="1791">
        <f t="shared" si="127"/>
        <v>0</v>
      </c>
      <c r="AW212" s="1791">
        <f t="shared" si="128"/>
        <v>0</v>
      </c>
      <c r="AX212" s="1791">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1"/>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2"/>
      <c r="AV213" s="1791">
        <f t="shared" si="127"/>
        <v>0</v>
      </c>
      <c r="AW213" s="1791">
        <f t="shared" si="128"/>
        <v>0</v>
      </c>
      <c r="AX213" s="1791">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1"/>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2"/>
      <c r="AV214" s="1791">
        <f t="shared" si="127"/>
        <v>0</v>
      </c>
      <c r="AW214" s="1791">
        <f t="shared" si="128"/>
        <v>0</v>
      </c>
      <c r="AX214" s="1791">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1"/>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2"/>
      <c r="AV215" s="1791">
        <f t="shared" si="127"/>
        <v>0</v>
      </c>
      <c r="AW215" s="1791">
        <f t="shared" si="128"/>
        <v>0</v>
      </c>
      <c r="AX215" s="1791">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1"/>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2"/>
      <c r="AV216" s="1791">
        <f t="shared" si="127"/>
        <v>0</v>
      </c>
      <c r="AW216" s="1791">
        <f t="shared" si="128"/>
        <v>0</v>
      </c>
      <c r="AX216" s="1791">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1"/>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2"/>
      <c r="AV217" s="1791">
        <f t="shared" si="127"/>
        <v>0</v>
      </c>
      <c r="AW217" s="1791">
        <f t="shared" si="128"/>
        <v>0</v>
      </c>
      <c r="AX217" s="1791">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1"/>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2"/>
      <c r="AV218" s="1791">
        <f t="shared" si="127"/>
        <v>0</v>
      </c>
      <c r="AW218" s="1791">
        <f t="shared" si="128"/>
        <v>0</v>
      </c>
      <c r="AX218" s="1791">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1"/>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2"/>
      <c r="AV219" s="1791">
        <f t="shared" si="127"/>
        <v>0</v>
      </c>
      <c r="AW219" s="1791">
        <f t="shared" si="128"/>
        <v>0</v>
      </c>
      <c r="AX219" s="1791">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1"/>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2"/>
      <c r="AV220" s="1791">
        <f t="shared" si="127"/>
        <v>0</v>
      </c>
      <c r="AW220" s="1791">
        <f t="shared" si="128"/>
        <v>0</v>
      </c>
      <c r="AX220" s="1791">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1"/>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2"/>
      <c r="AV221" s="1791">
        <f t="shared" si="127"/>
        <v>0</v>
      </c>
      <c r="AW221" s="1791">
        <f t="shared" si="128"/>
        <v>0</v>
      </c>
      <c r="AX221" s="1791">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1"/>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2"/>
      <c r="AV222" s="1791">
        <f t="shared" si="127"/>
        <v>0</v>
      </c>
      <c r="AW222" s="1791">
        <f t="shared" si="128"/>
        <v>0</v>
      </c>
      <c r="AX222" s="1791">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1"/>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2"/>
      <c r="AV223" s="1791">
        <f t="shared" si="127"/>
        <v>0</v>
      </c>
      <c r="AW223" s="1791">
        <f t="shared" si="128"/>
        <v>0</v>
      </c>
      <c r="AX223" s="1791">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1"/>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2"/>
      <c r="AV224" s="1791">
        <f t="shared" si="127"/>
        <v>0</v>
      </c>
      <c r="AW224" s="1791">
        <f t="shared" si="128"/>
        <v>0</v>
      </c>
      <c r="AX224" s="1791">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1"/>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2"/>
      <c r="AV225" s="1791">
        <f t="shared" si="127"/>
        <v>0</v>
      </c>
      <c r="AW225" s="1791">
        <f t="shared" si="128"/>
        <v>0</v>
      </c>
      <c r="AX225" s="1791">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1"/>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2"/>
      <c r="AV226" s="1791">
        <f t="shared" si="127"/>
        <v>0</v>
      </c>
      <c r="AW226" s="1791">
        <f t="shared" si="128"/>
        <v>0</v>
      </c>
      <c r="AX226" s="1791">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1"/>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2"/>
      <c r="AV227" s="1791">
        <f t="shared" si="127"/>
        <v>0</v>
      </c>
      <c r="AW227" s="1791">
        <f t="shared" si="128"/>
        <v>0</v>
      </c>
      <c r="AX227" s="1791">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1"/>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2"/>
      <c r="AV228" s="1791">
        <f t="shared" si="127"/>
        <v>0</v>
      </c>
      <c r="AW228" s="1791">
        <f t="shared" si="128"/>
        <v>0</v>
      </c>
      <c r="AX228" s="1791">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1"/>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2"/>
      <c r="AV229" s="1791">
        <f t="shared" si="127"/>
        <v>0</v>
      </c>
      <c r="AW229" s="1791">
        <f t="shared" si="128"/>
        <v>0</v>
      </c>
      <c r="AX229" s="1791">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1"/>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2"/>
      <c r="AV230" s="1791">
        <f t="shared" si="127"/>
        <v>0</v>
      </c>
      <c r="AW230" s="1791">
        <f t="shared" si="128"/>
        <v>0</v>
      </c>
      <c r="AX230" s="1791">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1"/>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2"/>
      <c r="AV231" s="1791">
        <f t="shared" si="127"/>
        <v>0</v>
      </c>
      <c r="AW231" s="1791">
        <f t="shared" si="128"/>
        <v>0</v>
      </c>
      <c r="AX231" s="1791">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1"/>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2"/>
      <c r="AV232" s="1791">
        <f t="shared" si="127"/>
        <v>0</v>
      </c>
      <c r="AW232" s="1791">
        <f t="shared" si="128"/>
        <v>0</v>
      </c>
      <c r="AX232" s="1791">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1"/>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2"/>
      <c r="AV233" s="1791">
        <f t="shared" si="127"/>
        <v>0</v>
      </c>
      <c r="AW233" s="1791">
        <f t="shared" si="128"/>
        <v>0</v>
      </c>
      <c r="AX233" s="1791">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1"/>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2"/>
      <c r="AV234" s="1791">
        <f t="shared" si="127"/>
        <v>0</v>
      </c>
      <c r="AW234" s="1791">
        <f t="shared" si="128"/>
        <v>0</v>
      </c>
      <c r="AX234" s="1791">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1"/>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2"/>
      <c r="AV235" s="1791">
        <f t="shared" si="127"/>
        <v>0</v>
      </c>
      <c r="AW235" s="1791">
        <f t="shared" si="128"/>
        <v>0</v>
      </c>
      <c r="AX235" s="1791">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1"/>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2"/>
      <c r="AV236" s="1791">
        <f t="shared" si="127"/>
        <v>0</v>
      </c>
      <c r="AW236" s="1791">
        <f t="shared" si="128"/>
        <v>0</v>
      </c>
      <c r="AX236" s="1791">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1"/>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2"/>
      <c r="AV237" s="1791">
        <f t="shared" si="127"/>
        <v>0</v>
      </c>
      <c r="AW237" s="1791">
        <f t="shared" si="128"/>
        <v>0</v>
      </c>
      <c r="AX237" s="1791">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1"/>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2"/>
      <c r="AV238" s="1791">
        <f t="shared" si="127"/>
        <v>0</v>
      </c>
      <c r="AW238" s="1791">
        <f t="shared" si="128"/>
        <v>0</v>
      </c>
      <c r="AX238" s="1791">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1"/>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2"/>
      <c r="AV239" s="1791">
        <f t="shared" si="127"/>
        <v>0</v>
      </c>
      <c r="AW239" s="1791">
        <f t="shared" si="128"/>
        <v>0</v>
      </c>
      <c r="AX239" s="1791">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1"/>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2"/>
      <c r="AV240" s="1791">
        <f t="shared" si="127"/>
        <v>0</v>
      </c>
      <c r="AW240" s="1791">
        <f t="shared" si="128"/>
        <v>0</v>
      </c>
      <c r="AX240" s="1791">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1"/>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2"/>
      <c r="AV241" s="1791">
        <f t="shared" si="127"/>
        <v>0</v>
      </c>
      <c r="AW241" s="1791">
        <f t="shared" si="128"/>
        <v>0</v>
      </c>
      <c r="AX241" s="1791">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1"/>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2"/>
      <c r="AV242" s="1791">
        <f t="shared" si="127"/>
        <v>0</v>
      </c>
      <c r="AW242" s="1791">
        <f t="shared" si="128"/>
        <v>0</v>
      </c>
      <c r="AX242" s="1791">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1"/>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2"/>
      <c r="AV243" s="1791">
        <f t="shared" si="127"/>
        <v>0</v>
      </c>
      <c r="AW243" s="1791">
        <f t="shared" si="128"/>
        <v>0</v>
      </c>
      <c r="AX243" s="1791">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1"/>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2"/>
      <c r="AV244" s="1791">
        <f t="shared" si="127"/>
        <v>0</v>
      </c>
      <c r="AW244" s="1791">
        <f t="shared" si="128"/>
        <v>0</v>
      </c>
      <c r="AX244" s="1791">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1"/>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2"/>
      <c r="AV245" s="1791">
        <f t="shared" si="127"/>
        <v>0</v>
      </c>
      <c r="AW245" s="1791">
        <f t="shared" si="128"/>
        <v>0</v>
      </c>
      <c r="AX245" s="1791">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1"/>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2"/>
      <c r="AV246" s="1791">
        <f t="shared" si="127"/>
        <v>0</v>
      </c>
      <c r="AW246" s="1791">
        <f t="shared" si="128"/>
        <v>0</v>
      </c>
      <c r="AX246" s="1791">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1"/>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2"/>
      <c r="AV247" s="1791">
        <f t="shared" si="127"/>
        <v>0</v>
      </c>
      <c r="AW247" s="1791">
        <f t="shared" si="128"/>
        <v>0</v>
      </c>
      <c r="AX247" s="1791">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1"/>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2"/>
      <c r="AV248" s="1791">
        <f t="shared" si="127"/>
        <v>0</v>
      </c>
      <c r="AW248" s="1791">
        <f t="shared" si="128"/>
        <v>0</v>
      </c>
      <c r="AX248" s="1791">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1"/>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2"/>
      <c r="AV249" s="1791">
        <f t="shared" si="127"/>
        <v>0</v>
      </c>
      <c r="AW249" s="1791">
        <f t="shared" si="128"/>
        <v>0</v>
      </c>
      <c r="AX249" s="1791">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1"/>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2"/>
      <c r="AV250" s="1791">
        <f t="shared" si="127"/>
        <v>0</v>
      </c>
      <c r="AW250" s="1791">
        <f t="shared" si="128"/>
        <v>0</v>
      </c>
      <c r="AX250" s="1791">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1"/>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2"/>
      <c r="AV251" s="1791">
        <f t="shared" si="127"/>
        <v>0</v>
      </c>
      <c r="AW251" s="1791">
        <f t="shared" si="128"/>
        <v>0</v>
      </c>
      <c r="AX251" s="1791">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1"/>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2"/>
      <c r="AV252" s="1791">
        <f t="shared" si="127"/>
        <v>0</v>
      </c>
      <c r="AW252" s="1791">
        <f t="shared" si="128"/>
        <v>0</v>
      </c>
      <c r="AX252" s="1791">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1"/>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2"/>
      <c r="AV253" s="1791">
        <f t="shared" si="127"/>
        <v>0</v>
      </c>
      <c r="AW253" s="1791">
        <f t="shared" si="128"/>
        <v>0</v>
      </c>
      <c r="AX253" s="1791">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1"/>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2"/>
      <c r="AV254" s="1791">
        <f t="shared" si="127"/>
        <v>0</v>
      </c>
      <c r="AW254" s="1791">
        <f t="shared" si="128"/>
        <v>0</v>
      </c>
      <c r="AX254" s="1791">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1"/>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2"/>
      <c r="AV255" s="1791">
        <f t="shared" si="127"/>
        <v>0</v>
      </c>
      <c r="AW255" s="1791">
        <f t="shared" si="128"/>
        <v>0</v>
      </c>
      <c r="AX255" s="1791">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1"/>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2"/>
      <c r="AV256" s="1791">
        <f t="shared" si="127"/>
        <v>0</v>
      </c>
      <c r="AW256" s="1791">
        <f t="shared" si="128"/>
        <v>0</v>
      </c>
      <c r="AX256" s="1791">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1"/>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2"/>
      <c r="AV257" s="1791">
        <f t="shared" si="127"/>
        <v>0</v>
      </c>
      <c r="AW257" s="1791">
        <f t="shared" si="128"/>
        <v>0</v>
      </c>
      <c r="AX257" s="1791">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1"/>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2"/>
      <c r="AV258" s="1791">
        <f t="shared" si="127"/>
        <v>0</v>
      </c>
      <c r="AW258" s="1791">
        <f t="shared" si="128"/>
        <v>0</v>
      </c>
      <c r="AX258" s="1791">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1"/>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2"/>
      <c r="AV259" s="1791">
        <f t="shared" si="127"/>
        <v>0</v>
      </c>
      <c r="AW259" s="1791">
        <f t="shared" si="128"/>
        <v>0</v>
      </c>
      <c r="AX259" s="1791">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1"/>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2"/>
      <c r="AV260" s="1791">
        <f t="shared" si="127"/>
        <v>0</v>
      </c>
      <c r="AW260" s="1791">
        <f t="shared" si="128"/>
        <v>0</v>
      </c>
      <c r="AX260" s="1791">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1"/>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2"/>
      <c r="AV261" s="1791">
        <f t="shared" si="127"/>
        <v>0</v>
      </c>
      <c r="AW261" s="1791">
        <f t="shared" si="128"/>
        <v>0</v>
      </c>
      <c r="AX261" s="1791">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1"/>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2"/>
      <c r="AV262" s="1791">
        <f t="shared" si="127"/>
        <v>0</v>
      </c>
      <c r="AW262" s="1791">
        <f t="shared" si="128"/>
        <v>0</v>
      </c>
      <c r="AX262" s="1791">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1"/>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2"/>
      <c r="AV263" s="1791">
        <f t="shared" si="127"/>
        <v>0</v>
      </c>
      <c r="AW263" s="1791">
        <f t="shared" si="128"/>
        <v>0</v>
      </c>
      <c r="AX263" s="1791">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1"/>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2"/>
      <c r="AV264" s="1791">
        <f t="shared" si="127"/>
        <v>0</v>
      </c>
      <c r="AW264" s="1791">
        <f t="shared" si="128"/>
        <v>0</v>
      </c>
      <c r="AX264" s="1791">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1"/>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2"/>
      <c r="AV265" s="1791">
        <f t="shared" si="127"/>
        <v>0</v>
      </c>
      <c r="AW265" s="1791">
        <f t="shared" si="128"/>
        <v>0</v>
      </c>
      <c r="AX265" s="1791">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1"/>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2"/>
      <c r="AV266" s="1791">
        <f t="shared" si="127"/>
        <v>0</v>
      </c>
      <c r="AW266" s="1791">
        <f t="shared" si="128"/>
        <v>0</v>
      </c>
      <c r="AX266" s="1791">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1"/>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2"/>
      <c r="AV267" s="1791">
        <f t="shared" si="127"/>
        <v>0</v>
      </c>
      <c r="AW267" s="1791">
        <f t="shared" si="128"/>
        <v>0</v>
      </c>
      <c r="AX267" s="1791">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1"/>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2"/>
      <c r="AV268" s="1791">
        <f t="shared" si="127"/>
        <v>0</v>
      </c>
      <c r="AW268" s="1791">
        <f t="shared" si="128"/>
        <v>0</v>
      </c>
      <c r="AX268" s="1791">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1"/>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2"/>
      <c r="AV269" s="1791">
        <f t="shared" si="127"/>
        <v>0</v>
      </c>
      <c r="AW269" s="1791">
        <f t="shared" si="128"/>
        <v>0</v>
      </c>
      <c r="AX269" s="1791">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1"/>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2"/>
      <c r="AV270" s="1791">
        <f t="shared" si="127"/>
        <v>0</v>
      </c>
      <c r="AW270" s="1791">
        <f t="shared" si="128"/>
        <v>0</v>
      </c>
      <c r="AX270" s="1791">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1"/>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2"/>
      <c r="AV271" s="1791">
        <f t="shared" si="127"/>
        <v>0</v>
      </c>
      <c r="AW271" s="1791">
        <f t="shared" si="128"/>
        <v>0</v>
      </c>
      <c r="AX271" s="1791">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1"/>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2"/>
      <c r="AV272" s="1791">
        <f t="shared" si="127"/>
        <v>0</v>
      </c>
      <c r="AW272" s="1791">
        <f t="shared" si="128"/>
        <v>0</v>
      </c>
      <c r="AX272" s="1791">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1"/>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2"/>
      <c r="AV273" s="1791">
        <f t="shared" si="127"/>
        <v>0</v>
      </c>
      <c r="AW273" s="1791">
        <f t="shared" si="128"/>
        <v>0</v>
      </c>
      <c r="AX273" s="1791">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1"/>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2"/>
      <c r="AV274" s="1791">
        <f t="shared" si="127"/>
        <v>0</v>
      </c>
      <c r="AW274" s="1791">
        <f t="shared" si="128"/>
        <v>0</v>
      </c>
      <c r="AX274" s="1791">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1"/>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2"/>
      <c r="AV275" s="1791">
        <f t="shared" si="127"/>
        <v>0</v>
      </c>
      <c r="AW275" s="1791">
        <f t="shared" si="128"/>
        <v>0</v>
      </c>
      <c r="AX275" s="1791">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1"/>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2"/>
      <c r="AV276" s="1791">
        <f t="shared" si="127"/>
        <v>0</v>
      </c>
      <c r="AW276" s="1791">
        <f t="shared" si="128"/>
        <v>0</v>
      </c>
      <c r="AX276" s="1791">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1"/>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2"/>
      <c r="AV277" s="1791">
        <f t="shared" si="127"/>
        <v>0</v>
      </c>
      <c r="AW277" s="1791">
        <f t="shared" si="128"/>
        <v>0</v>
      </c>
      <c r="AX277" s="1791">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1"/>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2"/>
      <c r="AV278" s="1791">
        <f t="shared" si="127"/>
        <v>0</v>
      </c>
      <c r="AW278" s="1791">
        <f t="shared" si="128"/>
        <v>0</v>
      </c>
      <c r="AX278" s="1791">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1"/>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2"/>
      <c r="AV279" s="1791">
        <f t="shared" si="127"/>
        <v>0</v>
      </c>
      <c r="AW279" s="1791">
        <f t="shared" si="128"/>
        <v>0</v>
      </c>
      <c r="AX279" s="1791">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1"/>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2"/>
      <c r="AV280" s="1791">
        <f t="shared" si="127"/>
        <v>0</v>
      </c>
      <c r="AW280" s="1791">
        <f t="shared" si="128"/>
        <v>0</v>
      </c>
      <c r="AX280" s="1791">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1"/>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2"/>
      <c r="AV281" s="1791">
        <f t="shared" si="127"/>
        <v>0</v>
      </c>
      <c r="AW281" s="1791">
        <f t="shared" si="128"/>
        <v>0</v>
      </c>
      <c r="AX281" s="1791">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1"/>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2"/>
      <c r="AV282" s="1791">
        <f t="shared" si="127"/>
        <v>0</v>
      </c>
      <c r="AW282" s="1791">
        <f t="shared" si="128"/>
        <v>0</v>
      </c>
      <c r="AX282" s="1791">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1"/>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2"/>
      <c r="AV283" s="1791">
        <f t="shared" si="127"/>
        <v>0</v>
      </c>
      <c r="AW283" s="1791">
        <f t="shared" si="128"/>
        <v>0</v>
      </c>
      <c r="AX283" s="1791">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1"/>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2"/>
      <c r="AV284" s="1791">
        <f t="shared" si="127"/>
        <v>0</v>
      </c>
      <c r="AW284" s="1791">
        <f t="shared" si="128"/>
        <v>0</v>
      </c>
      <c r="AX284" s="1791">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1"/>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2"/>
      <c r="AV285" s="1791">
        <f t="shared" si="127"/>
        <v>0</v>
      </c>
      <c r="AW285" s="1791">
        <f t="shared" si="128"/>
        <v>0</v>
      </c>
      <c r="AX285" s="1791">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1"/>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2"/>
      <c r="AV286" s="1791">
        <f t="shared" si="127"/>
        <v>0</v>
      </c>
      <c r="AW286" s="1791">
        <f t="shared" si="128"/>
        <v>0</v>
      </c>
      <c r="AX286" s="1791">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1"/>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2"/>
      <c r="AV287" s="1791">
        <f t="shared" si="127"/>
        <v>0</v>
      </c>
      <c r="AW287" s="1791">
        <f t="shared" si="128"/>
        <v>0</v>
      </c>
      <c r="AX287" s="1791">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1"/>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2"/>
      <c r="AV288" s="1791">
        <f t="shared" si="127"/>
        <v>0</v>
      </c>
      <c r="AW288" s="1791">
        <f t="shared" si="128"/>
        <v>0</v>
      </c>
      <c r="AX288" s="1791">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1"/>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2"/>
      <c r="AV289" s="1791">
        <f t="shared" si="127"/>
        <v>0</v>
      </c>
      <c r="AW289" s="1791">
        <f t="shared" si="128"/>
        <v>0</v>
      </c>
      <c r="AX289" s="1791">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1"/>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2"/>
      <c r="AV290" s="1791">
        <f t="shared" si="127"/>
        <v>0</v>
      </c>
      <c r="AW290" s="1791">
        <f t="shared" si="128"/>
        <v>0</v>
      </c>
      <c r="AX290" s="1791">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1"/>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2"/>
      <c r="AV291" s="1791">
        <f t="shared" si="127"/>
        <v>0</v>
      </c>
      <c r="AW291" s="1791">
        <f t="shared" si="128"/>
        <v>0</v>
      </c>
      <c r="AX291" s="1791">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1"/>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2"/>
      <c r="AV292" s="1791">
        <f t="shared" si="127"/>
        <v>0</v>
      </c>
      <c r="AW292" s="1791">
        <f t="shared" si="128"/>
        <v>0</v>
      </c>
      <c r="AX292" s="1791">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1"/>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2"/>
      <c r="AV293" s="1791">
        <f t="shared" si="127"/>
        <v>0</v>
      </c>
      <c r="AW293" s="1791">
        <f t="shared" si="128"/>
        <v>0</v>
      </c>
      <c r="AX293" s="1791">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1"/>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2"/>
      <c r="AV294" s="1791">
        <f t="shared" si="127"/>
        <v>0</v>
      </c>
      <c r="AW294" s="1791">
        <f t="shared" si="128"/>
        <v>0</v>
      </c>
      <c r="AX294" s="1791">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1"/>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2"/>
      <c r="AV295" s="1791">
        <f t="shared" si="127"/>
        <v>0</v>
      </c>
      <c r="AW295" s="1791">
        <f t="shared" si="128"/>
        <v>0</v>
      </c>
      <c r="AX295" s="1791">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1"/>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2"/>
      <c r="AV296" s="1791">
        <f t="shared" si="127"/>
        <v>0</v>
      </c>
      <c r="AW296" s="1791">
        <f t="shared" si="128"/>
        <v>0</v>
      </c>
      <c r="AX296" s="1791">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1"/>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2"/>
      <c r="AV297" s="1791">
        <f t="shared" si="127"/>
        <v>0</v>
      </c>
      <c r="AW297" s="1791">
        <f t="shared" si="128"/>
        <v>0</v>
      </c>
      <c r="AX297" s="1791">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1"/>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2"/>
      <c r="AV298" s="1791">
        <f t="shared" si="127"/>
        <v>0</v>
      </c>
      <c r="AW298" s="1791">
        <f t="shared" si="128"/>
        <v>0</v>
      </c>
      <c r="AX298" s="1791">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1"/>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2"/>
      <c r="AV299" s="1791">
        <f t="shared" si="127"/>
        <v>0</v>
      </c>
      <c r="AW299" s="1791">
        <f t="shared" si="128"/>
        <v>0</v>
      </c>
      <c r="AX299" s="1791">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1"/>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7"/>
      <c r="AV300" s="1791">
        <f t="shared" si="127"/>
        <v>0</v>
      </c>
      <c r="AW300" s="1791">
        <f t="shared" si="128"/>
        <v>0</v>
      </c>
      <c r="AX300" s="1791">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1"/>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7"/>
      <c r="AV301" s="1791">
        <f t="shared" si="127"/>
        <v>0</v>
      </c>
      <c r="AW301" s="1791">
        <f t="shared" si="128"/>
        <v>0</v>
      </c>
      <c r="AX301" s="1791">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1"/>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7"/>
      <c r="AV302" s="1791">
        <f t="shared" si="127"/>
        <v>0</v>
      </c>
      <c r="AW302" s="1791">
        <f t="shared" si="128"/>
        <v>0</v>
      </c>
      <c r="AX302" s="1791">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1"/>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2"/>
      <c r="AV303" s="1791">
        <f t="shared" ref="AV303:AV334" si="178">A303</f>
        <v>0</v>
      </c>
      <c r="AW303" s="1791">
        <f t="shared" ref="AW303:AW334" si="179">B303</f>
        <v>0</v>
      </c>
      <c r="AX303" s="1791">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1"/>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2"/>
      <c r="AV304" s="1791">
        <f t="shared" si="178"/>
        <v>0</v>
      </c>
      <c r="AW304" s="1791">
        <f t="shared" si="179"/>
        <v>0</v>
      </c>
      <c r="AX304" s="1791">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1"/>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2"/>
      <c r="AV305" s="1791">
        <f t="shared" si="178"/>
        <v>0</v>
      </c>
      <c r="AW305" s="1791">
        <f t="shared" si="179"/>
        <v>0</v>
      </c>
      <c r="AX305" s="1791">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1"/>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2"/>
      <c r="AV306" s="1791">
        <f t="shared" si="178"/>
        <v>0</v>
      </c>
      <c r="AW306" s="1791">
        <f t="shared" si="179"/>
        <v>0</v>
      </c>
      <c r="AX306" s="1791">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1"/>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2"/>
      <c r="AV307" s="1791">
        <f t="shared" si="178"/>
        <v>0</v>
      </c>
      <c r="AW307" s="1791">
        <f t="shared" si="179"/>
        <v>0</v>
      </c>
      <c r="AX307" s="1791">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1"/>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2"/>
      <c r="AV308" s="1791">
        <f t="shared" si="178"/>
        <v>0</v>
      </c>
      <c r="AW308" s="1791">
        <f t="shared" si="179"/>
        <v>0</v>
      </c>
      <c r="AX308" s="1791">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1"/>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2"/>
      <c r="AV309" s="1791">
        <f t="shared" si="178"/>
        <v>0</v>
      </c>
      <c r="AW309" s="1791">
        <f t="shared" si="179"/>
        <v>0</v>
      </c>
      <c r="AX309" s="1791">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1"/>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2"/>
      <c r="AV310" s="1791">
        <f t="shared" si="178"/>
        <v>0</v>
      </c>
      <c r="AW310" s="1791">
        <f t="shared" si="179"/>
        <v>0</v>
      </c>
      <c r="AX310" s="1791">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1"/>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2"/>
      <c r="AV311" s="1791">
        <f t="shared" si="178"/>
        <v>0</v>
      </c>
      <c r="AW311" s="1791">
        <f t="shared" si="179"/>
        <v>0</v>
      </c>
      <c r="AX311" s="1791">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1"/>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2"/>
      <c r="AV312" s="1791">
        <f t="shared" si="178"/>
        <v>0</v>
      </c>
      <c r="AW312" s="1791">
        <f t="shared" si="179"/>
        <v>0</v>
      </c>
      <c r="AX312" s="1791">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1"/>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2"/>
      <c r="AV313" s="1791">
        <f t="shared" si="178"/>
        <v>0</v>
      </c>
      <c r="AW313" s="1791">
        <f t="shared" si="179"/>
        <v>0</v>
      </c>
      <c r="AX313" s="1791">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1"/>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2"/>
      <c r="AV314" s="1791">
        <f t="shared" si="178"/>
        <v>0</v>
      </c>
      <c r="AW314" s="1791">
        <f t="shared" si="179"/>
        <v>0</v>
      </c>
      <c r="AX314" s="1791">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1"/>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2"/>
      <c r="AV315" s="1791">
        <f t="shared" si="178"/>
        <v>0</v>
      </c>
      <c r="AW315" s="1791">
        <f t="shared" si="179"/>
        <v>0</v>
      </c>
      <c r="AX315" s="1791">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1"/>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2"/>
      <c r="AV316" s="1791">
        <f t="shared" si="178"/>
        <v>0</v>
      </c>
      <c r="AW316" s="1791">
        <f t="shared" si="179"/>
        <v>0</v>
      </c>
      <c r="AX316" s="1791">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1"/>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2"/>
      <c r="AV317" s="1791">
        <f t="shared" si="178"/>
        <v>0</v>
      </c>
      <c r="AW317" s="1791">
        <f t="shared" si="179"/>
        <v>0</v>
      </c>
      <c r="AX317" s="1791">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1"/>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2"/>
      <c r="AV318" s="1791">
        <f t="shared" si="178"/>
        <v>0</v>
      </c>
      <c r="AW318" s="1791">
        <f t="shared" si="179"/>
        <v>0</v>
      </c>
      <c r="AX318" s="1791">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1"/>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2"/>
      <c r="AV319" s="1791">
        <f t="shared" si="178"/>
        <v>0</v>
      </c>
      <c r="AW319" s="1791">
        <f t="shared" si="179"/>
        <v>0</v>
      </c>
      <c r="AX319" s="1791">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1"/>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2"/>
      <c r="AV320" s="1791">
        <f t="shared" si="178"/>
        <v>0</v>
      </c>
      <c r="AW320" s="1791">
        <f t="shared" si="179"/>
        <v>0</v>
      </c>
      <c r="AX320" s="1791">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1"/>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2"/>
      <c r="AV321" s="1791">
        <f t="shared" si="178"/>
        <v>0</v>
      </c>
      <c r="AW321" s="1791">
        <f t="shared" si="179"/>
        <v>0</v>
      </c>
      <c r="AX321" s="1791">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1"/>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2"/>
      <c r="AV322" s="1791">
        <f t="shared" si="178"/>
        <v>0</v>
      </c>
      <c r="AW322" s="1791">
        <f t="shared" si="179"/>
        <v>0</v>
      </c>
      <c r="AX322" s="1791">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1"/>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2"/>
      <c r="AV323" s="1791">
        <f t="shared" si="178"/>
        <v>0</v>
      </c>
      <c r="AW323" s="1791">
        <f t="shared" si="179"/>
        <v>0</v>
      </c>
      <c r="AX323" s="1791">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1"/>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2"/>
      <c r="AV324" s="1791">
        <f t="shared" si="178"/>
        <v>0</v>
      </c>
      <c r="AW324" s="1791">
        <f t="shared" si="179"/>
        <v>0</v>
      </c>
      <c r="AX324" s="1791">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1"/>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2"/>
      <c r="AV325" s="1791">
        <f t="shared" si="178"/>
        <v>0</v>
      </c>
      <c r="AW325" s="1791">
        <f t="shared" si="179"/>
        <v>0</v>
      </c>
      <c r="AX325" s="1791">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1"/>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2"/>
      <c r="AV326" s="1791">
        <f t="shared" si="178"/>
        <v>0</v>
      </c>
      <c r="AW326" s="1791">
        <f t="shared" si="179"/>
        <v>0</v>
      </c>
      <c r="AX326" s="1791">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1"/>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2"/>
      <c r="AV327" s="1791">
        <f t="shared" si="178"/>
        <v>0</v>
      </c>
      <c r="AW327" s="1791">
        <f t="shared" si="179"/>
        <v>0</v>
      </c>
      <c r="AX327" s="1791">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1"/>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2"/>
      <c r="AV328" s="1791">
        <f t="shared" si="178"/>
        <v>0</v>
      </c>
      <c r="AW328" s="1791">
        <f t="shared" si="179"/>
        <v>0</v>
      </c>
      <c r="AX328" s="1791">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1"/>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2"/>
      <c r="AV329" s="1791">
        <f t="shared" si="178"/>
        <v>0</v>
      </c>
      <c r="AW329" s="1791">
        <f t="shared" si="179"/>
        <v>0</v>
      </c>
      <c r="AX329" s="1791">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1"/>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2"/>
      <c r="AV330" s="1791">
        <f t="shared" si="178"/>
        <v>0</v>
      </c>
      <c r="AW330" s="1791">
        <f t="shared" si="179"/>
        <v>0</v>
      </c>
      <c r="AX330" s="1791">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1"/>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2"/>
      <c r="AV331" s="1791">
        <f t="shared" si="178"/>
        <v>0</v>
      </c>
      <c r="AW331" s="1791">
        <f t="shared" si="179"/>
        <v>0</v>
      </c>
      <c r="AX331" s="1791">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1"/>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2"/>
      <c r="AV332" s="1791">
        <f t="shared" si="178"/>
        <v>0</v>
      </c>
      <c r="AW332" s="1791">
        <f t="shared" si="179"/>
        <v>0</v>
      </c>
      <c r="AX332" s="1791">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1"/>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2"/>
      <c r="AV333" s="1791">
        <f t="shared" si="178"/>
        <v>0</v>
      </c>
      <c r="AW333" s="1791">
        <f t="shared" si="179"/>
        <v>0</v>
      </c>
      <c r="AX333" s="1791">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1"/>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2"/>
      <c r="AV334" s="1791">
        <f t="shared" si="178"/>
        <v>0</v>
      </c>
      <c r="AW334" s="1791">
        <f t="shared" si="179"/>
        <v>0</v>
      </c>
      <c r="AX334" s="1791">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1"/>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2"/>
      <c r="AV335" s="1791">
        <f t="shared" ref="AV335:AV366" si="207">A335</f>
        <v>0</v>
      </c>
      <c r="AW335" s="1791">
        <f t="shared" ref="AW335:AW366" si="208">B335</f>
        <v>0</v>
      </c>
      <c r="AX335" s="1791">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1"/>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2"/>
      <c r="AV336" s="1791">
        <f t="shared" si="207"/>
        <v>0</v>
      </c>
      <c r="AW336" s="1791">
        <f t="shared" si="208"/>
        <v>0</v>
      </c>
      <c r="AX336" s="1791">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1"/>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2"/>
      <c r="AV337" s="1791">
        <f t="shared" si="207"/>
        <v>0</v>
      </c>
      <c r="AW337" s="1791">
        <f t="shared" si="208"/>
        <v>0</v>
      </c>
      <c r="AX337" s="1791">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1"/>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2"/>
      <c r="AV338" s="1791">
        <f t="shared" si="207"/>
        <v>0</v>
      </c>
      <c r="AW338" s="1791">
        <f t="shared" si="208"/>
        <v>0</v>
      </c>
      <c r="AX338" s="1791">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1"/>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2"/>
      <c r="AV339" s="1791">
        <f t="shared" si="207"/>
        <v>0</v>
      </c>
      <c r="AW339" s="1791">
        <f t="shared" si="208"/>
        <v>0</v>
      </c>
      <c r="AX339" s="1791">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1"/>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2"/>
      <c r="AV340" s="1791">
        <f t="shared" si="207"/>
        <v>0</v>
      </c>
      <c r="AW340" s="1791">
        <f t="shared" si="208"/>
        <v>0</v>
      </c>
      <c r="AX340" s="1791">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1"/>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2"/>
      <c r="AV341" s="1791">
        <f t="shared" si="207"/>
        <v>0</v>
      </c>
      <c r="AW341" s="1791">
        <f t="shared" si="208"/>
        <v>0</v>
      </c>
      <c r="AX341" s="1791">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1"/>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2"/>
      <c r="AV342" s="1791">
        <f t="shared" si="207"/>
        <v>0</v>
      </c>
      <c r="AW342" s="1791">
        <f t="shared" si="208"/>
        <v>0</v>
      </c>
      <c r="AX342" s="1791">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1"/>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2"/>
      <c r="AV343" s="1791">
        <f t="shared" si="207"/>
        <v>0</v>
      </c>
      <c r="AW343" s="1791">
        <f t="shared" si="208"/>
        <v>0</v>
      </c>
      <c r="AX343" s="1791">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1"/>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2"/>
      <c r="AV344" s="1791">
        <f t="shared" si="207"/>
        <v>0</v>
      </c>
      <c r="AW344" s="1791">
        <f t="shared" si="208"/>
        <v>0</v>
      </c>
      <c r="AX344" s="1791">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1"/>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2"/>
      <c r="AV345" s="1791">
        <f t="shared" si="207"/>
        <v>0</v>
      </c>
      <c r="AW345" s="1791">
        <f t="shared" si="208"/>
        <v>0</v>
      </c>
      <c r="AX345" s="1791">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1"/>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2"/>
      <c r="AV346" s="1791">
        <f t="shared" si="207"/>
        <v>0</v>
      </c>
      <c r="AW346" s="1791">
        <f t="shared" si="208"/>
        <v>0</v>
      </c>
      <c r="AX346" s="1791">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1"/>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2"/>
      <c r="AV347" s="1791">
        <f t="shared" si="207"/>
        <v>0</v>
      </c>
      <c r="AW347" s="1791">
        <f t="shared" si="208"/>
        <v>0</v>
      </c>
      <c r="AX347" s="1791">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1"/>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2"/>
      <c r="AV348" s="1791">
        <f t="shared" si="207"/>
        <v>0</v>
      </c>
      <c r="AW348" s="1791">
        <f t="shared" si="208"/>
        <v>0</v>
      </c>
      <c r="AX348" s="1791">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1"/>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2"/>
      <c r="AV349" s="1791">
        <f t="shared" si="207"/>
        <v>0</v>
      </c>
      <c r="AW349" s="1791">
        <f t="shared" si="208"/>
        <v>0</v>
      </c>
      <c r="AX349" s="1791">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1"/>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2"/>
      <c r="AV350" s="1791">
        <f t="shared" si="207"/>
        <v>0</v>
      </c>
      <c r="AW350" s="1791">
        <f t="shared" si="208"/>
        <v>0</v>
      </c>
      <c r="AX350" s="1791">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1"/>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2"/>
      <c r="AV351" s="1791">
        <f t="shared" si="207"/>
        <v>0</v>
      </c>
      <c r="AW351" s="1791">
        <f t="shared" si="208"/>
        <v>0</v>
      </c>
      <c r="AX351" s="1791">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1"/>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2"/>
      <c r="AV352" s="1791">
        <f t="shared" si="207"/>
        <v>0</v>
      </c>
      <c r="AW352" s="1791">
        <f t="shared" si="208"/>
        <v>0</v>
      </c>
      <c r="AX352" s="1791">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1"/>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2"/>
      <c r="AV353" s="1791">
        <f t="shared" si="207"/>
        <v>0</v>
      </c>
      <c r="AW353" s="1791">
        <f t="shared" si="208"/>
        <v>0</v>
      </c>
      <c r="AX353" s="1791">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1"/>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2"/>
      <c r="AV354" s="1791">
        <f t="shared" si="207"/>
        <v>0</v>
      </c>
      <c r="AW354" s="1791">
        <f t="shared" si="208"/>
        <v>0</v>
      </c>
      <c r="AX354" s="1791">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1"/>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2"/>
      <c r="AV355" s="1791">
        <f t="shared" si="207"/>
        <v>0</v>
      </c>
      <c r="AW355" s="1791">
        <f t="shared" si="208"/>
        <v>0</v>
      </c>
      <c r="AX355" s="1791">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1"/>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2"/>
      <c r="AV356" s="1791">
        <f t="shared" si="207"/>
        <v>0</v>
      </c>
      <c r="AW356" s="1791">
        <f t="shared" si="208"/>
        <v>0</v>
      </c>
      <c r="AX356" s="1791">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1"/>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2"/>
      <c r="AV357" s="1791">
        <f t="shared" si="207"/>
        <v>0</v>
      </c>
      <c r="AW357" s="1791">
        <f t="shared" si="208"/>
        <v>0</v>
      </c>
      <c r="AX357" s="1791">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1"/>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2"/>
      <c r="AV358" s="1791">
        <f t="shared" si="207"/>
        <v>0</v>
      </c>
      <c r="AW358" s="1791">
        <f t="shared" si="208"/>
        <v>0</v>
      </c>
      <c r="AX358" s="1791">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1"/>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2"/>
      <c r="AV359" s="1791">
        <f t="shared" si="207"/>
        <v>0</v>
      </c>
      <c r="AW359" s="1791">
        <f t="shared" si="208"/>
        <v>0</v>
      </c>
      <c r="AX359" s="1791">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1"/>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2"/>
      <c r="AV360" s="1791">
        <f t="shared" si="207"/>
        <v>0</v>
      </c>
      <c r="AW360" s="1791">
        <f t="shared" si="208"/>
        <v>0</v>
      </c>
      <c r="AX360" s="1791">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1"/>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2"/>
      <c r="AV361" s="1791">
        <f t="shared" si="207"/>
        <v>0</v>
      </c>
      <c r="AW361" s="1791">
        <f t="shared" si="208"/>
        <v>0</v>
      </c>
      <c r="AX361" s="1791">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1"/>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2"/>
      <c r="AV362" s="1791">
        <f t="shared" si="207"/>
        <v>0</v>
      </c>
      <c r="AW362" s="1791">
        <f t="shared" si="208"/>
        <v>0</v>
      </c>
      <c r="AX362" s="1791">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1"/>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2"/>
      <c r="AV363" s="1791">
        <f t="shared" si="207"/>
        <v>0</v>
      </c>
      <c r="AW363" s="1791">
        <f t="shared" si="208"/>
        <v>0</v>
      </c>
      <c r="AX363" s="1791">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1"/>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2"/>
      <c r="AV364" s="1791">
        <f t="shared" si="207"/>
        <v>0</v>
      </c>
      <c r="AW364" s="1791">
        <f t="shared" si="208"/>
        <v>0</v>
      </c>
      <c r="AX364" s="1791">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1"/>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2"/>
      <c r="AV365" s="1791">
        <f t="shared" si="207"/>
        <v>0</v>
      </c>
      <c r="AW365" s="1791">
        <f t="shared" si="208"/>
        <v>0</v>
      </c>
      <c r="AX365" s="1791">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1"/>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2"/>
      <c r="AV366" s="1791">
        <f t="shared" si="207"/>
        <v>0</v>
      </c>
      <c r="AW366" s="1791">
        <f t="shared" si="208"/>
        <v>0</v>
      </c>
      <c r="AX366" s="1791">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1"/>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2"/>
      <c r="AV367" s="1791">
        <f t="shared" ref="AV367:AV397" si="236">A367</f>
        <v>0</v>
      </c>
      <c r="AW367" s="1791">
        <f t="shared" ref="AW367:AW397" si="237">B367</f>
        <v>0</v>
      </c>
      <c r="AX367" s="1791">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1"/>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2"/>
      <c r="AV368" s="1791">
        <f t="shared" si="236"/>
        <v>0</v>
      </c>
      <c r="AW368" s="1791">
        <f t="shared" si="237"/>
        <v>0</v>
      </c>
      <c r="AX368" s="1791">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1"/>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2"/>
      <c r="AV369" s="1791">
        <f t="shared" si="236"/>
        <v>0</v>
      </c>
      <c r="AW369" s="1791">
        <f t="shared" si="237"/>
        <v>0</v>
      </c>
      <c r="AX369" s="1791">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1"/>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2"/>
      <c r="AV370" s="1791">
        <f t="shared" si="236"/>
        <v>0</v>
      </c>
      <c r="AW370" s="1791">
        <f t="shared" si="237"/>
        <v>0</v>
      </c>
      <c r="AX370" s="1791">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1"/>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2"/>
      <c r="AV371" s="1791">
        <f t="shared" si="236"/>
        <v>0</v>
      </c>
      <c r="AW371" s="1791">
        <f t="shared" si="237"/>
        <v>0</v>
      </c>
      <c r="AX371" s="1791">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1"/>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2"/>
      <c r="AV372" s="1791">
        <f t="shared" si="236"/>
        <v>0</v>
      </c>
      <c r="AW372" s="1791">
        <f t="shared" si="237"/>
        <v>0</v>
      </c>
      <c r="AX372" s="1791">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1"/>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2"/>
      <c r="AV373" s="1791">
        <f t="shared" si="236"/>
        <v>0</v>
      </c>
      <c r="AW373" s="1791">
        <f t="shared" si="237"/>
        <v>0</v>
      </c>
      <c r="AX373" s="1791">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1"/>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2"/>
      <c r="AV374" s="1791">
        <f t="shared" si="236"/>
        <v>0</v>
      </c>
      <c r="AW374" s="1791">
        <f t="shared" si="237"/>
        <v>0</v>
      </c>
      <c r="AX374" s="1791">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1"/>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2"/>
      <c r="AV375" s="1791">
        <f t="shared" si="236"/>
        <v>0</v>
      </c>
      <c r="AW375" s="1791">
        <f t="shared" si="237"/>
        <v>0</v>
      </c>
      <c r="AX375" s="1791">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1"/>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2"/>
      <c r="AV376" s="1791">
        <f t="shared" si="236"/>
        <v>0</v>
      </c>
      <c r="AW376" s="1791">
        <f t="shared" si="237"/>
        <v>0</v>
      </c>
      <c r="AX376" s="1791">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1"/>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2"/>
      <c r="AV377" s="1791">
        <f t="shared" si="236"/>
        <v>0</v>
      </c>
      <c r="AW377" s="1791">
        <f t="shared" si="237"/>
        <v>0</v>
      </c>
      <c r="AX377" s="1791">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1"/>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2"/>
      <c r="AV378" s="1791">
        <f t="shared" si="236"/>
        <v>0</v>
      </c>
      <c r="AW378" s="1791">
        <f t="shared" si="237"/>
        <v>0</v>
      </c>
      <c r="AX378" s="1791">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1"/>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2"/>
      <c r="AV379" s="1791">
        <f t="shared" si="236"/>
        <v>0</v>
      </c>
      <c r="AW379" s="1791">
        <f t="shared" si="237"/>
        <v>0</v>
      </c>
      <c r="AX379" s="1791">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1"/>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2"/>
      <c r="AV380" s="1791">
        <f t="shared" si="236"/>
        <v>0</v>
      </c>
      <c r="AW380" s="1791">
        <f t="shared" si="237"/>
        <v>0</v>
      </c>
      <c r="AX380" s="1791">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1"/>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2"/>
      <c r="AV381" s="1791">
        <f t="shared" si="236"/>
        <v>0</v>
      </c>
      <c r="AW381" s="1791">
        <f t="shared" si="237"/>
        <v>0</v>
      </c>
      <c r="AX381" s="1791">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1"/>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2"/>
      <c r="AV382" s="1791">
        <f t="shared" si="236"/>
        <v>0</v>
      </c>
      <c r="AW382" s="1791">
        <f t="shared" si="237"/>
        <v>0</v>
      </c>
      <c r="AX382" s="1791">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1"/>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2"/>
      <c r="AV383" s="1791">
        <f t="shared" si="236"/>
        <v>0</v>
      </c>
      <c r="AW383" s="1791">
        <f t="shared" si="237"/>
        <v>0</v>
      </c>
      <c r="AX383" s="1791">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1"/>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2"/>
      <c r="AV384" s="1791">
        <f t="shared" si="236"/>
        <v>0</v>
      </c>
      <c r="AW384" s="1791">
        <f t="shared" si="237"/>
        <v>0</v>
      </c>
      <c r="AX384" s="1791">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1"/>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2"/>
      <c r="AV385" s="1791">
        <f t="shared" si="236"/>
        <v>0</v>
      </c>
      <c r="AW385" s="1791">
        <f t="shared" si="237"/>
        <v>0</v>
      </c>
      <c r="AX385" s="1791">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1"/>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2"/>
      <c r="AV386" s="1791">
        <f t="shared" si="236"/>
        <v>0</v>
      </c>
      <c r="AW386" s="1791">
        <f t="shared" si="237"/>
        <v>0</v>
      </c>
      <c r="AX386" s="1791">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1"/>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2"/>
      <c r="AV387" s="1791">
        <f t="shared" si="236"/>
        <v>0</v>
      </c>
      <c r="AW387" s="1791">
        <f t="shared" si="237"/>
        <v>0</v>
      </c>
      <c r="AX387" s="1791">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1"/>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2"/>
      <c r="AV388" s="1791">
        <f t="shared" si="236"/>
        <v>0</v>
      </c>
      <c r="AW388" s="1791">
        <f t="shared" si="237"/>
        <v>0</v>
      </c>
      <c r="AX388" s="1791">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1"/>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2"/>
      <c r="AV389" s="1791">
        <f t="shared" si="236"/>
        <v>0</v>
      </c>
      <c r="AW389" s="1791">
        <f t="shared" si="237"/>
        <v>0</v>
      </c>
      <c r="AX389" s="1791">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1"/>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2"/>
      <c r="AV390" s="1791">
        <f t="shared" si="236"/>
        <v>0</v>
      </c>
      <c r="AW390" s="1791">
        <f t="shared" si="237"/>
        <v>0</v>
      </c>
      <c r="AX390" s="1791">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1"/>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2"/>
      <c r="AV391" s="1791">
        <f t="shared" si="236"/>
        <v>0</v>
      </c>
      <c r="AW391" s="1791">
        <f t="shared" si="237"/>
        <v>0</v>
      </c>
      <c r="AX391" s="1791">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1"/>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2"/>
      <c r="AV392" s="1791">
        <f t="shared" si="236"/>
        <v>0</v>
      </c>
      <c r="AW392" s="1791">
        <f t="shared" si="237"/>
        <v>0</v>
      </c>
      <c r="AX392" s="1791">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1"/>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2"/>
      <c r="AV393" s="1791">
        <f t="shared" si="236"/>
        <v>0</v>
      </c>
      <c r="AW393" s="1791">
        <f t="shared" si="237"/>
        <v>0</v>
      </c>
      <c r="AX393" s="1791">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1"/>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2"/>
      <c r="AV394" s="1791">
        <f t="shared" si="236"/>
        <v>0</v>
      </c>
      <c r="AW394" s="1791">
        <f t="shared" si="237"/>
        <v>0</v>
      </c>
      <c r="AX394" s="1791">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1"/>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7"/>
      <c r="AV395" s="1791">
        <f t="shared" si="236"/>
        <v>0</v>
      </c>
      <c r="AW395" s="1791">
        <f t="shared" si="237"/>
        <v>0</v>
      </c>
      <c r="AX395" s="1791">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1"/>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7"/>
      <c r="AV396" s="1791">
        <f t="shared" si="236"/>
        <v>0</v>
      </c>
      <c r="AW396" s="1791">
        <f t="shared" si="237"/>
        <v>0</v>
      </c>
      <c r="AX396" s="1791">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1"/>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7"/>
      <c r="AV397" s="1791">
        <f t="shared" si="236"/>
        <v>0</v>
      </c>
      <c r="AW397" s="1791">
        <f t="shared" si="237"/>
        <v>0</v>
      </c>
      <c r="AX397" s="1791">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1"/>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2"/>
      <c r="AV398" s="1791">
        <f t="shared" ref="AV398:AV492" si="243">A398</f>
        <v>0</v>
      </c>
      <c r="AW398" s="1791">
        <f t="shared" ref="AW398:AW492" si="244">B398</f>
        <v>0</v>
      </c>
      <c r="AX398" s="1791">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1"/>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2"/>
      <c r="AV399" s="1791">
        <f t="shared" si="243"/>
        <v>0</v>
      </c>
      <c r="AW399" s="1791">
        <f t="shared" si="244"/>
        <v>0</v>
      </c>
      <c r="AX399" s="1791">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1"/>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2"/>
      <c r="AV400" s="1791">
        <f t="shared" si="243"/>
        <v>0</v>
      </c>
      <c r="AW400" s="1791">
        <f t="shared" si="244"/>
        <v>0</v>
      </c>
      <c r="AX400" s="1791">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1"/>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2"/>
      <c r="AV401" s="1791">
        <f t="shared" si="243"/>
        <v>0</v>
      </c>
      <c r="AW401" s="1791">
        <f t="shared" si="244"/>
        <v>0</v>
      </c>
      <c r="AX401" s="1791">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1"/>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2"/>
      <c r="AV402" s="1791">
        <f t="shared" si="243"/>
        <v>0</v>
      </c>
      <c r="AW402" s="1791">
        <f t="shared" si="244"/>
        <v>0</v>
      </c>
      <c r="AX402" s="1791">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1"/>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2"/>
      <c r="AV403" s="1791">
        <f t="shared" si="243"/>
        <v>0</v>
      </c>
      <c r="AW403" s="1791">
        <f t="shared" si="244"/>
        <v>0</v>
      </c>
      <c r="AX403" s="1791">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1"/>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2"/>
      <c r="AV404" s="1791">
        <f t="shared" si="243"/>
        <v>0</v>
      </c>
      <c r="AW404" s="1791">
        <f t="shared" si="244"/>
        <v>0</v>
      </c>
      <c r="AX404" s="1791">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1"/>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2"/>
      <c r="AV405" s="1791">
        <f t="shared" si="243"/>
        <v>0</v>
      </c>
      <c r="AW405" s="1791">
        <f t="shared" si="244"/>
        <v>0</v>
      </c>
      <c r="AX405" s="1791">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1"/>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2"/>
      <c r="AV406" s="1791">
        <f t="shared" si="243"/>
        <v>0</v>
      </c>
      <c r="AW406" s="1791">
        <f t="shared" si="244"/>
        <v>0</v>
      </c>
      <c r="AX406" s="1791">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1"/>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2"/>
      <c r="AV407" s="1791">
        <f t="shared" si="243"/>
        <v>0</v>
      </c>
      <c r="AW407" s="1791">
        <f t="shared" si="244"/>
        <v>0</v>
      </c>
      <c r="AX407" s="1791">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1"/>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2"/>
      <c r="AV408" s="1791">
        <f t="shared" si="243"/>
        <v>0</v>
      </c>
      <c r="AW408" s="1791">
        <f t="shared" si="244"/>
        <v>0</v>
      </c>
      <c r="AX408" s="1791">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1"/>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2"/>
      <c r="AV409" s="1791">
        <f t="shared" si="243"/>
        <v>0</v>
      </c>
      <c r="AW409" s="1791">
        <f t="shared" si="244"/>
        <v>0</v>
      </c>
      <c r="AX409" s="1791">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1"/>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2"/>
      <c r="AV410" s="1791">
        <f t="shared" si="243"/>
        <v>0</v>
      </c>
      <c r="AW410" s="1791">
        <f t="shared" si="244"/>
        <v>0</v>
      </c>
      <c r="AX410" s="1791">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1"/>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2"/>
      <c r="AV411" s="1791">
        <f t="shared" si="243"/>
        <v>0</v>
      </c>
      <c r="AW411" s="1791">
        <f t="shared" si="244"/>
        <v>0</v>
      </c>
      <c r="AX411" s="1791">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1"/>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2"/>
      <c r="AV412" s="1791">
        <f t="shared" si="243"/>
        <v>0</v>
      </c>
      <c r="AW412" s="1791">
        <f t="shared" si="244"/>
        <v>0</v>
      </c>
      <c r="AX412" s="1791">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1"/>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2"/>
      <c r="AV413" s="1791">
        <f t="shared" si="243"/>
        <v>0</v>
      </c>
      <c r="AW413" s="1791">
        <f t="shared" si="244"/>
        <v>0</v>
      </c>
      <c r="AX413" s="1791">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1"/>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2"/>
      <c r="AV414" s="1791">
        <f t="shared" si="243"/>
        <v>0</v>
      </c>
      <c r="AW414" s="1791">
        <f t="shared" si="244"/>
        <v>0</v>
      </c>
      <c r="AX414" s="1791">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1"/>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2"/>
      <c r="AV415" s="1791">
        <f t="shared" si="243"/>
        <v>0</v>
      </c>
      <c r="AW415" s="1791">
        <f t="shared" si="244"/>
        <v>0</v>
      </c>
      <c r="AX415" s="1791">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1"/>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2"/>
      <c r="AV416" s="1791">
        <f t="shared" si="243"/>
        <v>0</v>
      </c>
      <c r="AW416" s="1791">
        <f t="shared" si="244"/>
        <v>0</v>
      </c>
      <c r="AX416" s="1791">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1"/>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2"/>
      <c r="AV417" s="1791">
        <f t="shared" si="243"/>
        <v>0</v>
      </c>
      <c r="AW417" s="1791">
        <f t="shared" si="244"/>
        <v>0</v>
      </c>
      <c r="AX417" s="1791">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1"/>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2"/>
      <c r="AV418" s="1791">
        <f t="shared" si="243"/>
        <v>0</v>
      </c>
      <c r="AW418" s="1791">
        <f t="shared" si="244"/>
        <v>0</v>
      </c>
      <c r="AX418" s="1791">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1"/>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2"/>
      <c r="AV419" s="1791">
        <f t="shared" si="243"/>
        <v>0</v>
      </c>
      <c r="AW419" s="1791">
        <f t="shared" si="244"/>
        <v>0</v>
      </c>
      <c r="AX419" s="1791">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1"/>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2"/>
      <c r="AV420" s="1791">
        <f t="shared" si="243"/>
        <v>0</v>
      </c>
      <c r="AW420" s="1791">
        <f t="shared" si="244"/>
        <v>0</v>
      </c>
      <c r="AX420" s="1791">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1"/>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2"/>
      <c r="AV421" s="1791">
        <f t="shared" si="243"/>
        <v>0</v>
      </c>
      <c r="AW421" s="1791">
        <f t="shared" si="244"/>
        <v>0</v>
      </c>
      <c r="AX421" s="1791">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1"/>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2"/>
      <c r="AV422" s="1791">
        <f t="shared" si="243"/>
        <v>0</v>
      </c>
      <c r="AW422" s="1791">
        <f t="shared" si="244"/>
        <v>0</v>
      </c>
      <c r="AX422" s="1791">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1"/>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2"/>
      <c r="AV423" s="1791">
        <f t="shared" si="243"/>
        <v>0</v>
      </c>
      <c r="AW423" s="1791">
        <f t="shared" si="244"/>
        <v>0</v>
      </c>
      <c r="AX423" s="1791">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1"/>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2"/>
      <c r="AV424" s="1791">
        <f t="shared" si="243"/>
        <v>0</v>
      </c>
      <c r="AW424" s="1791">
        <f t="shared" si="244"/>
        <v>0</v>
      </c>
      <c r="AX424" s="1791">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1"/>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2"/>
      <c r="AV425" s="1791">
        <f t="shared" si="243"/>
        <v>0</v>
      </c>
      <c r="AW425" s="1791">
        <f t="shared" si="244"/>
        <v>0</v>
      </c>
      <c r="AX425" s="1791">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1"/>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2"/>
      <c r="AV426" s="1791">
        <f t="shared" si="243"/>
        <v>0</v>
      </c>
      <c r="AW426" s="1791">
        <f t="shared" si="244"/>
        <v>0</v>
      </c>
      <c r="AX426" s="1791">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1"/>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2"/>
      <c r="AV427" s="1791">
        <f t="shared" si="243"/>
        <v>0</v>
      </c>
      <c r="AW427" s="1791">
        <f t="shared" si="244"/>
        <v>0</v>
      </c>
      <c r="AX427" s="1791">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1"/>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2"/>
      <c r="AV428" s="1791">
        <f t="shared" si="243"/>
        <v>0</v>
      </c>
      <c r="AW428" s="1791">
        <f t="shared" si="244"/>
        <v>0</v>
      </c>
      <c r="AX428" s="1791">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1"/>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2"/>
      <c r="AV429" s="1791">
        <f t="shared" si="243"/>
        <v>0</v>
      </c>
      <c r="AW429" s="1791">
        <f t="shared" si="244"/>
        <v>0</v>
      </c>
      <c r="AX429" s="1791">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1"/>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2"/>
      <c r="AV430" s="1791">
        <f t="shared" si="243"/>
        <v>0</v>
      </c>
      <c r="AW430" s="1791">
        <f t="shared" si="244"/>
        <v>0</v>
      </c>
      <c r="AX430" s="1791">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1"/>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2"/>
      <c r="AV431" s="1791">
        <f t="shared" si="243"/>
        <v>0</v>
      </c>
      <c r="AW431" s="1791">
        <f t="shared" si="244"/>
        <v>0</v>
      </c>
      <c r="AX431" s="1791">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1"/>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2"/>
      <c r="AV432" s="1791">
        <f t="shared" si="243"/>
        <v>0</v>
      </c>
      <c r="AW432" s="1791">
        <f t="shared" si="244"/>
        <v>0</v>
      </c>
      <c r="AX432" s="1791">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1"/>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2"/>
      <c r="AV433" s="1791">
        <f t="shared" si="243"/>
        <v>0</v>
      </c>
      <c r="AW433" s="1791">
        <f t="shared" si="244"/>
        <v>0</v>
      </c>
      <c r="AX433" s="1791">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1"/>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2"/>
      <c r="AV434" s="1791">
        <f t="shared" si="243"/>
        <v>0</v>
      </c>
      <c r="AW434" s="1791">
        <f t="shared" si="244"/>
        <v>0</v>
      </c>
      <c r="AX434" s="1791">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1"/>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2"/>
      <c r="AV435" s="1791">
        <f t="shared" si="243"/>
        <v>0</v>
      </c>
      <c r="AW435" s="1791">
        <f t="shared" si="244"/>
        <v>0</v>
      </c>
      <c r="AX435" s="1791">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1"/>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2"/>
      <c r="AV436" s="1791">
        <f t="shared" si="243"/>
        <v>0</v>
      </c>
      <c r="AW436" s="1791">
        <f t="shared" si="244"/>
        <v>0</v>
      </c>
      <c r="AX436" s="1791">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1"/>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2"/>
      <c r="AV437" s="1791">
        <f t="shared" si="243"/>
        <v>0</v>
      </c>
      <c r="AW437" s="1791">
        <f t="shared" si="244"/>
        <v>0</v>
      </c>
      <c r="AX437" s="1791">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1"/>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2"/>
      <c r="AV438" s="1791">
        <f t="shared" si="243"/>
        <v>0</v>
      </c>
      <c r="AW438" s="1791">
        <f t="shared" si="244"/>
        <v>0</v>
      </c>
      <c r="AX438" s="1791">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1"/>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2"/>
      <c r="AV439" s="1791">
        <f t="shared" si="243"/>
        <v>0</v>
      </c>
      <c r="AW439" s="1791">
        <f t="shared" si="244"/>
        <v>0</v>
      </c>
      <c r="AX439" s="1791">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1"/>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2"/>
      <c r="AV440" s="1791">
        <f t="shared" si="243"/>
        <v>0</v>
      </c>
      <c r="AW440" s="1791">
        <f t="shared" si="244"/>
        <v>0</v>
      </c>
      <c r="AX440" s="1791">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1"/>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2"/>
      <c r="AV441" s="1791">
        <f t="shared" si="243"/>
        <v>0</v>
      </c>
      <c r="AW441" s="1791">
        <f t="shared" si="244"/>
        <v>0</v>
      </c>
      <c r="AX441" s="1791">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1"/>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2"/>
      <c r="AV442" s="1791">
        <f t="shared" si="243"/>
        <v>0</v>
      </c>
      <c r="AW442" s="1791">
        <f t="shared" si="244"/>
        <v>0</v>
      </c>
      <c r="AX442" s="1791">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1"/>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2"/>
      <c r="AV443" s="1791">
        <f t="shared" si="243"/>
        <v>0</v>
      </c>
      <c r="AW443" s="1791">
        <f t="shared" si="244"/>
        <v>0</v>
      </c>
      <c r="AX443" s="1791">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1"/>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2"/>
      <c r="AV444" s="1791">
        <f t="shared" si="243"/>
        <v>0</v>
      </c>
      <c r="AW444" s="1791">
        <f t="shared" si="244"/>
        <v>0</v>
      </c>
      <c r="AX444" s="1791">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1"/>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2"/>
      <c r="AV445" s="1791">
        <f t="shared" si="243"/>
        <v>0</v>
      </c>
      <c r="AW445" s="1791">
        <f t="shared" si="244"/>
        <v>0</v>
      </c>
      <c r="AX445" s="1791">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1"/>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2"/>
      <c r="AV446" s="1791">
        <f t="shared" si="243"/>
        <v>0</v>
      </c>
      <c r="AW446" s="1791">
        <f t="shared" si="244"/>
        <v>0</v>
      </c>
      <c r="AX446" s="1791">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1"/>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2"/>
      <c r="AV447" s="1791">
        <f t="shared" si="243"/>
        <v>0</v>
      </c>
      <c r="AW447" s="1791">
        <f t="shared" si="244"/>
        <v>0</v>
      </c>
      <c r="AX447" s="1791">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1"/>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2"/>
      <c r="AV448" s="1791">
        <f t="shared" si="243"/>
        <v>0</v>
      </c>
      <c r="AW448" s="1791">
        <f t="shared" si="244"/>
        <v>0</v>
      </c>
      <c r="AX448" s="1791">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1"/>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2"/>
      <c r="AV449" s="1791">
        <f t="shared" si="243"/>
        <v>0</v>
      </c>
      <c r="AW449" s="1791">
        <f t="shared" si="244"/>
        <v>0</v>
      </c>
      <c r="AX449" s="1791">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1"/>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2"/>
      <c r="AV450" s="1791">
        <f t="shared" si="243"/>
        <v>0</v>
      </c>
      <c r="AW450" s="1791">
        <f t="shared" si="244"/>
        <v>0</v>
      </c>
      <c r="AX450" s="1791">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1"/>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2"/>
      <c r="AV451" s="1791">
        <f t="shared" si="243"/>
        <v>0</v>
      </c>
      <c r="AW451" s="1791">
        <f t="shared" si="244"/>
        <v>0</v>
      </c>
      <c r="AX451" s="1791">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1"/>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2"/>
      <c r="AV452" s="1791">
        <f t="shared" si="243"/>
        <v>0</v>
      </c>
      <c r="AW452" s="1791">
        <f t="shared" si="244"/>
        <v>0</v>
      </c>
      <c r="AX452" s="1791">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1"/>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2"/>
      <c r="AV453" s="1791">
        <f t="shared" si="243"/>
        <v>0</v>
      </c>
      <c r="AW453" s="1791">
        <f t="shared" si="244"/>
        <v>0</v>
      </c>
      <c r="AX453" s="1791">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1"/>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2"/>
      <c r="AV454" s="1791">
        <f t="shared" si="243"/>
        <v>0</v>
      </c>
      <c r="AW454" s="1791">
        <f t="shared" si="244"/>
        <v>0</v>
      </c>
      <c r="AX454" s="1791">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1"/>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2"/>
      <c r="AV455" s="1791">
        <f t="shared" si="243"/>
        <v>0</v>
      </c>
      <c r="AW455" s="1791">
        <f t="shared" si="244"/>
        <v>0</v>
      </c>
      <c r="AX455" s="1791">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1"/>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2"/>
      <c r="AV456" s="1791">
        <f t="shared" si="243"/>
        <v>0</v>
      </c>
      <c r="AW456" s="1791">
        <f t="shared" si="244"/>
        <v>0</v>
      </c>
      <c r="AX456" s="1791">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1"/>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2"/>
      <c r="AV457" s="1791">
        <f t="shared" si="243"/>
        <v>0</v>
      </c>
      <c r="AW457" s="1791">
        <f t="shared" si="244"/>
        <v>0</v>
      </c>
      <c r="AX457" s="1791">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1"/>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2"/>
      <c r="AV458" s="1791">
        <f t="shared" si="243"/>
        <v>0</v>
      </c>
      <c r="AW458" s="1791">
        <f t="shared" si="244"/>
        <v>0</v>
      </c>
      <c r="AX458" s="1791">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1"/>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2"/>
      <c r="AV459" s="1791">
        <f t="shared" si="243"/>
        <v>0</v>
      </c>
      <c r="AW459" s="1791">
        <f t="shared" si="244"/>
        <v>0</v>
      </c>
      <c r="AX459" s="1791">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1"/>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2"/>
      <c r="AV460" s="1791">
        <f t="shared" si="243"/>
        <v>0</v>
      </c>
      <c r="AW460" s="1791">
        <f t="shared" si="244"/>
        <v>0</v>
      </c>
      <c r="AX460" s="1791">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1"/>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2"/>
      <c r="AV461" s="1791">
        <f t="shared" si="243"/>
        <v>0</v>
      </c>
      <c r="AW461" s="1791">
        <f t="shared" si="244"/>
        <v>0</v>
      </c>
      <c r="AX461" s="1791">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1"/>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2"/>
      <c r="AV462" s="1791">
        <f t="shared" si="243"/>
        <v>0</v>
      </c>
      <c r="AW462" s="1791">
        <f t="shared" si="244"/>
        <v>0</v>
      </c>
      <c r="AX462" s="1791">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1"/>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2"/>
      <c r="AV463" s="1791">
        <f t="shared" si="243"/>
        <v>0</v>
      </c>
      <c r="AW463" s="1791">
        <f t="shared" si="244"/>
        <v>0</v>
      </c>
      <c r="AX463" s="1791">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1"/>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2"/>
      <c r="AV464" s="1791">
        <f t="shared" si="243"/>
        <v>0</v>
      </c>
      <c r="AW464" s="1791">
        <f t="shared" si="244"/>
        <v>0</v>
      </c>
      <c r="AX464" s="1791">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1"/>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2"/>
      <c r="AV465" s="1791">
        <f t="shared" si="243"/>
        <v>0</v>
      </c>
      <c r="AW465" s="1791">
        <f t="shared" si="244"/>
        <v>0</v>
      </c>
      <c r="AX465" s="1791">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1"/>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2"/>
      <c r="AV466" s="1791">
        <f t="shared" si="243"/>
        <v>0</v>
      </c>
      <c r="AW466" s="1791">
        <f t="shared" si="244"/>
        <v>0</v>
      </c>
      <c r="AX466" s="1791">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1"/>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2"/>
      <c r="AV467" s="1791">
        <f t="shared" si="243"/>
        <v>0</v>
      </c>
      <c r="AW467" s="1791">
        <f t="shared" si="244"/>
        <v>0</v>
      </c>
      <c r="AX467" s="1791">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1"/>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2"/>
      <c r="AV468" s="1791">
        <f t="shared" si="243"/>
        <v>0</v>
      </c>
      <c r="AW468" s="1791">
        <f t="shared" si="244"/>
        <v>0</v>
      </c>
      <c r="AX468" s="1791">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1"/>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2"/>
      <c r="AV469" s="1791">
        <f t="shared" si="243"/>
        <v>0</v>
      </c>
      <c r="AW469" s="1791">
        <f t="shared" si="244"/>
        <v>0</v>
      </c>
      <c r="AX469" s="1791">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1"/>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2"/>
      <c r="AV470" s="1791">
        <f t="shared" si="243"/>
        <v>0</v>
      </c>
      <c r="AW470" s="1791">
        <f t="shared" si="244"/>
        <v>0</v>
      </c>
      <c r="AX470" s="1791">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1"/>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2"/>
      <c r="AV471" s="1791">
        <f t="shared" si="243"/>
        <v>0</v>
      </c>
      <c r="AW471" s="1791">
        <f t="shared" si="244"/>
        <v>0</v>
      </c>
      <c r="AX471" s="1791">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1"/>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2"/>
      <c r="AV472" s="1791">
        <f t="shared" si="243"/>
        <v>0</v>
      </c>
      <c r="AW472" s="1791">
        <f t="shared" si="244"/>
        <v>0</v>
      </c>
      <c r="AX472" s="1791">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1"/>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2"/>
      <c r="AV473" s="1791">
        <f t="shared" si="243"/>
        <v>0</v>
      </c>
      <c r="AW473" s="1791">
        <f t="shared" si="244"/>
        <v>0</v>
      </c>
      <c r="AX473" s="1791">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1"/>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2"/>
      <c r="AV474" s="1791">
        <f t="shared" si="243"/>
        <v>0</v>
      </c>
      <c r="AW474" s="1791">
        <f t="shared" si="244"/>
        <v>0</v>
      </c>
      <c r="AX474" s="1791">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1"/>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2"/>
      <c r="AV475" s="1791">
        <f t="shared" si="243"/>
        <v>0</v>
      </c>
      <c r="AW475" s="1791">
        <f t="shared" si="244"/>
        <v>0</v>
      </c>
      <c r="AX475" s="1791">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1"/>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2"/>
      <c r="AV476" s="1791">
        <f t="shared" si="243"/>
        <v>0</v>
      </c>
      <c r="AW476" s="1791">
        <f t="shared" si="244"/>
        <v>0</v>
      </c>
      <c r="AX476" s="1791">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1"/>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2"/>
      <c r="AV477" s="1791">
        <f t="shared" si="243"/>
        <v>0</v>
      </c>
      <c r="AW477" s="1791">
        <f t="shared" si="244"/>
        <v>0</v>
      </c>
      <c r="AX477" s="1791">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1"/>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2"/>
      <c r="AV478" s="1791">
        <f t="shared" si="243"/>
        <v>0</v>
      </c>
      <c r="AW478" s="1791">
        <f t="shared" si="244"/>
        <v>0</v>
      </c>
      <c r="AX478" s="1791">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1"/>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2"/>
      <c r="AV479" s="1791">
        <f t="shared" si="243"/>
        <v>0</v>
      </c>
      <c r="AW479" s="1791">
        <f t="shared" si="244"/>
        <v>0</v>
      </c>
      <c r="AX479" s="1791">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1"/>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2"/>
      <c r="AV480" s="1791">
        <f t="shared" si="243"/>
        <v>0</v>
      </c>
      <c r="AW480" s="1791">
        <f t="shared" si="244"/>
        <v>0</v>
      </c>
      <c r="AX480" s="1791">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1"/>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2"/>
      <c r="AV481" s="1791">
        <f t="shared" si="243"/>
        <v>0</v>
      </c>
      <c r="AW481" s="1791">
        <f t="shared" si="244"/>
        <v>0</v>
      </c>
      <c r="AX481" s="1791">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1"/>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2"/>
      <c r="AV482" s="1791">
        <f t="shared" si="243"/>
        <v>0</v>
      </c>
      <c r="AW482" s="1791">
        <f t="shared" si="244"/>
        <v>0</v>
      </c>
      <c r="AX482" s="1791">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1"/>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2"/>
      <c r="AV483" s="1791">
        <f t="shared" si="243"/>
        <v>0</v>
      </c>
      <c r="AW483" s="1791">
        <f t="shared" si="244"/>
        <v>0</v>
      </c>
      <c r="AX483" s="1791">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1"/>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2"/>
      <c r="AV484" s="1791">
        <f t="shared" si="243"/>
        <v>0</v>
      </c>
      <c r="AW484" s="1791">
        <f t="shared" si="244"/>
        <v>0</v>
      </c>
      <c r="AX484" s="1791">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1"/>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2"/>
      <c r="AV485" s="1791">
        <f t="shared" si="243"/>
        <v>0</v>
      </c>
      <c r="AW485" s="1791">
        <f t="shared" si="244"/>
        <v>0</v>
      </c>
      <c r="AX485" s="1791">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1"/>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2"/>
      <c r="AV486" s="1791">
        <f t="shared" si="243"/>
        <v>0</v>
      </c>
      <c r="AW486" s="1791">
        <f t="shared" si="244"/>
        <v>0</v>
      </c>
      <c r="AX486" s="1791">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1"/>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2"/>
      <c r="AV487" s="1791">
        <f t="shared" si="243"/>
        <v>0</v>
      </c>
      <c r="AW487" s="1791">
        <f t="shared" si="244"/>
        <v>0</v>
      </c>
      <c r="AX487" s="1791">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1"/>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2"/>
      <c r="AV488" s="1791">
        <f t="shared" si="243"/>
        <v>0</v>
      </c>
      <c r="AW488" s="1791">
        <f t="shared" si="244"/>
        <v>0</v>
      </c>
      <c r="AX488" s="1791">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1"/>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2"/>
      <c r="AV489" s="1791">
        <f t="shared" si="243"/>
        <v>0</v>
      </c>
      <c r="AW489" s="1791">
        <f t="shared" si="244"/>
        <v>0</v>
      </c>
      <c r="AX489" s="1791">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1"/>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7"/>
      <c r="AV490" s="1791">
        <f t="shared" si="243"/>
        <v>0</v>
      </c>
      <c r="AW490" s="1791">
        <f t="shared" si="244"/>
        <v>0</v>
      </c>
      <c r="AX490" s="1791">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1"/>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7"/>
      <c r="AV491" s="1791">
        <f t="shared" si="243"/>
        <v>0</v>
      </c>
      <c r="AW491" s="1791">
        <f t="shared" si="244"/>
        <v>0</v>
      </c>
      <c r="AX491" s="1791">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1"/>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7"/>
      <c r="AV492" s="1791">
        <f t="shared" si="243"/>
        <v>0</v>
      </c>
      <c r="AW492" s="1791">
        <f t="shared" si="244"/>
        <v>0</v>
      </c>
      <c r="AX492" s="1791">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1"/>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2"/>
      <c r="AV493" s="1791">
        <f t="shared" ref="AV493:AV520" si="294">A493</f>
        <v>0</v>
      </c>
      <c r="AW493" s="1791">
        <f t="shared" ref="AW493:AW520" si="295">B493</f>
        <v>0</v>
      </c>
      <c r="AX493" s="1791">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1"/>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2"/>
      <c r="AV494" s="1791">
        <f t="shared" si="294"/>
        <v>0</v>
      </c>
      <c r="AW494" s="1791">
        <f t="shared" si="295"/>
        <v>0</v>
      </c>
      <c r="AX494" s="1791">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1"/>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2"/>
      <c r="AV495" s="1791">
        <f t="shared" si="294"/>
        <v>0</v>
      </c>
      <c r="AW495" s="1791">
        <f t="shared" si="295"/>
        <v>0</v>
      </c>
      <c r="AX495" s="1791">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1"/>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2"/>
      <c r="AV496" s="1791">
        <f t="shared" si="294"/>
        <v>0</v>
      </c>
      <c r="AW496" s="1791">
        <f t="shared" si="295"/>
        <v>0</v>
      </c>
      <c r="AX496" s="1791">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1"/>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2"/>
      <c r="AV497" s="1791">
        <f t="shared" si="294"/>
        <v>0</v>
      </c>
      <c r="AW497" s="1791">
        <f t="shared" si="295"/>
        <v>0</v>
      </c>
      <c r="AX497" s="1791">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1"/>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2"/>
      <c r="AV498" s="1791">
        <f t="shared" si="294"/>
        <v>0</v>
      </c>
      <c r="AW498" s="1791">
        <f t="shared" si="295"/>
        <v>0</v>
      </c>
      <c r="AX498" s="1791">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1"/>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2"/>
      <c r="AV499" s="1791">
        <f t="shared" si="294"/>
        <v>0</v>
      </c>
      <c r="AW499" s="1791">
        <f t="shared" si="295"/>
        <v>0</v>
      </c>
      <c r="AX499" s="1791">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1"/>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2"/>
      <c r="AV500" s="1791">
        <f t="shared" si="294"/>
        <v>0</v>
      </c>
      <c r="AW500" s="1791">
        <f t="shared" si="295"/>
        <v>0</v>
      </c>
      <c r="AX500" s="1791">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1"/>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2"/>
      <c r="AV501" s="1791">
        <f t="shared" si="294"/>
        <v>0</v>
      </c>
      <c r="AW501" s="1791">
        <f t="shared" si="295"/>
        <v>0</v>
      </c>
      <c r="AX501" s="1791">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1"/>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2"/>
      <c r="AV502" s="1791">
        <f t="shared" si="294"/>
        <v>0</v>
      </c>
      <c r="AW502" s="1791">
        <f t="shared" si="295"/>
        <v>0</v>
      </c>
      <c r="AX502" s="1791">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1"/>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2"/>
      <c r="AV503" s="1791">
        <f t="shared" si="294"/>
        <v>0</v>
      </c>
      <c r="AW503" s="1791">
        <f t="shared" si="295"/>
        <v>0</v>
      </c>
      <c r="AX503" s="1791">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1"/>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2"/>
      <c r="AV504" s="1791">
        <f t="shared" si="294"/>
        <v>0</v>
      </c>
      <c r="AW504" s="1791">
        <f t="shared" si="295"/>
        <v>0</v>
      </c>
      <c r="AX504" s="1791">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1"/>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2"/>
      <c r="AV505" s="1791">
        <f t="shared" si="294"/>
        <v>0</v>
      </c>
      <c r="AW505" s="1791">
        <f t="shared" si="295"/>
        <v>0</v>
      </c>
      <c r="AX505" s="1791">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1"/>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2"/>
      <c r="AV506" s="1791">
        <f t="shared" si="294"/>
        <v>0</v>
      </c>
      <c r="AW506" s="1791">
        <f t="shared" si="295"/>
        <v>0</v>
      </c>
      <c r="AX506" s="1791">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1"/>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2"/>
      <c r="AV507" s="1791">
        <f t="shared" si="294"/>
        <v>0</v>
      </c>
      <c r="AW507" s="1791">
        <f t="shared" si="295"/>
        <v>0</v>
      </c>
      <c r="AX507" s="1791">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1"/>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2"/>
      <c r="AV508" s="1791">
        <f t="shared" si="294"/>
        <v>0</v>
      </c>
      <c r="AW508" s="1791">
        <f t="shared" si="295"/>
        <v>0</v>
      </c>
      <c r="AX508" s="1791">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1"/>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2"/>
      <c r="AV509" s="1791">
        <f t="shared" si="294"/>
        <v>0</v>
      </c>
      <c r="AW509" s="1791">
        <f t="shared" si="295"/>
        <v>0</v>
      </c>
      <c r="AX509" s="1791">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1"/>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2"/>
      <c r="AV510" s="1791">
        <f t="shared" si="294"/>
        <v>0</v>
      </c>
      <c r="AW510" s="1791">
        <f t="shared" si="295"/>
        <v>0</v>
      </c>
      <c r="AX510" s="1791">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1"/>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2"/>
      <c r="AV511" s="1791">
        <f t="shared" si="294"/>
        <v>0</v>
      </c>
      <c r="AW511" s="1791">
        <f t="shared" si="295"/>
        <v>0</v>
      </c>
      <c r="AX511" s="1791">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1"/>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2"/>
      <c r="AV512" s="1791">
        <f t="shared" si="294"/>
        <v>0</v>
      </c>
      <c r="AW512" s="1791">
        <f t="shared" si="295"/>
        <v>0</v>
      </c>
      <c r="AX512" s="1791">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1"/>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2"/>
      <c r="AV513" s="1791">
        <f t="shared" si="294"/>
        <v>0</v>
      </c>
      <c r="AW513" s="1791">
        <f t="shared" si="295"/>
        <v>0</v>
      </c>
      <c r="AX513" s="1791">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1"/>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2"/>
      <c r="AV514" s="1791">
        <f t="shared" si="294"/>
        <v>0</v>
      </c>
      <c r="AW514" s="1791">
        <f t="shared" si="295"/>
        <v>0</v>
      </c>
      <c r="AX514" s="1791">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1"/>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2"/>
      <c r="AV515" s="1791">
        <f t="shared" si="294"/>
        <v>0</v>
      </c>
      <c r="AW515" s="1791">
        <f t="shared" si="295"/>
        <v>0</v>
      </c>
      <c r="AX515" s="1791">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1"/>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2"/>
      <c r="AV516" s="1791">
        <f t="shared" si="294"/>
        <v>0</v>
      </c>
      <c r="AW516" s="1791">
        <f t="shared" si="295"/>
        <v>0</v>
      </c>
      <c r="AX516" s="1791">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1"/>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2"/>
      <c r="AV517" s="1791">
        <f t="shared" si="294"/>
        <v>0</v>
      </c>
      <c r="AW517" s="1791">
        <f t="shared" si="295"/>
        <v>0</v>
      </c>
      <c r="AX517" s="1791">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1"/>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2"/>
      <c r="AV518" s="1791">
        <f t="shared" si="294"/>
        <v>0</v>
      </c>
      <c r="AW518" s="1791">
        <f t="shared" si="295"/>
        <v>0</v>
      </c>
      <c r="AX518" s="1791">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1"/>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2"/>
      <c r="AV519" s="1791">
        <f t="shared" si="294"/>
        <v>0</v>
      </c>
      <c r="AW519" s="1791">
        <f t="shared" si="295"/>
        <v>0</v>
      </c>
      <c r="AX519" s="1791">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1"/>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2"/>
      <c r="AV520" s="1791">
        <f t="shared" si="294"/>
        <v>0</v>
      </c>
      <c r="AW520" s="1791">
        <f t="shared" si="295"/>
        <v>0</v>
      </c>
      <c r="AX520" s="1791">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1"/>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2"/>
      <c r="AV521" s="1791">
        <f t="shared" ref="AV521:AV552" si="298">A521</f>
        <v>0</v>
      </c>
      <c r="AW521" s="1791">
        <f t="shared" ref="AW521:AW552" si="299">B521</f>
        <v>0</v>
      </c>
      <c r="AX521" s="1791">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1"/>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2"/>
      <c r="AV522" s="1791">
        <f t="shared" si="298"/>
        <v>0</v>
      </c>
      <c r="AW522" s="1791">
        <f t="shared" si="299"/>
        <v>0</v>
      </c>
      <c r="AX522" s="1791">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1"/>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2"/>
      <c r="AV523" s="1791">
        <f t="shared" si="298"/>
        <v>0</v>
      </c>
      <c r="AW523" s="1791">
        <f t="shared" si="299"/>
        <v>0</v>
      </c>
      <c r="AX523" s="1791">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1"/>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2"/>
      <c r="AV524" s="1791">
        <f t="shared" si="298"/>
        <v>0</v>
      </c>
      <c r="AW524" s="1791">
        <f t="shared" si="299"/>
        <v>0</v>
      </c>
      <c r="AX524" s="1791">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1"/>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2"/>
      <c r="AV525" s="1791">
        <f t="shared" si="298"/>
        <v>0</v>
      </c>
      <c r="AW525" s="1791">
        <f t="shared" si="299"/>
        <v>0</v>
      </c>
      <c r="AX525" s="1791">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1"/>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2"/>
      <c r="AV526" s="1791">
        <f t="shared" si="298"/>
        <v>0</v>
      </c>
      <c r="AW526" s="1791">
        <f t="shared" si="299"/>
        <v>0</v>
      </c>
      <c r="AX526" s="1791">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1"/>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2"/>
      <c r="AV527" s="1791">
        <f t="shared" si="298"/>
        <v>0</v>
      </c>
      <c r="AW527" s="1791">
        <f t="shared" si="299"/>
        <v>0</v>
      </c>
      <c r="AX527" s="1791">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1"/>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2"/>
      <c r="AV528" s="1791">
        <f t="shared" si="298"/>
        <v>0</v>
      </c>
      <c r="AW528" s="1791">
        <f t="shared" si="299"/>
        <v>0</v>
      </c>
      <c r="AX528" s="1791">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1"/>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2"/>
      <c r="AV529" s="1791">
        <f t="shared" si="298"/>
        <v>0</v>
      </c>
      <c r="AW529" s="1791">
        <f t="shared" si="299"/>
        <v>0</v>
      </c>
      <c r="AX529" s="1791">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1"/>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2"/>
      <c r="AV530" s="1791">
        <f t="shared" si="298"/>
        <v>0</v>
      </c>
      <c r="AW530" s="1791">
        <f t="shared" si="299"/>
        <v>0</v>
      </c>
      <c r="AX530" s="1791">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1"/>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2"/>
      <c r="AV531" s="1791">
        <f t="shared" si="298"/>
        <v>0</v>
      </c>
      <c r="AW531" s="1791">
        <f t="shared" si="299"/>
        <v>0</v>
      </c>
      <c r="AX531" s="1791">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1"/>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2"/>
      <c r="AV532" s="1791">
        <f t="shared" si="298"/>
        <v>0</v>
      </c>
      <c r="AW532" s="1791">
        <f t="shared" si="299"/>
        <v>0</v>
      </c>
      <c r="AX532" s="1791">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1"/>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2"/>
      <c r="AV533" s="1791">
        <f t="shared" si="298"/>
        <v>0</v>
      </c>
      <c r="AW533" s="1791">
        <f t="shared" si="299"/>
        <v>0</v>
      </c>
      <c r="AX533" s="1791">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1"/>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2"/>
      <c r="AV534" s="1791">
        <f t="shared" si="298"/>
        <v>0</v>
      </c>
      <c r="AW534" s="1791">
        <f t="shared" si="299"/>
        <v>0</v>
      </c>
      <c r="AX534" s="1791">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1"/>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2"/>
      <c r="AV535" s="1791">
        <f t="shared" si="298"/>
        <v>0</v>
      </c>
      <c r="AW535" s="1791">
        <f t="shared" si="299"/>
        <v>0</v>
      </c>
      <c r="AX535" s="1791">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1"/>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2"/>
      <c r="AV536" s="1791">
        <f t="shared" si="298"/>
        <v>0</v>
      </c>
      <c r="AW536" s="1791">
        <f t="shared" si="299"/>
        <v>0</v>
      </c>
      <c r="AX536" s="1791">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1"/>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2"/>
      <c r="AV537" s="1791">
        <f t="shared" si="298"/>
        <v>0</v>
      </c>
      <c r="AW537" s="1791">
        <f t="shared" si="299"/>
        <v>0</v>
      </c>
      <c r="AX537" s="1791">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1"/>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2"/>
      <c r="AV538" s="1791">
        <f t="shared" si="298"/>
        <v>0</v>
      </c>
      <c r="AW538" s="1791">
        <f t="shared" si="299"/>
        <v>0</v>
      </c>
      <c r="AX538" s="1791">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1"/>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2"/>
      <c r="AV539" s="1791">
        <f t="shared" si="298"/>
        <v>0</v>
      </c>
      <c r="AW539" s="1791">
        <f t="shared" si="299"/>
        <v>0</v>
      </c>
      <c r="AX539" s="1791">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1"/>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2"/>
      <c r="AV540" s="1791">
        <f t="shared" si="298"/>
        <v>0</v>
      </c>
      <c r="AW540" s="1791">
        <f t="shared" si="299"/>
        <v>0</v>
      </c>
      <c r="AX540" s="1791">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1"/>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2"/>
      <c r="AV541" s="1791">
        <f t="shared" si="298"/>
        <v>0</v>
      </c>
      <c r="AW541" s="1791">
        <f t="shared" si="299"/>
        <v>0</v>
      </c>
      <c r="AX541" s="1791">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1"/>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2"/>
      <c r="AV542" s="1791">
        <f t="shared" si="298"/>
        <v>0</v>
      </c>
      <c r="AW542" s="1791">
        <f t="shared" si="299"/>
        <v>0</v>
      </c>
      <c r="AX542" s="1791">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1"/>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2"/>
      <c r="AV543" s="1791">
        <f t="shared" si="298"/>
        <v>0</v>
      </c>
      <c r="AW543" s="1791">
        <f t="shared" si="299"/>
        <v>0</v>
      </c>
      <c r="AX543" s="1791">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1"/>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2"/>
      <c r="AV544" s="1791">
        <f t="shared" si="298"/>
        <v>0</v>
      </c>
      <c r="AW544" s="1791">
        <f t="shared" si="299"/>
        <v>0</v>
      </c>
      <c r="AX544" s="1791">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1"/>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2"/>
      <c r="AV545" s="1791">
        <f t="shared" si="298"/>
        <v>0</v>
      </c>
      <c r="AW545" s="1791">
        <f t="shared" si="299"/>
        <v>0</v>
      </c>
      <c r="AX545" s="1791">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1"/>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2"/>
      <c r="AV546" s="1791">
        <f t="shared" si="298"/>
        <v>0</v>
      </c>
      <c r="AW546" s="1791">
        <f t="shared" si="299"/>
        <v>0</v>
      </c>
      <c r="AX546" s="1791">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1"/>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2"/>
      <c r="AV547" s="1791">
        <f t="shared" si="298"/>
        <v>0</v>
      </c>
      <c r="AW547" s="1791">
        <f t="shared" si="299"/>
        <v>0</v>
      </c>
      <c r="AX547" s="1791">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1"/>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2"/>
      <c r="AV548" s="1791">
        <f t="shared" si="298"/>
        <v>0</v>
      </c>
      <c r="AW548" s="1791">
        <f t="shared" si="299"/>
        <v>0</v>
      </c>
      <c r="AX548" s="1791">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1"/>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2"/>
      <c r="AV549" s="1791">
        <f t="shared" si="298"/>
        <v>0</v>
      </c>
      <c r="AW549" s="1791">
        <f t="shared" si="299"/>
        <v>0</v>
      </c>
      <c r="AX549" s="1791">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1"/>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2"/>
      <c r="AV550" s="1791">
        <f t="shared" si="298"/>
        <v>0</v>
      </c>
      <c r="AW550" s="1791">
        <f t="shared" si="299"/>
        <v>0</v>
      </c>
      <c r="AX550" s="1791">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1"/>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2"/>
      <c r="AV551" s="1791">
        <f t="shared" si="298"/>
        <v>0</v>
      </c>
      <c r="AW551" s="1791">
        <f t="shared" si="299"/>
        <v>0</v>
      </c>
      <c r="AX551" s="1791">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1"/>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2"/>
      <c r="AV552" s="1791">
        <f t="shared" si="298"/>
        <v>0</v>
      </c>
      <c r="AW552" s="1791">
        <f t="shared" si="299"/>
        <v>0</v>
      </c>
      <c r="AX552" s="1791">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1"/>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2"/>
      <c r="AV553" s="1791">
        <f t="shared" ref="AV553:AV587" si="330">A553</f>
        <v>0</v>
      </c>
      <c r="AW553" s="1791">
        <f t="shared" ref="AW553:AW587" si="331">B553</f>
        <v>0</v>
      </c>
      <c r="AX553" s="1791">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1"/>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2"/>
      <c r="AV554" s="1791">
        <f t="shared" si="330"/>
        <v>0</v>
      </c>
      <c r="AW554" s="1791">
        <f t="shared" si="331"/>
        <v>0</v>
      </c>
      <c r="AX554" s="1791">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1"/>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2"/>
      <c r="AV555" s="1791">
        <f t="shared" si="330"/>
        <v>0</v>
      </c>
      <c r="AW555" s="1791">
        <f t="shared" si="331"/>
        <v>0</v>
      </c>
      <c r="AX555" s="1791">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1"/>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2"/>
      <c r="AV556" s="1791">
        <f t="shared" si="330"/>
        <v>0</v>
      </c>
      <c r="AW556" s="1791">
        <f t="shared" si="331"/>
        <v>0</v>
      </c>
      <c r="AX556" s="1791">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1"/>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2"/>
      <c r="AV557" s="1791">
        <f t="shared" si="330"/>
        <v>0</v>
      </c>
      <c r="AW557" s="1791">
        <f t="shared" si="331"/>
        <v>0</v>
      </c>
      <c r="AX557" s="1791">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1"/>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2"/>
      <c r="AV558" s="1791">
        <f t="shared" si="330"/>
        <v>0</v>
      </c>
      <c r="AW558" s="1791">
        <f t="shared" si="331"/>
        <v>0</v>
      </c>
      <c r="AX558" s="1791">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1"/>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2"/>
      <c r="AV559" s="1791">
        <f t="shared" si="330"/>
        <v>0</v>
      </c>
      <c r="AW559" s="1791">
        <f t="shared" si="331"/>
        <v>0</v>
      </c>
      <c r="AX559" s="1791">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1"/>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2"/>
      <c r="AV560" s="1791">
        <f t="shared" si="330"/>
        <v>0</v>
      </c>
      <c r="AW560" s="1791">
        <f t="shared" si="331"/>
        <v>0</v>
      </c>
      <c r="AX560" s="1791">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1"/>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2"/>
      <c r="AV561" s="1791">
        <f t="shared" si="330"/>
        <v>0</v>
      </c>
      <c r="AW561" s="1791">
        <f t="shared" si="331"/>
        <v>0</v>
      </c>
      <c r="AX561" s="1791">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1"/>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2"/>
      <c r="AV562" s="1791">
        <f t="shared" si="330"/>
        <v>0</v>
      </c>
      <c r="AW562" s="1791">
        <f t="shared" si="331"/>
        <v>0</v>
      </c>
      <c r="AX562" s="1791">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1"/>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2"/>
      <c r="AV563" s="1791">
        <f t="shared" si="330"/>
        <v>0</v>
      </c>
      <c r="AW563" s="1791">
        <f t="shared" si="331"/>
        <v>0</v>
      </c>
      <c r="AX563" s="1791">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1"/>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2"/>
      <c r="AV564" s="1791">
        <f t="shared" si="330"/>
        <v>0</v>
      </c>
      <c r="AW564" s="1791">
        <f t="shared" si="331"/>
        <v>0</v>
      </c>
      <c r="AX564" s="1791">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1"/>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2"/>
      <c r="AV565" s="1791">
        <f t="shared" si="330"/>
        <v>0</v>
      </c>
      <c r="AW565" s="1791">
        <f t="shared" si="331"/>
        <v>0</v>
      </c>
      <c r="AX565" s="1791">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1"/>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2"/>
      <c r="AV566" s="1791">
        <f t="shared" si="330"/>
        <v>0</v>
      </c>
      <c r="AW566" s="1791">
        <f t="shared" si="331"/>
        <v>0</v>
      </c>
      <c r="AX566" s="1791">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1"/>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2"/>
      <c r="AV567" s="1791">
        <f t="shared" si="330"/>
        <v>0</v>
      </c>
      <c r="AW567" s="1791">
        <f t="shared" si="331"/>
        <v>0</v>
      </c>
      <c r="AX567" s="1791">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1"/>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2"/>
      <c r="AV568" s="1791">
        <f t="shared" si="330"/>
        <v>0</v>
      </c>
      <c r="AW568" s="1791">
        <f t="shared" si="331"/>
        <v>0</v>
      </c>
      <c r="AX568" s="1791">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1"/>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2"/>
      <c r="AV569" s="1791">
        <f t="shared" si="330"/>
        <v>0</v>
      </c>
      <c r="AW569" s="1791">
        <f t="shared" si="331"/>
        <v>0</v>
      </c>
      <c r="AX569" s="1791">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1"/>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2"/>
      <c r="AV570" s="1791">
        <f t="shared" si="330"/>
        <v>0</v>
      </c>
      <c r="AW570" s="1791">
        <f t="shared" si="331"/>
        <v>0</v>
      </c>
      <c r="AX570" s="1791">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1"/>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2"/>
      <c r="AV571" s="1791">
        <f t="shared" si="330"/>
        <v>0</v>
      </c>
      <c r="AW571" s="1791">
        <f t="shared" si="331"/>
        <v>0</v>
      </c>
      <c r="AX571" s="1791">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1"/>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2"/>
      <c r="AV572" s="1791">
        <f t="shared" si="330"/>
        <v>0</v>
      </c>
      <c r="AW572" s="1791">
        <f t="shared" si="331"/>
        <v>0</v>
      </c>
      <c r="AX572" s="1791">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1"/>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2"/>
      <c r="AV573" s="1791">
        <f t="shared" si="330"/>
        <v>0</v>
      </c>
      <c r="AW573" s="1791">
        <f t="shared" si="331"/>
        <v>0</v>
      </c>
      <c r="AX573" s="1791">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1"/>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2"/>
      <c r="AV574" s="1791">
        <f t="shared" si="330"/>
        <v>0</v>
      </c>
      <c r="AW574" s="1791">
        <f t="shared" si="331"/>
        <v>0</v>
      </c>
      <c r="AX574" s="1791">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1"/>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2"/>
      <c r="AV575" s="1791">
        <f t="shared" si="330"/>
        <v>0</v>
      </c>
      <c r="AW575" s="1791">
        <f t="shared" si="331"/>
        <v>0</v>
      </c>
      <c r="AX575" s="1791">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1"/>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2"/>
      <c r="AV576" s="1791">
        <f t="shared" si="330"/>
        <v>0</v>
      </c>
      <c r="AW576" s="1791">
        <f t="shared" si="331"/>
        <v>0</v>
      </c>
      <c r="AX576" s="1791">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1"/>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2"/>
      <c r="AV577" s="1791">
        <f t="shared" si="330"/>
        <v>0</v>
      </c>
      <c r="AW577" s="1791">
        <f t="shared" si="331"/>
        <v>0</v>
      </c>
      <c r="AX577" s="1791">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1"/>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2"/>
      <c r="AV578" s="1791">
        <f t="shared" si="330"/>
        <v>0</v>
      </c>
      <c r="AW578" s="1791">
        <f t="shared" si="331"/>
        <v>0</v>
      </c>
      <c r="AX578" s="1791">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1"/>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2"/>
      <c r="AV579" s="1791">
        <f t="shared" si="330"/>
        <v>0</v>
      </c>
      <c r="AW579" s="1791">
        <f t="shared" si="331"/>
        <v>0</v>
      </c>
      <c r="AX579" s="1791">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1"/>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2"/>
      <c r="AV580" s="1791">
        <f t="shared" si="330"/>
        <v>0</v>
      </c>
      <c r="AW580" s="1791">
        <f t="shared" si="331"/>
        <v>0</v>
      </c>
      <c r="AX580" s="1791">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1"/>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2"/>
      <c r="AV581" s="1791">
        <f t="shared" si="330"/>
        <v>0</v>
      </c>
      <c r="AW581" s="1791">
        <f t="shared" si="331"/>
        <v>0</v>
      </c>
      <c r="AX581" s="1791">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1"/>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2"/>
      <c r="AV582" s="1791">
        <f t="shared" si="330"/>
        <v>0</v>
      </c>
      <c r="AW582" s="1791">
        <f t="shared" si="331"/>
        <v>0</v>
      </c>
      <c r="AX582" s="1791">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1"/>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2"/>
      <c r="AV583" s="1791">
        <f t="shared" si="330"/>
        <v>0</v>
      </c>
      <c r="AW583" s="1791">
        <f t="shared" si="331"/>
        <v>0</v>
      </c>
      <c r="AX583" s="1791">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1"/>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2"/>
      <c r="AV584" s="1791">
        <f t="shared" si="330"/>
        <v>0</v>
      </c>
      <c r="AW584" s="1791">
        <f t="shared" si="331"/>
        <v>0</v>
      </c>
      <c r="AX584" s="1791">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1"/>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7"/>
      <c r="AV585" s="1791">
        <f t="shared" si="330"/>
        <v>0</v>
      </c>
      <c r="AW585" s="1791">
        <f t="shared" si="331"/>
        <v>0</v>
      </c>
      <c r="AX585" s="1791">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1"/>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7"/>
      <c r="AV586" s="1791">
        <f t="shared" si="330"/>
        <v>0</v>
      </c>
      <c r="AW586" s="1791">
        <f t="shared" si="331"/>
        <v>0</v>
      </c>
      <c r="AX586" s="1791">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1"/>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7"/>
      <c r="AV587" s="1791">
        <f t="shared" si="330"/>
        <v>0</v>
      </c>
      <c r="AW587" s="1791">
        <f t="shared" si="331"/>
        <v>0</v>
      </c>
      <c r="AX587" s="1791">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2" t="s">
        <v>0</v>
      </c>
      <c r="B1" s="3112" t="s">
        <v>4</v>
      </c>
      <c r="C1" s="3112" t="s">
        <v>5</v>
      </c>
      <c r="D1" s="3113" t="s">
        <v>53</v>
      </c>
      <c r="E1" s="3113" t="s">
        <v>54</v>
      </c>
      <c r="F1" s="3113"/>
      <c r="G1" s="3113"/>
      <c r="H1" s="3113"/>
      <c r="I1" s="3113"/>
      <c r="J1" s="3113"/>
      <c r="K1" s="3113"/>
      <c r="L1" s="3113"/>
      <c r="M1" s="3113"/>
    </row>
    <row r="2" spans="1:13" ht="27" customHeight="1">
      <c r="A2" s="3112"/>
      <c r="B2" s="3112"/>
      <c r="C2" s="3112"/>
      <c r="D2" s="3113"/>
      <c r="E2" s="3113" t="s">
        <v>37</v>
      </c>
      <c r="F2" s="3113" t="s">
        <v>38</v>
      </c>
      <c r="G2" s="3113"/>
      <c r="H2" s="3113"/>
      <c r="I2" s="3113"/>
      <c r="J2" s="3113" t="s">
        <v>39</v>
      </c>
      <c r="K2" s="3113"/>
      <c r="L2" s="3113"/>
      <c r="M2" s="3113"/>
    </row>
    <row r="3" spans="1:13" ht="28.5">
      <c r="A3" s="3112"/>
      <c r="B3" s="3112"/>
      <c r="C3" s="3112"/>
      <c r="D3" s="3113"/>
      <c r="E3" s="311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3" t="s">
        <v>55</v>
      </c>
      <c r="B9" s="3113"/>
      <c r="C9" s="31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1937</v>
      </c>
      <c r="B1" s="1388"/>
      <c r="C1" s="1388"/>
      <c r="D1" s="1388"/>
      <c r="E1" s="1388"/>
      <c r="F1" s="1388"/>
      <c r="G1" s="1388"/>
      <c r="H1" s="1388"/>
      <c r="I1" s="1388"/>
      <c r="J1" s="1388"/>
      <c r="K1" s="1388"/>
      <c r="L1" s="1388"/>
      <c r="M1" s="1388"/>
      <c r="N1" s="1388"/>
      <c r="O1" s="1388"/>
      <c r="P1" s="1388"/>
    </row>
    <row r="2" spans="1:16" ht="15">
      <c r="A2" s="3123" t="s">
        <v>1938</v>
      </c>
      <c r="B2" s="3123"/>
      <c r="C2" s="3123"/>
      <c r="D2" s="963" t="s">
        <v>1914</v>
      </c>
      <c r="E2" s="2220" t="s">
        <v>1915</v>
      </c>
      <c r="F2" s="1388"/>
      <c r="G2" s="2221"/>
      <c r="H2" s="2222"/>
      <c r="I2" s="2223" t="s">
        <v>1939</v>
      </c>
      <c r="J2" s="1388"/>
      <c r="K2" s="1388"/>
      <c r="L2" s="1388"/>
      <c r="M2" s="1388"/>
      <c r="N2" s="1423"/>
      <c r="O2" s="1388"/>
      <c r="P2" s="1388"/>
    </row>
    <row r="3" spans="1:16" ht="15.75" thickBot="1">
      <c r="A3" s="3124" t="s">
        <v>1912</v>
      </c>
      <c r="B3" s="3124"/>
      <c r="C3" s="3124"/>
      <c r="D3" s="45">
        <f>'数据-基础表'!AY6</f>
        <v>9619.89</v>
      </c>
      <c r="E3" s="45">
        <f>'数据-基础表'!AZ5</f>
        <v>48185.319999999992</v>
      </c>
      <c r="F3" s="1388"/>
      <c r="G3" s="1395"/>
      <c r="H3" s="1243" t="s">
        <v>1913</v>
      </c>
      <c r="I3" s="54">
        <f>ROUND('数据-基础表'!B3/'数据-基础表'!A3,2)</f>
        <v>5.01</v>
      </c>
      <c r="J3" s="1388"/>
      <c r="K3" s="1388"/>
      <c r="L3" s="1388"/>
      <c r="M3" s="1388"/>
      <c r="N3" s="1423"/>
      <c r="O3" s="1388"/>
      <c r="P3" s="1388"/>
    </row>
    <row r="4" spans="1:16" ht="15">
      <c r="A4" s="3125"/>
      <c r="B4" s="3126"/>
      <c r="C4" s="3127"/>
      <c r="D4" s="2224" t="s">
        <v>1914</v>
      </c>
      <c r="E4" s="2225" t="s">
        <v>1915</v>
      </c>
      <c r="F4" s="1388"/>
      <c r="G4" s="2226" t="s">
        <v>1940</v>
      </c>
      <c r="H4" s="1243" t="s">
        <v>1920</v>
      </c>
      <c r="I4" s="54">
        <f>ROUND(SUMIF('数据-基础表'!I9:AS9,"地上",'数据-基础表'!I5:AS5)/'数据-基础表'!A3,2)</f>
        <v>3.8</v>
      </c>
      <c r="J4" s="1388"/>
      <c r="K4" s="1388"/>
      <c r="L4" s="1388"/>
      <c r="M4" s="1388"/>
      <c r="N4" s="1423"/>
      <c r="O4" s="1388"/>
      <c r="P4" s="1388"/>
    </row>
    <row r="5" spans="1:16">
      <c r="A5" s="46" t="s">
        <v>1916</v>
      </c>
      <c r="B5" s="3128" t="s">
        <v>1917</v>
      </c>
      <c r="C5" s="3128"/>
      <c r="D5" s="47">
        <f>ROUND($D$3*E5/$E$3,2)</f>
        <v>0</v>
      </c>
      <c r="E5" s="48">
        <f>SUMIF('数据-基础表'!$11:$11,"住宅",'数据-基础表'!$5:$5)</f>
        <v>0</v>
      </c>
      <c r="F5" s="1388"/>
      <c r="G5" s="1395"/>
      <c r="H5" s="1243" t="s">
        <v>1913</v>
      </c>
      <c r="I5" s="54">
        <f>ROUND(E31/D31,2)</f>
        <v>5.01</v>
      </c>
      <c r="J5" s="1388"/>
      <c r="K5" s="1388"/>
      <c r="L5" s="1388"/>
      <c r="M5" s="1388"/>
      <c r="N5" s="1388"/>
      <c r="O5" s="1388"/>
      <c r="P5" s="1388"/>
    </row>
    <row r="6" spans="1:16" ht="15" thickBot="1">
      <c r="A6" s="2227"/>
      <c r="B6" s="3128" t="s">
        <v>1918</v>
      </c>
      <c r="C6" s="3128"/>
      <c r="D6" s="47">
        <f>ROUND($D$3*E6/$E$3,2)</f>
        <v>9619.89</v>
      </c>
      <c r="E6" s="48">
        <f>E3-E5</f>
        <v>48185.319999999992</v>
      </c>
      <c r="F6" s="1388"/>
      <c r="G6" s="2228" t="s">
        <v>1919</v>
      </c>
      <c r="H6" s="1395" t="s">
        <v>1920</v>
      </c>
      <c r="I6" s="935">
        <f>ROUND(F31/D31,2)</f>
        <v>3.8</v>
      </c>
      <c r="J6" s="1388"/>
      <c r="K6" s="1388"/>
      <c r="L6" s="1388"/>
      <c r="M6" s="1388"/>
      <c r="N6" s="1388"/>
      <c r="O6" s="1388"/>
      <c r="P6" s="1388"/>
    </row>
    <row r="7" spans="1:16" ht="15">
      <c r="A7" s="3120"/>
      <c r="B7" s="3121"/>
      <c r="C7" s="3122"/>
      <c r="D7" s="2224" t="s">
        <v>1914</v>
      </c>
      <c r="E7" s="2229" t="s">
        <v>1921</v>
      </c>
      <c r="F7" s="1388"/>
      <c r="G7" s="2221" t="s">
        <v>1922</v>
      </c>
      <c r="H7" s="63"/>
      <c r="I7" s="419">
        <v>3.8</v>
      </c>
      <c r="J7" s="1388"/>
      <c r="K7" s="1388"/>
      <c r="L7" s="1388"/>
      <c r="M7" s="1388"/>
      <c r="N7" s="1388"/>
      <c r="O7" s="1388"/>
      <c r="P7" s="1388"/>
    </row>
    <row r="8" spans="1:16">
      <c r="A8" s="46" t="s">
        <v>1923</v>
      </c>
      <c r="B8" s="49" t="s">
        <v>1924</v>
      </c>
      <c r="C8" s="47" t="s">
        <v>1925</v>
      </c>
      <c r="D8" s="47">
        <f t="shared" ref="D8:D15" si="0">ROUND($D$3*E8/$E$3,2)</f>
        <v>7298.09</v>
      </c>
      <c r="E8" s="50">
        <f>SUMIF('数据-基础表'!BB10:BK10,"地上",'数据-基础表'!BB5:BK5)</f>
        <v>36555.58</v>
      </c>
      <c r="F8" s="1388"/>
      <c r="G8" s="2230"/>
      <c r="H8" s="2230"/>
      <c r="I8" s="1388"/>
      <c r="J8" s="1388"/>
      <c r="K8" s="1388"/>
      <c r="L8" s="1388"/>
      <c r="M8" s="1388"/>
      <c r="N8" s="1388"/>
      <c r="O8" s="1388"/>
      <c r="P8" s="1388"/>
    </row>
    <row r="9" spans="1:16">
      <c r="A9" s="2231"/>
      <c r="B9" s="2232"/>
      <c r="C9" s="47" t="s">
        <v>1926</v>
      </c>
      <c r="D9" s="47">
        <f t="shared" si="0"/>
        <v>0</v>
      </c>
      <c r="E9" s="51">
        <v>0</v>
      </c>
      <c r="F9" s="1388"/>
      <c r="G9" s="2230"/>
      <c r="H9" s="2230"/>
      <c r="I9" s="1388"/>
      <c r="J9" s="1388"/>
      <c r="K9" s="1388"/>
      <c r="L9" s="1388"/>
      <c r="M9" s="1388"/>
      <c r="N9" s="1388"/>
      <c r="O9" s="1388"/>
      <c r="P9" s="1388"/>
    </row>
    <row r="10" spans="1:16">
      <c r="A10" s="2231"/>
      <c r="B10" s="2232"/>
      <c r="C10" s="47" t="s">
        <v>1935</v>
      </c>
      <c r="D10" s="47">
        <f t="shared" si="0"/>
        <v>628.92999999999995</v>
      </c>
      <c r="E10" s="50">
        <f>SUMPRODUCT(('数据-基础表'!BB10:BK10="地下")*('数据-基础表'!BB11:BK11="商业")*('数据-基础表'!BB5:BK5))</f>
        <v>3150.28</v>
      </c>
      <c r="F10" s="1388"/>
      <c r="G10" s="2230"/>
      <c r="H10" s="2230"/>
      <c r="I10" s="1388"/>
      <c r="J10" s="1388"/>
      <c r="K10" s="1388"/>
      <c r="L10" s="1388"/>
      <c r="M10" s="1388"/>
      <c r="N10" s="1388"/>
      <c r="O10" s="1388"/>
      <c r="P10" s="1388"/>
    </row>
    <row r="11" spans="1:16">
      <c r="A11" s="2231"/>
      <c r="B11" s="2232"/>
      <c r="C11" s="47" t="s">
        <v>1927</v>
      </c>
      <c r="D11" s="47">
        <f t="shared" si="0"/>
        <v>0</v>
      </c>
      <c r="E11" s="50">
        <f>SUMPRODUCT(('数据-基础表'!BB10:BK10="地下")*('数据-基础表'!BB11:BK11="办公")*('数据-基础表'!BB5:BK5))+'数据-基础表'!BP5</f>
        <v>0</v>
      </c>
      <c r="F11" s="1388"/>
      <c r="G11" s="2230"/>
      <c r="H11" s="2230"/>
      <c r="I11" s="1388"/>
      <c r="J11" s="1388"/>
      <c r="K11" s="1388"/>
      <c r="L11" s="1388"/>
      <c r="M11" s="1388"/>
      <c r="N11" s="1388"/>
      <c r="O11" s="1388"/>
      <c r="P11" s="1388"/>
    </row>
    <row r="12" spans="1:16">
      <c r="A12" s="2231"/>
      <c r="B12" s="2232"/>
      <c r="C12" s="47" t="s">
        <v>1928</v>
      </c>
      <c r="D12" s="47">
        <f t="shared" si="0"/>
        <v>0</v>
      </c>
      <c r="E12" s="50">
        <f>SUMPRODUCT(('数据-基础表'!BB10:BK10="地下")*('数据-基础表'!BB11:BK11="仓储")*('数据-基础表'!BB5:BK5))</f>
        <v>0</v>
      </c>
      <c r="F12" s="1388"/>
      <c r="G12" s="2230"/>
      <c r="H12" s="2230"/>
      <c r="I12" s="1388"/>
      <c r="J12" s="1388"/>
      <c r="K12" s="1388"/>
      <c r="L12" s="1388"/>
      <c r="M12" s="1388"/>
      <c r="N12" s="1388"/>
      <c r="O12" s="1388"/>
      <c r="P12" s="1388"/>
    </row>
    <row r="13" spans="1:16">
      <c r="A13" s="2231"/>
      <c r="B13" s="2232"/>
      <c r="C13" s="47" t="s">
        <v>1929</v>
      </c>
      <c r="D13" s="47">
        <f t="shared" si="0"/>
        <v>0</v>
      </c>
      <c r="E13" s="50">
        <f>SUMPRODUCT(('数据-基础表'!BB10:BK10="地下")*('数据-基础表'!BB11:BK11="车库")*('数据-基础表'!BB5:BK5))</f>
        <v>0</v>
      </c>
      <c r="F13" s="1388"/>
      <c r="G13" s="2230"/>
      <c r="H13" s="2230"/>
      <c r="I13" s="1388"/>
      <c r="J13" s="1388"/>
      <c r="K13" s="1388"/>
      <c r="L13" s="1388"/>
      <c r="M13" s="1388"/>
      <c r="N13" s="1388"/>
      <c r="O13" s="1388"/>
      <c r="P13" s="1388"/>
    </row>
    <row r="14" spans="1:16">
      <c r="A14" s="2231"/>
      <c r="B14" s="2232"/>
      <c r="C14" s="47" t="s">
        <v>1941</v>
      </c>
      <c r="D14" s="47">
        <f t="shared" si="0"/>
        <v>0</v>
      </c>
      <c r="E14" s="50">
        <f>SUMPRODUCT(('数据-基础表'!BB10:BK10="地下")*('数据-基础表'!BB11:BK11="车库—商业")*('数据-基础表'!BB5:BK5))</f>
        <v>0</v>
      </c>
      <c r="F14" s="1388"/>
      <c r="G14" s="2230"/>
      <c r="H14" s="2230"/>
      <c r="I14" s="1388"/>
      <c r="J14" s="1388"/>
      <c r="K14" s="1388"/>
      <c r="L14" s="1388"/>
      <c r="M14" s="1388"/>
      <c r="N14" s="1388"/>
      <c r="O14" s="1388"/>
      <c r="P14" s="1388"/>
    </row>
    <row r="15" spans="1:16" ht="15" thickBot="1">
      <c r="A15" s="2231"/>
      <c r="B15" s="2232"/>
      <c r="C15" s="47" t="s">
        <v>1936</v>
      </c>
      <c r="D15" s="47">
        <f t="shared" si="0"/>
        <v>1692.87</v>
      </c>
      <c r="E15" s="50">
        <f>SUMPRODUCT(('数据-基础表'!BB10:BK10="地下")*('数据-基础表'!BB11:BK11="车库—办公")*('数据-基础表'!BB5:BK5))</f>
        <v>8479.4599999999919</v>
      </c>
      <c r="F15" s="1388"/>
      <c r="G15" s="2230"/>
      <c r="H15" s="2230"/>
      <c r="I15" s="1388"/>
      <c r="J15" s="1388"/>
      <c r="K15" s="1388"/>
      <c r="L15" s="1388"/>
      <c r="M15" s="1388"/>
      <c r="N15" s="1388"/>
      <c r="O15" s="1388"/>
      <c r="P15" s="1388"/>
    </row>
    <row r="16" spans="1:16" ht="15.75" thickBot="1">
      <c r="A16" s="2227"/>
      <c r="B16" s="2232"/>
      <c r="C16" s="49" t="s">
        <v>1930</v>
      </c>
      <c r="D16" s="49">
        <f>SUM(D8:D15)</f>
        <v>9619.89</v>
      </c>
      <c r="E16" s="52">
        <f>SUM(E8:E15)</f>
        <v>48185.319999999992</v>
      </c>
      <c r="F16" s="1388"/>
      <c r="G16" s="2230"/>
      <c r="H16" s="2233" t="s">
        <v>1942</v>
      </c>
      <c r="I16" s="2234"/>
      <c r="J16" s="1388"/>
      <c r="K16" s="3117" t="s">
        <v>1942</v>
      </c>
      <c r="L16" s="3118"/>
      <c r="M16" s="3118"/>
      <c r="N16" s="3118"/>
      <c r="O16" s="3118"/>
      <c r="P16" s="3119"/>
    </row>
    <row r="17" spans="1:19" ht="15">
      <c r="A17" s="2235" t="s">
        <v>1943</v>
      </c>
      <c r="B17" s="2236" t="s">
        <v>1944</v>
      </c>
      <c r="C17" s="2237" t="s">
        <v>1945</v>
      </c>
      <c r="D17" s="2238" t="s">
        <v>1933</v>
      </c>
      <c r="E17" s="2239" t="s">
        <v>1934</v>
      </c>
      <c r="F17" s="2240"/>
      <c r="G17" s="2241"/>
      <c r="H17" s="2242" t="s">
        <v>1946</v>
      </c>
      <c r="I17" s="2243" t="s">
        <v>1931</v>
      </c>
      <c r="J17" s="1388"/>
      <c r="K17" s="3114" t="s">
        <v>1947</v>
      </c>
      <c r="L17" s="3115"/>
      <c r="M17" s="3116"/>
      <c r="N17" s="3114" t="s">
        <v>1948</v>
      </c>
      <c r="O17" s="3115"/>
      <c r="P17" s="3116"/>
      <c r="R17" s="2221" t="s">
        <v>1949</v>
      </c>
      <c r="S17" s="63"/>
    </row>
    <row r="18" spans="1:19" ht="15">
      <c r="A18" s="2231"/>
      <c r="B18" s="2244"/>
      <c r="C18" s="2245"/>
      <c r="D18" s="2246"/>
      <c r="E18" s="2247" t="s">
        <v>1950</v>
      </c>
      <c r="F18" s="2248" t="s">
        <v>1951</v>
      </c>
      <c r="G18" s="2249" t="s">
        <v>1952</v>
      </c>
      <c r="H18" s="1258" t="s">
        <v>1953</v>
      </c>
      <c r="I18" s="2250" t="s">
        <v>1954</v>
      </c>
      <c r="J18" s="1388"/>
      <c r="K18" s="1258" t="s">
        <v>1955</v>
      </c>
      <c r="L18" s="2251" t="s">
        <v>1956</v>
      </c>
      <c r="M18" s="1042" t="s">
        <v>1957</v>
      </c>
      <c r="N18" s="1258" t="s">
        <v>1955</v>
      </c>
      <c r="O18" s="2251" t="s">
        <v>1956</v>
      </c>
      <c r="P18" s="1042" t="s">
        <v>1957</v>
      </c>
      <c r="R18" s="1243" t="s">
        <v>1958</v>
      </c>
      <c r="S18" s="1243" t="s">
        <v>1959</v>
      </c>
    </row>
    <row r="19" spans="1:19">
      <c r="A19" s="2252"/>
      <c r="B19" s="49" t="s">
        <v>1932</v>
      </c>
      <c r="C19" s="2933" t="s">
        <v>3465</v>
      </c>
      <c r="D19" s="47">
        <f>ROUND($D$3*E19/$E$3,2)</f>
        <v>7298.09</v>
      </c>
      <c r="E19" s="55">
        <f t="shared" ref="E19:E26" si="1">SUM(F19:G19)</f>
        <v>36555.58</v>
      </c>
      <c r="F19" s="56">
        <f>'数据-基础表'!I13</f>
        <v>36555.58</v>
      </c>
      <c r="G19" s="57"/>
      <c r="H19" s="722">
        <f>ROUND($D$3*I19/$E$3,2)</f>
        <v>0</v>
      </c>
      <c r="I19" s="50">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7298.09</v>
      </c>
      <c r="S19" s="1244">
        <f t="shared" si="5"/>
        <v>36555.58</v>
      </c>
    </row>
    <row r="20" spans="1:19">
      <c r="A20" s="2255"/>
      <c r="B20" s="49" t="s">
        <v>1960</v>
      </c>
      <c r="C20" s="2933" t="s">
        <v>3466</v>
      </c>
      <c r="D20" s="47">
        <f t="shared" ref="D20:D26" si="6">ROUND($D$3*E20/$E$3,2)</f>
        <v>628.92999999999995</v>
      </c>
      <c r="E20" s="55">
        <f t="shared" si="1"/>
        <v>3150.28</v>
      </c>
      <c r="F20" s="56"/>
      <c r="G20" s="57">
        <f>'数据-基础表'!K13</f>
        <v>3150.28</v>
      </c>
      <c r="H20" s="722">
        <f t="shared" ref="H20:H26" si="7">ROUND($D$3*I20/$E$3,2)</f>
        <v>0</v>
      </c>
      <c r="I20" s="50">
        <f t="shared" si="2"/>
        <v>0</v>
      </c>
      <c r="J20" s="1388"/>
      <c r="K20" s="1387">
        <f t="shared" si="3"/>
        <v>0</v>
      </c>
      <c r="L20" s="1243">
        <f t="shared" si="4"/>
        <v>0</v>
      </c>
      <c r="M20" s="1399">
        <f t="shared" ref="M20:M26" si="8">K20+L20</f>
        <v>0</v>
      </c>
      <c r="N20" s="2253"/>
      <c r="O20" s="2254"/>
      <c r="P20" s="1399">
        <f t="shared" ref="P20:P26" si="9">N20+O20</f>
        <v>0</v>
      </c>
      <c r="R20" s="1243">
        <f t="shared" si="5"/>
        <v>628.92999999999995</v>
      </c>
      <c r="S20" s="1244">
        <f t="shared" si="5"/>
        <v>3150.28</v>
      </c>
    </row>
    <row r="21" spans="1:19">
      <c r="A21" s="2255"/>
      <c r="B21" s="49" t="s">
        <v>1960</v>
      </c>
      <c r="C21" s="2933" t="s">
        <v>3581</v>
      </c>
      <c r="D21" s="47">
        <f t="shared" si="6"/>
        <v>1692.87</v>
      </c>
      <c r="E21" s="55">
        <f t="shared" si="1"/>
        <v>8479.4599999999919</v>
      </c>
      <c r="F21" s="56"/>
      <c r="G21" s="57">
        <f>'数据-基础表'!M13</f>
        <v>8479.4599999999919</v>
      </c>
      <c r="H21" s="722">
        <f t="shared" si="7"/>
        <v>0</v>
      </c>
      <c r="I21" s="50">
        <f t="shared" si="2"/>
        <v>0</v>
      </c>
      <c r="J21" s="1388"/>
      <c r="K21" s="1387">
        <f t="shared" si="3"/>
        <v>0</v>
      </c>
      <c r="L21" s="1243">
        <f t="shared" si="4"/>
        <v>0</v>
      </c>
      <c r="M21" s="1399">
        <f t="shared" si="8"/>
        <v>0</v>
      </c>
      <c r="N21" s="2253"/>
      <c r="O21" s="2254"/>
      <c r="P21" s="1399">
        <f t="shared" si="9"/>
        <v>0</v>
      </c>
      <c r="R21" s="1243">
        <f t="shared" si="5"/>
        <v>1692.87</v>
      </c>
      <c r="S21" s="1244">
        <f t="shared" si="5"/>
        <v>8479.4599999999919</v>
      </c>
    </row>
    <row r="22" spans="1:19">
      <c r="A22" s="2255"/>
      <c r="B22" s="49" t="s">
        <v>1960</v>
      </c>
      <c r="C22" s="3036"/>
      <c r="D22" s="47">
        <f t="shared" si="6"/>
        <v>0</v>
      </c>
      <c r="E22" s="55">
        <f t="shared" si="1"/>
        <v>0</v>
      </c>
      <c r="F22" s="60"/>
      <c r="G22" s="61"/>
      <c r="H22" s="722">
        <f t="shared" si="7"/>
        <v>0</v>
      </c>
      <c r="I22" s="50">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49" t="s">
        <v>1960</v>
      </c>
      <c r="C23" s="59"/>
      <c r="D23" s="47">
        <f>ROUND($D$3*E23/$E$3,2)</f>
        <v>0</v>
      </c>
      <c r="E23" s="55">
        <f>SUM(F23:G23)</f>
        <v>0</v>
      </c>
      <c r="F23" s="60"/>
      <c r="G23" s="61"/>
      <c r="H23" s="722">
        <f>ROUND($D$3*I23/$E$3,2)</f>
        <v>0</v>
      </c>
      <c r="I23" s="50">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49" t="s">
        <v>1960</v>
      </c>
      <c r="C24" s="59"/>
      <c r="D24" s="47">
        <f>ROUND($D$3*E24/$E$3,2)</f>
        <v>0</v>
      </c>
      <c r="E24" s="55">
        <f>SUM(F24:G24)</f>
        <v>0</v>
      </c>
      <c r="F24" s="60"/>
      <c r="G24" s="61"/>
      <c r="H24" s="722">
        <f>ROUND($D$3*I24/$E$3,2)</f>
        <v>0</v>
      </c>
      <c r="I24" s="50">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49" t="s">
        <v>1960</v>
      </c>
      <c r="C25" s="59"/>
      <c r="D25" s="47">
        <f t="shared" si="6"/>
        <v>0</v>
      </c>
      <c r="E25" s="55">
        <f t="shared" si="1"/>
        <v>0</v>
      </c>
      <c r="F25" s="60"/>
      <c r="G25" s="61"/>
      <c r="H25" s="46">
        <f t="shared" si="7"/>
        <v>0</v>
      </c>
      <c r="I25" s="50">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49" t="s">
        <v>1960</v>
      </c>
      <c r="C26" s="62"/>
      <c r="D26" s="47">
        <f t="shared" si="6"/>
        <v>0</v>
      </c>
      <c r="E26" s="55">
        <f t="shared" si="1"/>
        <v>0</v>
      </c>
      <c r="F26" s="60"/>
      <c r="G26" s="61"/>
      <c r="H26" s="46">
        <f t="shared" si="7"/>
        <v>0</v>
      </c>
      <c r="I26" s="50">
        <f t="shared" si="2"/>
        <v>0</v>
      </c>
      <c r="J26" s="1388"/>
      <c r="K26" s="1394">
        <f t="shared" si="3"/>
        <v>0</v>
      </c>
      <c r="L26" s="1395">
        <f t="shared" si="4"/>
        <v>0</v>
      </c>
      <c r="M26" s="66">
        <f t="shared" si="8"/>
        <v>0</v>
      </c>
      <c r="N26" s="2256"/>
      <c r="O26" s="2257"/>
      <c r="P26" s="66">
        <f t="shared" si="9"/>
        <v>0</v>
      </c>
      <c r="R26" s="1243">
        <f t="shared" si="5"/>
        <v>0</v>
      </c>
      <c r="S26" s="1244">
        <f t="shared" si="5"/>
        <v>0</v>
      </c>
    </row>
    <row r="27" spans="1:19" ht="15.75" thickBot="1">
      <c r="A27" s="2255"/>
      <c r="B27" s="47"/>
      <c r="C27" s="2258" t="s">
        <v>1961</v>
      </c>
      <c r="D27" s="1389">
        <f>SUM(D19:D26)</f>
        <v>9619.89</v>
      </c>
      <c r="E27" s="1390">
        <f>IF(SUM(E19:E26)='数据-基础表'!BA5,SUM(E19:E26),IF(F27="地上面积有误","面积有误","地下面积有误"))</f>
        <v>48185.319999999992</v>
      </c>
      <c r="F27" s="1389">
        <f>IF(SUM(F19:F26)=E8,SUM(F19:F26),"地上面积有误")</f>
        <v>36555.58</v>
      </c>
      <c r="G27" s="1391">
        <f>SUM(G19:G26)</f>
        <v>11629.739999999993</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9619.89</v>
      </c>
      <c r="S27" s="1243">
        <f>IF(SUM(S19:S26)=$E$3,SUM(S19:S26),SUM(S19:S26)&amp;"误差"&amp;ROUND(SUM(S19:S26)-E3,2))</f>
        <v>48185.319999999992</v>
      </c>
    </row>
    <row r="28" spans="1:19">
      <c r="A28" s="2255"/>
      <c r="B28" s="49" t="s">
        <v>1962</v>
      </c>
      <c r="C28" s="1255" t="s">
        <v>1963</v>
      </c>
      <c r="D28" s="47">
        <f>ROUND($D$3*E28/$E$3,2)</f>
        <v>0</v>
      </c>
      <c r="E28" s="55">
        <f>SUM(F28:G28)</f>
        <v>0</v>
      </c>
      <c r="F28" s="63">
        <f>'数据-基础表'!BQ5+'数据-基础表'!BS5</f>
        <v>0</v>
      </c>
      <c r="G28" s="64">
        <f>'数据-基础表'!BR5+'数据-基础表'!BT5</f>
        <v>0</v>
      </c>
      <c r="H28" s="1388"/>
      <c r="I28" s="1388"/>
      <c r="J28" s="1388"/>
      <c r="K28" s="1388"/>
      <c r="L28" s="1388"/>
      <c r="M28" s="1388"/>
      <c r="N28" s="1388"/>
      <c r="O28" s="1388"/>
      <c r="P28" s="1388"/>
    </row>
    <row r="29" spans="1:19">
      <c r="A29" s="2255"/>
      <c r="B29" s="49" t="s">
        <v>1962</v>
      </c>
      <c r="C29" s="2259" t="s">
        <v>1964</v>
      </c>
      <c r="D29" s="47">
        <f>ROUND($D$3*E29/$E$3,2)</f>
        <v>0</v>
      </c>
      <c r="E29" s="55">
        <f>SUM(F29:G29)</f>
        <v>0</v>
      </c>
      <c r="F29" s="65">
        <f>'数据-基础表'!BM5+'数据-基础表'!BO5</f>
        <v>0</v>
      </c>
      <c r="G29" s="66">
        <f>'数据-基础表'!BN5+'数据-基础表'!BP5</f>
        <v>0</v>
      </c>
      <c r="H29" s="1388"/>
      <c r="I29" s="1388"/>
      <c r="J29" s="1388"/>
      <c r="K29" s="1388"/>
      <c r="L29" s="1388"/>
      <c r="M29" s="1388"/>
      <c r="N29" s="1388"/>
      <c r="O29" s="1388"/>
      <c r="P29" s="1388"/>
    </row>
    <row r="30" spans="1:19" ht="15">
      <c r="A30" s="2255"/>
      <c r="B30" s="49"/>
      <c r="C30" s="2260" t="s">
        <v>1961</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3" t="s">
        <v>1965</v>
      </c>
      <c r="D31" s="728">
        <f>D27+D30</f>
        <v>9619.89</v>
      </c>
      <c r="E31" s="728">
        <f>E27+E30</f>
        <v>48185.319999999992</v>
      </c>
      <c r="F31" s="729">
        <f>F27+F30</f>
        <v>36555.58</v>
      </c>
      <c r="G31" s="730">
        <f>G27+G30</f>
        <v>11629.739999999993</v>
      </c>
      <c r="H31" s="1388"/>
      <c r="I31" s="1388"/>
      <c r="J31" s="1388"/>
      <c r="K31" s="1388"/>
      <c r="L31" s="1388"/>
      <c r="M31" s="1388"/>
      <c r="N31" s="1388"/>
      <c r="O31" s="1388"/>
      <c r="P31" s="1388"/>
    </row>
    <row r="32" spans="1:19">
      <c r="A32" s="2226"/>
      <c r="B32" s="2226" t="s">
        <v>1966</v>
      </c>
      <c r="C32" s="2226"/>
      <c r="D32" s="2226"/>
      <c r="E32" s="1270">
        <f>SUMIF(C19:C26,"*住宅*",E19:E26)</f>
        <v>0</v>
      </c>
      <c r="F32" s="2226"/>
      <c r="G32" s="2226"/>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Y9" sqref="Y9"/>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1967</v>
      </c>
      <c r="B1" s="731"/>
      <c r="C1" s="1577"/>
      <c r="D1" s="2265"/>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1968</v>
      </c>
      <c r="B2" s="1262">
        <f>项目基本情况!D3</f>
        <v>43182</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7" t="s">
        <v>1969</v>
      </c>
      <c r="B4" s="2273"/>
      <c r="C4" s="2274"/>
      <c r="D4" s="2275"/>
      <c r="E4" s="2274" t="s">
        <v>1970</v>
      </c>
      <c r="F4" s="2274"/>
      <c r="G4" s="2274"/>
      <c r="H4" s="2274"/>
      <c r="I4" s="2274"/>
      <c r="J4" s="2276"/>
      <c r="K4" s="2277"/>
      <c r="L4" s="2278"/>
      <c r="M4" s="2274"/>
      <c r="N4" s="2274" t="s">
        <v>1971</v>
      </c>
      <c r="O4" s="2274"/>
      <c r="P4" s="2274"/>
      <c r="Q4" s="2274"/>
      <c r="R4" s="2274"/>
      <c r="S4" s="2276"/>
      <c r="T4" s="2279" t="str">
        <f>'数据-汇总表'!I17</f>
        <v>按面积比例</v>
      </c>
      <c r="U4" s="2273" t="s">
        <v>1972</v>
      </c>
      <c r="V4" s="2274"/>
      <c r="W4" s="2274"/>
      <c r="X4" s="2274"/>
      <c r="Y4" s="2276"/>
      <c r="Z4" s="2237" t="s">
        <v>1973</v>
      </c>
      <c r="AA4" s="2237"/>
      <c r="AB4" s="2237"/>
      <c r="AC4" s="2237"/>
      <c r="AD4" s="2237"/>
      <c r="AE4" s="2235" t="s">
        <v>1974</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1975</v>
      </c>
      <c r="B5" s="2282" t="s">
        <v>1976</v>
      </c>
      <c r="C5" s="2283" t="s">
        <v>1977</v>
      </c>
      <c r="D5" s="2284" t="s">
        <v>1978</v>
      </c>
      <c r="E5" s="1264" t="s">
        <v>1979</v>
      </c>
      <c r="F5" s="2285" t="s">
        <v>1980</v>
      </c>
      <c r="G5" s="1264" t="s">
        <v>1981</v>
      </c>
      <c r="H5" s="1264" t="s">
        <v>1982</v>
      </c>
      <c r="I5" s="1264" t="s">
        <v>1983</v>
      </c>
      <c r="J5" s="2286" t="s">
        <v>1984</v>
      </c>
      <c r="K5" s="2287" t="s">
        <v>1985</v>
      </c>
      <c r="L5" s="2288" t="s">
        <v>1986</v>
      </c>
      <c r="M5" s="2289" t="s">
        <v>1987</v>
      </c>
      <c r="N5" s="2290" t="s">
        <v>3053</v>
      </c>
      <c r="O5" s="2288" t="s">
        <v>1988</v>
      </c>
      <c r="P5" s="2291" t="s">
        <v>1989</v>
      </c>
      <c r="Q5" s="68" t="s">
        <v>1990</v>
      </c>
      <c r="R5" s="2292" t="s">
        <v>1991</v>
      </c>
      <c r="S5" s="2293" t="s">
        <v>1992</v>
      </c>
      <c r="T5" s="2294" t="s">
        <v>1993</v>
      </c>
      <c r="U5" s="1263" t="s">
        <v>1994</v>
      </c>
      <c r="V5" s="1264" t="s">
        <v>1995</v>
      </c>
      <c r="W5" s="1264" t="s">
        <v>1996</v>
      </c>
      <c r="X5" s="70"/>
      <c r="Y5" s="69" t="s">
        <v>1997</v>
      </c>
      <c r="Z5" s="2295" t="s">
        <v>1994</v>
      </c>
      <c r="AA5" s="1264" t="s">
        <v>1995</v>
      </c>
      <c r="AB5" s="1264" t="s">
        <v>1996</v>
      </c>
      <c r="AC5" s="70"/>
      <c r="AD5" s="70" t="s">
        <v>1997</v>
      </c>
      <c r="AE5" s="1263" t="s">
        <v>1998</v>
      </c>
      <c r="AF5" s="1264" t="s">
        <v>1999</v>
      </c>
      <c r="AG5" s="69" t="s">
        <v>2000</v>
      </c>
      <c r="AH5" s="1263" t="s">
        <v>2001</v>
      </c>
      <c r="AI5" s="2295" t="s">
        <v>2002</v>
      </c>
      <c r="AJ5" s="2295" t="s">
        <v>2003</v>
      </c>
      <c r="AK5" s="1264" t="s">
        <v>2004</v>
      </c>
      <c r="AL5" s="1264" t="s">
        <v>2005</v>
      </c>
      <c r="AM5" s="69" t="s">
        <v>2006</v>
      </c>
      <c r="AN5" s="2296" t="s">
        <v>2007</v>
      </c>
      <c r="AO5" s="2067" t="s">
        <v>2008</v>
      </c>
      <c r="AP5" s="1245" t="s">
        <v>2009</v>
      </c>
      <c r="AQ5" s="2297" t="s">
        <v>2010</v>
      </c>
      <c r="AR5" s="2297" t="s">
        <v>2011</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8" t="str">
        <f>'数据-汇总表'!C19</f>
        <v>loft</v>
      </c>
      <c r="B6" s="2299" t="str">
        <f>IF(A6=0,"","经营性")</f>
        <v>经营性</v>
      </c>
      <c r="C6" s="2300" t="s">
        <v>27</v>
      </c>
      <c r="D6" s="1047">
        <f>SUMIF(项目基本情况!D$12:I$12,C6,项目基本情况!D$14:I$14)</f>
        <v>50</v>
      </c>
      <c r="E6" s="1044">
        <f>IF(B6="","",SUMIF(项目基本情况!D$12:I$12,C6,项目基本情况!D$13:I$13))</f>
        <v>60047</v>
      </c>
      <c r="F6" s="71">
        <f>SUMIF(项目基本情况!D$12:I$12,C6,项目基本情况!D$15:I$15)</f>
        <v>46.2</v>
      </c>
      <c r="G6" s="72">
        <f>IF(ISERROR(ROUND(POWER(1+H6,D6-F6)*(POWER(1+H6,F6)-1)/(POWER(1+H6,D6)-1),3)),0,ROUND(POWER(1+H6,D6-F6)*(POWER(1+H6,F6)-1)/(POWER(1+H6,D6)-1),3))</f>
        <v>0.98099999999999998</v>
      </c>
      <c r="H6" s="801">
        <v>0.05</v>
      </c>
      <c r="I6" s="801">
        <v>5.5E-2</v>
      </c>
      <c r="J6" s="73">
        <v>8.5000000000000006E-2</v>
      </c>
      <c r="K6" s="1247">
        <f>SUMIF('数据-汇总表'!C$19:C$33,A6,'数据-汇总表'!E$19:E$33)</f>
        <v>36555.58</v>
      </c>
      <c r="L6" s="802">
        <v>4000</v>
      </c>
      <c r="M6" s="74">
        <f t="shared" ref="M6:M14" si="0">ROUND(K6*L6/10000,0)</f>
        <v>14622</v>
      </c>
      <c r="N6" s="800">
        <f>ROUND(1-(2018-2017)/60,2)</f>
        <v>0.98</v>
      </c>
      <c r="O6" s="74" t="str">
        <f>IF($N$5="成新度","——",ROUND(M6*N6,0))</f>
        <v>——</v>
      </c>
      <c r="P6" s="75" t="str">
        <f>IF($N$5="成新度","——",M6-O6)</f>
        <v>——</v>
      </c>
      <c r="Q6" s="803">
        <v>0.2</v>
      </c>
      <c r="R6" s="76">
        <f ca="1">SUMIF('数据-汇总表'!C$19:C$33,A6,'数据-汇总表'!R$19:R$27)</f>
        <v>7298.09</v>
      </c>
      <c r="S6" s="53">
        <f>IF('数据-汇总表'!$I$17="按面积比例",SUMIF('数据-汇总表'!C$19:C$33,A6,'数据-汇总表'!K$19:K$33),SUMIF('数据-汇总表'!C$19:C$33,A6,'数据-汇总表'!N$19:N$33))</f>
        <v>0</v>
      </c>
      <c r="T6" s="1439">
        <f>ROUND($L$14*S6/10000,0)</f>
        <v>0</v>
      </c>
      <c r="U6" s="77">
        <f>'比较法-办公'!B3</f>
        <v>6</v>
      </c>
      <c r="V6" s="78">
        <v>0.03</v>
      </c>
      <c r="W6" s="3037">
        <v>0.1</v>
      </c>
      <c r="X6" s="1257"/>
      <c r="Y6" s="79">
        <v>0.98</v>
      </c>
      <c r="Z6" s="80"/>
      <c r="AA6" s="73"/>
      <c r="AB6" s="73"/>
      <c r="AC6" s="1257"/>
      <c r="AD6" s="81"/>
      <c r="AE6" s="1258">
        <f ca="1">IF(AN6="",0,SUMIF(INDIRECT("'"&amp;AN6&amp;"'"&amp;"!E:E"),$AE$5,INDIRECT("'"&amp;AN6&amp;"'"&amp;"!F:F")))</f>
        <v>46.2</v>
      </c>
      <c r="AF6" s="1800"/>
      <c r="AG6" s="146">
        <f>IF(AF6="",0,AE6-AF6)</f>
        <v>0</v>
      </c>
      <c r="AH6" s="82"/>
      <c r="AI6" s="84">
        <v>365</v>
      </c>
      <c r="AJ6" s="85"/>
      <c r="AK6" s="86">
        <v>0.02</v>
      </c>
      <c r="AL6" s="87">
        <v>2E-3</v>
      </c>
      <c r="AM6" s="88">
        <v>0.02</v>
      </c>
      <c r="AN6" s="2301" t="s">
        <v>3557</v>
      </c>
      <c r="AO6" s="54">
        <f ca="1">SUMIF(INDIRECT("'"&amp;AN6&amp;"'"&amp;"!A:A"),"总价",INDIRECT("'"&amp;AN6&amp;"'"&amp;"!B:B"))</f>
        <v>161167</v>
      </c>
      <c r="AP6" s="2302">
        <f>IF(C6="住宅",K6*L6,0)</f>
        <v>0</v>
      </c>
      <c r="AQ6" s="54">
        <f>ROUND($L$14*$N$14*S6/10000,0)</f>
        <v>0</v>
      </c>
      <c r="AR6" s="54">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商业</v>
      </c>
      <c r="B7" s="2299" t="str">
        <f t="shared" ref="B7:B13" si="1">IF(A7=0,"","经营性")</f>
        <v>经营性</v>
      </c>
      <c r="C7" s="2300" t="s">
        <v>1377</v>
      </c>
      <c r="D7" s="1047">
        <f>SUMIF(项目基本情况!D$12:I$12,C7,项目基本情况!D$14:I$14)</f>
        <v>40</v>
      </c>
      <c r="E7" s="1044">
        <f>IF(B7="","",SUMIF(项目基本情况!D$12:I$12,C7,项目基本情况!D$13:I$13))</f>
        <v>56394</v>
      </c>
      <c r="F7" s="71">
        <f>SUMIF(项目基本情况!D$12:I$12,C7,项目基本情况!D$15:I$15)</f>
        <v>36.19</v>
      </c>
      <c r="G7" s="72">
        <f t="shared" ref="G7:G11" si="2">IF(ISERROR(ROUND(POWER(1+H7,D7-F7)*(POWER(1+H7,F7)-1)/(POWER(1+H7,D7)-1),3)),0,ROUND(POWER(1+H7,D7-F7)*(POWER(1+H7,F7)-1)/(POWER(1+H7,D7)-1),3))</f>
        <v>0.97299999999999998</v>
      </c>
      <c r="H7" s="801">
        <v>0.06</v>
      </c>
      <c r="I7" s="801">
        <v>6.5000000000000002E-2</v>
      </c>
      <c r="J7" s="73">
        <v>8.5000000000000006E-2</v>
      </c>
      <c r="K7" s="1247">
        <f>SUMIF('数据-汇总表'!C$19:C$33,A7,'数据-汇总表'!E$19:E$33)</f>
        <v>3150.28</v>
      </c>
      <c r="L7" s="802">
        <v>3500</v>
      </c>
      <c r="M7" s="74">
        <f t="shared" si="0"/>
        <v>1103</v>
      </c>
      <c r="N7" s="800">
        <f>N6</f>
        <v>0.98</v>
      </c>
      <c r="O7" s="74" t="str">
        <f t="shared" ref="O7:O14" si="3">IF($N$5="成新度","——",ROUND(M7*N7,0))</f>
        <v>——</v>
      </c>
      <c r="P7" s="75" t="str">
        <f t="shared" ref="P7:P14" si="4">IF($N$5="成新度","——",M7-O7)</f>
        <v>——</v>
      </c>
      <c r="Q7" s="803">
        <v>0.2</v>
      </c>
      <c r="R7" s="76">
        <f ca="1">SUMIF('数据-汇总表'!C$19:C$33,A7,'数据-汇总表'!R$19:R$27)</f>
        <v>628.92999999999995</v>
      </c>
      <c r="S7" s="53">
        <f>IF('数据-汇总表'!$I$17="按面积比例",SUMIF('数据-汇总表'!C$19:C$33,A7,'数据-汇总表'!K$19:K$33),SUMIF('数据-汇总表'!C$19:C$33,A7,'数据-汇总表'!N$19:N$33))</f>
        <v>0</v>
      </c>
      <c r="T7" s="1439">
        <f t="shared" ref="T7:T13" si="5">ROUND($L$14*S7/10000,0)</f>
        <v>0</v>
      </c>
      <c r="U7" s="77">
        <v>3.5</v>
      </c>
      <c r="V7" s="78">
        <v>0.03</v>
      </c>
      <c r="W7" s="78">
        <v>0.1</v>
      </c>
      <c r="X7" s="1257"/>
      <c r="Y7" s="79">
        <v>0.98</v>
      </c>
      <c r="Z7" s="80"/>
      <c r="AA7" s="73"/>
      <c r="AB7" s="73"/>
      <c r="AC7" s="1257"/>
      <c r="AD7" s="81"/>
      <c r="AE7" s="1258">
        <f t="shared" ref="AE7:AE13" ca="1" si="6">IF(AN7="",0,SUMIF(INDIRECT("'"&amp;AN7&amp;"'"&amp;"!E:E"),$AE$5,INDIRECT("'"&amp;AN7&amp;"'"&amp;"!F:F")))</f>
        <v>36.19</v>
      </c>
      <c r="AF7" s="1800"/>
      <c r="AG7" s="146">
        <f t="shared" ref="AG7:AG13" si="7">IF(AF7="",0,AE7-AF7)</f>
        <v>0</v>
      </c>
      <c r="AH7" s="82"/>
      <c r="AI7" s="84">
        <v>365</v>
      </c>
      <c r="AJ7" s="85"/>
      <c r="AK7" s="86">
        <v>0.02</v>
      </c>
      <c r="AL7" s="87">
        <v>2E-3</v>
      </c>
      <c r="AM7" s="88">
        <v>0.02</v>
      </c>
      <c r="AN7" s="2301" t="s">
        <v>3559</v>
      </c>
      <c r="AO7" s="54">
        <f t="shared" ref="AO7:AO13" ca="1" si="8">SUMIF(INDIRECT("'"&amp;AN7&amp;"'"&amp;"!A:A"),"总价",INDIRECT("'"&amp;AN7&amp;"'"&amp;"!B:B"))</f>
        <v>5749</v>
      </c>
      <c r="AP7" s="2302">
        <f t="shared" ref="AP7:AP13" si="9">IF(C7="住宅",K7*L7,0)</f>
        <v>0</v>
      </c>
      <c r="AQ7" s="54">
        <f t="shared" ref="AQ7:AQ13" si="10">ROUND($L$14*$N$14*S7/10000,0)</f>
        <v>0</v>
      </c>
      <c r="AR7" s="54">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t="str">
        <f>'数据-汇总表'!C21</f>
        <v>地下车库</v>
      </c>
      <c r="B8" s="2299" t="str">
        <f t="shared" si="1"/>
        <v>经营性</v>
      </c>
      <c r="C8" s="2300" t="s">
        <v>3070</v>
      </c>
      <c r="D8" s="1047">
        <f>SUMIF(项目基本情况!D$12:I$12,C8,项目基本情况!D$14:I$14)</f>
        <v>50</v>
      </c>
      <c r="E8" s="1044">
        <f>IF(B8="","",SUMIF(项目基本情况!D$12:I$12,C8,项目基本情况!D$13:I$13))</f>
        <v>60047</v>
      </c>
      <c r="F8" s="71">
        <f>SUMIF(项目基本情况!D$12:I$12,C8,项目基本情况!D$15:I$15)</f>
        <v>46.2</v>
      </c>
      <c r="G8" s="72">
        <f t="shared" si="2"/>
        <v>0.97699999999999998</v>
      </c>
      <c r="H8" s="801">
        <v>4.4999999999999998E-2</v>
      </c>
      <c r="I8" s="801">
        <v>0.05</v>
      </c>
      <c r="J8" s="73">
        <v>8.5000000000000006E-2</v>
      </c>
      <c r="K8" s="1247">
        <f>SUMIF('数据-汇总表'!C$19:C$33,A8,'数据-汇总表'!E$19:E$33)</f>
        <v>8479.4599999999919</v>
      </c>
      <c r="L8" s="802">
        <v>2500</v>
      </c>
      <c r="M8" s="74">
        <f>ROUND(K8*L8/10000,0)</f>
        <v>2120</v>
      </c>
      <c r="N8" s="800">
        <f>N6</f>
        <v>0.98</v>
      </c>
      <c r="O8" s="74" t="str">
        <f t="shared" si="3"/>
        <v>——</v>
      </c>
      <c r="P8" s="75" t="str">
        <f t="shared" si="4"/>
        <v>——</v>
      </c>
      <c r="Q8" s="803">
        <v>0.1</v>
      </c>
      <c r="R8" s="76">
        <f ca="1">SUMIF('数据-汇总表'!C$19:C$33,A8,'数据-汇总表'!R$19:R$27)</f>
        <v>1692.87</v>
      </c>
      <c r="S8" s="53">
        <f>IF('数据-汇总表'!$I$17="按面积比例",SUMIF('数据-汇总表'!C$19:C$33,A8,'数据-汇总表'!K$19:K$33),SUMIF('数据-汇总表'!C$19:C$33,A8,'数据-汇总表'!N$19:N$33))</f>
        <v>0</v>
      </c>
      <c r="T8" s="1439">
        <f t="shared" si="5"/>
        <v>0</v>
      </c>
      <c r="U8" s="3016">
        <f>面积表!I11</f>
        <v>1.7</v>
      </c>
      <c r="V8" s="804">
        <v>0.02</v>
      </c>
      <c r="W8" s="804">
        <v>0.05</v>
      </c>
      <c r="X8" s="1257"/>
      <c r="Y8" s="79">
        <v>0.98</v>
      </c>
      <c r="Z8" s="80"/>
      <c r="AA8" s="73"/>
      <c r="AB8" s="73"/>
      <c r="AC8" s="1257"/>
      <c r="AD8" s="81"/>
      <c r="AE8" s="1258">
        <f t="shared" ca="1" si="6"/>
        <v>46.2</v>
      </c>
      <c r="AF8" s="1800"/>
      <c r="AG8" s="146">
        <f t="shared" si="7"/>
        <v>0</v>
      </c>
      <c r="AH8" s="3017"/>
      <c r="AI8" s="3018">
        <v>365</v>
      </c>
      <c r="AJ8" s="85"/>
      <c r="AK8" s="86">
        <v>0.02</v>
      </c>
      <c r="AL8" s="87">
        <v>2E-3</v>
      </c>
      <c r="AM8" s="88">
        <v>0.02</v>
      </c>
      <c r="AN8" s="2301" t="s">
        <v>3561</v>
      </c>
      <c r="AO8" s="54">
        <f t="shared" ca="1" si="8"/>
        <v>9129</v>
      </c>
      <c r="AP8" s="2302">
        <f t="shared" si="9"/>
        <v>0</v>
      </c>
      <c r="AQ8" s="54">
        <f t="shared" si="10"/>
        <v>0</v>
      </c>
      <c r="AR8" s="54">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7">
        <f>SUMIF(项目基本情况!D$12:I$12,C9,项目基本情况!D$14:I$14)</f>
        <v>0</v>
      </c>
      <c r="E9" s="1044" t="str">
        <f>IF(B9="","",SUMIF(项目基本情况!D$12:I$12,C9,项目基本情况!D$13:I$13))</f>
        <v/>
      </c>
      <c r="F9" s="71">
        <f>SUMIF(项目基本情况!D$12:I$12,C9,项目基本情况!D$15:I$15)</f>
        <v>0</v>
      </c>
      <c r="G9" s="72">
        <f t="shared" si="2"/>
        <v>0</v>
      </c>
      <c r="H9" s="801"/>
      <c r="I9" s="801"/>
      <c r="J9" s="73"/>
      <c r="K9" s="1247">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39">
        <f t="shared" si="5"/>
        <v>0</v>
      </c>
      <c r="U9" s="77"/>
      <c r="V9" s="804"/>
      <c r="W9" s="804"/>
      <c r="X9" s="1257"/>
      <c r="Y9" s="79"/>
      <c r="Z9" s="80"/>
      <c r="AA9" s="73"/>
      <c r="AB9" s="73"/>
      <c r="AC9" s="1257"/>
      <c r="AD9" s="81"/>
      <c r="AE9" s="1258">
        <f t="shared" ca="1" si="6"/>
        <v>0</v>
      </c>
      <c r="AF9" s="1800"/>
      <c r="AG9" s="146">
        <f t="shared" si="7"/>
        <v>0</v>
      </c>
      <c r="AH9" s="82"/>
      <c r="AI9" s="84"/>
      <c r="AJ9" s="85"/>
      <c r="AK9" s="86"/>
      <c r="AL9" s="87"/>
      <c r="AM9" s="88"/>
      <c r="AN9" s="2301"/>
      <c r="AO9" s="54" t="e">
        <f t="shared" ca="1" si="8"/>
        <v>#REF!</v>
      </c>
      <c r="AP9" s="2302">
        <f t="shared" si="9"/>
        <v>0</v>
      </c>
      <c r="AQ9" s="54">
        <f t="shared" si="10"/>
        <v>0</v>
      </c>
      <c r="AR9" s="54">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7">
        <f>SUMIF(项目基本情况!D$12:I$12,C10,项目基本情况!D$14:I$14)</f>
        <v>0</v>
      </c>
      <c r="E10" s="1044"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301"/>
      <c r="AO10" s="54" t="e">
        <f t="shared" ca="1" si="8"/>
        <v>#REF!</v>
      </c>
      <c r="AP10" s="2302">
        <f t="shared" si="9"/>
        <v>0</v>
      </c>
      <c r="AQ10" s="54">
        <f t="shared" si="10"/>
        <v>0</v>
      </c>
      <c r="AR10" s="54">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7">
        <f>SUMIF(项目基本情况!D$12:I$12,C11,项目基本情况!D$14:I$14)</f>
        <v>0</v>
      </c>
      <c r="E11" s="1044"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301"/>
      <c r="AO11" s="54" t="e">
        <f t="shared" ca="1" si="8"/>
        <v>#REF!</v>
      </c>
      <c r="AP11" s="2302">
        <f t="shared" si="9"/>
        <v>0</v>
      </c>
      <c r="AQ11" s="54">
        <f t="shared" si="10"/>
        <v>0</v>
      </c>
      <c r="AR11" s="54">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7">
        <f>SUMIF(项目基本情况!D$12:I$12,C12,项目基本情况!D$14:I$14)</f>
        <v>0</v>
      </c>
      <c r="E12" s="1044"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301"/>
      <c r="AO12" s="54" t="e">
        <f t="shared" ca="1" si="8"/>
        <v>#REF!</v>
      </c>
      <c r="AP12" s="2302">
        <f t="shared" si="9"/>
        <v>0</v>
      </c>
      <c r="AQ12" s="54">
        <f t="shared" si="10"/>
        <v>0</v>
      </c>
      <c r="AR12" s="54">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7">
        <f>SUMIF(项目基本情况!D$12:I$12,C13,项目基本情况!D$14:I$14)</f>
        <v>0</v>
      </c>
      <c r="E13" s="1044"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301"/>
      <c r="AO13" s="54" t="e">
        <f t="shared" ca="1" si="8"/>
        <v>#REF!</v>
      </c>
      <c r="AP13" s="2302">
        <f t="shared" si="9"/>
        <v>0</v>
      </c>
      <c r="AQ13" s="54">
        <f t="shared" si="10"/>
        <v>0</v>
      </c>
      <c r="AR13" s="54">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2012</v>
      </c>
      <c r="B14" s="2299" t="s">
        <v>2013</v>
      </c>
      <c r="C14" s="2304" t="s">
        <v>2012</v>
      </c>
      <c r="D14" s="1047"/>
      <c r="E14" s="1044"/>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3"/>
      <c r="T14" s="1439"/>
      <c r="U14" s="722"/>
      <c r="V14" s="1252"/>
      <c r="W14" s="1252"/>
      <c r="X14" s="1253"/>
      <c r="Y14" s="1254"/>
      <c r="Z14" s="1255"/>
      <c r="AA14" s="1256"/>
      <c r="AB14" s="1256"/>
      <c r="AC14" s="1257"/>
      <c r="AD14" s="1253"/>
      <c r="AE14" s="1258"/>
      <c r="AF14" s="54"/>
      <c r="AG14" s="146"/>
      <c r="AH14" s="1258"/>
      <c r="AI14" s="1811"/>
      <c r="AJ14" s="772"/>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2014</v>
      </c>
      <c r="B15" s="2299" t="s">
        <v>2013</v>
      </c>
      <c r="C15" s="2304" t="s">
        <v>2015</v>
      </c>
      <c r="D15" s="1047"/>
      <c r="E15" s="1044"/>
      <c r="F15" s="71"/>
      <c r="G15" s="72"/>
      <c r="H15" s="1246"/>
      <c r="I15" s="1246"/>
      <c r="J15" s="1246"/>
      <c r="K15" s="1247">
        <f>SUMIF('数据-汇总表'!C$19:C$33,A15,'数据-汇总表'!E$19:E$33)</f>
        <v>0</v>
      </c>
      <c r="L15" s="1248"/>
      <c r="M15" s="74"/>
      <c r="N15" s="1249"/>
      <c r="O15" s="74"/>
      <c r="P15" s="75"/>
      <c r="Q15" s="1250"/>
      <c r="R15" s="76"/>
      <c r="S15" s="53"/>
      <c r="T15" s="1439"/>
      <c r="U15" s="722"/>
      <c r="V15" s="1252"/>
      <c r="W15" s="1252"/>
      <c r="X15" s="1253"/>
      <c r="Y15" s="1254"/>
      <c r="Z15" s="1255"/>
      <c r="AA15" s="1256"/>
      <c r="AB15" s="1256"/>
      <c r="AC15" s="1257"/>
      <c r="AD15" s="1253"/>
      <c r="AE15" s="1258"/>
      <c r="AF15" s="54"/>
      <c r="AG15" s="146"/>
      <c r="AH15" s="1258"/>
      <c r="AI15" s="1811"/>
      <c r="AJ15" s="772"/>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2016</v>
      </c>
      <c r="B16" s="96"/>
      <c r="C16" s="1001"/>
      <c r="D16" s="2306"/>
      <c r="E16" s="96"/>
      <c r="F16" s="96"/>
      <c r="G16" s="97">
        <f>ROUND(SUMPRODUCT(G6:G13,K6:K13)/SUMPRODUCT((G6:G13&gt;0)*(K6:K13)),3)</f>
        <v>0.98</v>
      </c>
      <c r="H16" s="98">
        <f>ROUND(SUMPRODUCT(H6:H13,K6:K13)/SUMPRODUCT((H6:H13&gt;0)*(K6:K13)),3)</f>
        <v>0.05</v>
      </c>
      <c r="I16" s="99"/>
      <c r="J16" s="99"/>
      <c r="K16" s="100">
        <f>SUM(K6:K15)</f>
        <v>48185.319999999992</v>
      </c>
      <c r="L16" s="101">
        <f>ROUND(M16*10000/SUM(K6:K14),0)</f>
        <v>3703</v>
      </c>
      <c r="M16" s="101">
        <f>SUM(M6:M14)</f>
        <v>17845</v>
      </c>
      <c r="N16" s="102">
        <f>ROUND(SUMPRODUCT(M6:M14,N6:N14)/M16,3)</f>
        <v>0.98</v>
      </c>
      <c r="O16" s="101">
        <f>SUM(O6:O14)</f>
        <v>0</v>
      </c>
      <c r="P16" s="101">
        <f>SUM(P6:P14)</f>
        <v>0</v>
      </c>
      <c r="Q16" s="103">
        <f>ROUND(SUMPRODUCT(Q6:Q13,K6:K13)/SUMPRODUCT((Q6:Q13&gt;0)*(K6:K13)),2)</f>
        <v>0.18</v>
      </c>
      <c r="R16" s="1251">
        <f ca="1">SUM(R6:R13)</f>
        <v>9619.89</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1"/>
      <c r="C17" s="1577"/>
      <c r="D17" s="2265"/>
      <c r="E17" s="2265"/>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2017</v>
      </c>
      <c r="B18" s="2272"/>
      <c r="C18" s="2269"/>
      <c r="D18" s="2270"/>
      <c r="E18" s="2269"/>
      <c r="F18" s="2269"/>
      <c r="G18" s="2269"/>
      <c r="H18" s="2269"/>
      <c r="I18" s="2269"/>
      <c r="J18" s="2269"/>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2018</v>
      </c>
      <c r="B19" s="111">
        <v>0</v>
      </c>
      <c r="C19" s="2269" t="s">
        <v>2019</v>
      </c>
      <c r="D19" s="2270"/>
      <c r="E19" s="2269"/>
      <c r="F19" s="2269"/>
      <c r="G19" s="2269"/>
      <c r="H19" s="2269"/>
      <c r="I19" s="2269"/>
      <c r="J19" s="2269"/>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2020</v>
      </c>
      <c r="B20" s="112">
        <v>3</v>
      </c>
      <c r="C20" s="2269" t="s">
        <v>2021</v>
      </c>
      <c r="D20" s="2270"/>
      <c r="E20" s="2269"/>
      <c r="F20" s="2269"/>
      <c r="G20" s="2269"/>
      <c r="H20" s="2269"/>
      <c r="I20" s="2269"/>
      <c r="J20" s="2269"/>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2022</v>
      </c>
      <c r="B21" s="112">
        <v>3</v>
      </c>
      <c r="C21" s="2269"/>
      <c r="D21" s="2270"/>
      <c r="E21" s="2269"/>
      <c r="F21" s="2269"/>
      <c r="G21" s="2269"/>
      <c r="H21" s="2269"/>
      <c r="I21" s="2269"/>
      <c r="J21" s="2269"/>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2023</v>
      </c>
      <c r="B22" s="113">
        <f>B19+B20</f>
        <v>3</v>
      </c>
      <c r="C22" s="2269"/>
      <c r="D22" s="2270"/>
      <c r="E22" s="2269"/>
      <c r="F22" s="2269"/>
      <c r="G22" s="2269"/>
      <c r="H22" s="2269"/>
      <c r="I22" s="2269"/>
      <c r="J22" s="2269"/>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2024</v>
      </c>
      <c r="B23" s="113">
        <f>B19+B21</f>
        <v>3</v>
      </c>
      <c r="C23" s="2269"/>
      <c r="D23" s="2270"/>
      <c r="E23" s="2269"/>
      <c r="F23" s="2269"/>
      <c r="G23" s="2269"/>
      <c r="H23" s="2269"/>
      <c r="I23" s="2269"/>
      <c r="J23" s="2269"/>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2025</v>
      </c>
      <c r="B24" s="114">
        <f>B20-B21</f>
        <v>0</v>
      </c>
      <c r="C24" s="2269"/>
      <c r="D24" s="2270"/>
      <c r="E24" s="2269"/>
      <c r="F24" s="2269"/>
      <c r="G24" s="2269"/>
      <c r="H24" s="2269"/>
      <c r="I24" s="2269"/>
      <c r="J24" s="2269"/>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2026</v>
      </c>
      <c r="B26" s="2312" t="s">
        <v>2027</v>
      </c>
      <c r="C26" s="2313" t="s">
        <v>2028</v>
      </c>
      <c r="D26" s="2270"/>
      <c r="E26" s="2269"/>
      <c r="F26" s="2269"/>
      <c r="G26" s="2269"/>
      <c r="H26" s="2269"/>
      <c r="I26" s="2269"/>
      <c r="J26" s="2269"/>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2029</v>
      </c>
      <c r="B27" s="115"/>
      <c r="C27" s="1760" t="s">
        <v>2030</v>
      </c>
      <c r="D27" s="2315"/>
      <c r="E27" s="1423"/>
      <c r="F27" s="1423"/>
      <c r="G27" s="2269"/>
      <c r="H27" s="2269"/>
      <c r="I27" s="2269"/>
      <c r="J27" s="2269"/>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2031</v>
      </c>
      <c r="B28" s="118">
        <v>200</v>
      </c>
      <c r="C28" s="2318"/>
      <c r="D28" s="2315"/>
      <c r="E28" s="1423"/>
      <c r="F28" s="1423"/>
      <c r="G28" s="2269"/>
      <c r="H28" s="2269"/>
      <c r="I28" s="2269"/>
      <c r="J28" s="2269"/>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2032</v>
      </c>
      <c r="B29" s="120"/>
      <c r="C29" s="1760" t="s">
        <v>2033</v>
      </c>
      <c r="D29" s="2315"/>
      <c r="E29" s="1423"/>
      <c r="F29" s="1423"/>
      <c r="G29" s="2269"/>
      <c r="H29" s="2269"/>
      <c r="I29" s="2269"/>
      <c r="J29" s="2269"/>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2034</v>
      </c>
      <c r="B30" s="723">
        <v>200</v>
      </c>
      <c r="C30" s="2318"/>
      <c r="D30" s="2315"/>
      <c r="E30" s="1423"/>
      <c r="F30" s="1423"/>
      <c r="G30" s="2269"/>
      <c r="H30" s="2269"/>
      <c r="I30" s="2269"/>
      <c r="J30" s="2269"/>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2035</v>
      </c>
      <c r="B31" s="119">
        <f>B30-B32</f>
        <v>200</v>
      </c>
      <c r="C31" s="1760"/>
      <c r="D31" s="2315"/>
      <c r="E31" s="1423"/>
      <c r="F31" s="1423"/>
      <c r="G31" s="2269"/>
      <c r="H31" s="2269"/>
      <c r="I31" s="2269"/>
      <c r="J31" s="2269"/>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2036</v>
      </c>
      <c r="B32" s="724">
        <v>0</v>
      </c>
      <c r="C32" s="2318"/>
      <c r="D32" s="2270"/>
      <c r="E32" s="2269"/>
      <c r="F32" s="2269"/>
      <c r="G32" s="2269"/>
      <c r="H32" s="2269"/>
      <c r="I32" s="2269"/>
      <c r="J32" s="2269"/>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2037</v>
      </c>
      <c r="B33" s="725">
        <v>0.03</v>
      </c>
      <c r="C33" s="1759" t="s">
        <v>2038</v>
      </c>
      <c r="D33" s="2270"/>
      <c r="E33" s="2269"/>
      <c r="F33" s="2269"/>
      <c r="G33" s="2269"/>
      <c r="H33" s="2269"/>
      <c r="I33" s="2269"/>
      <c r="J33" s="2269"/>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2039</v>
      </c>
      <c r="B34" s="121">
        <v>0</v>
      </c>
      <c r="C34" s="1759" t="s">
        <v>2040</v>
      </c>
      <c r="D34" s="2270" t="s">
        <v>2041</v>
      </c>
      <c r="E34" s="731"/>
      <c r="F34" s="2269"/>
      <c r="G34" s="2269"/>
      <c r="H34" s="2269"/>
      <c r="I34" s="2269"/>
      <c r="J34" s="2269"/>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2042</v>
      </c>
      <c r="B35" s="118">
        <v>200</v>
      </c>
      <c r="C35" s="1759" t="s">
        <v>2043</v>
      </c>
      <c r="D35" s="2315"/>
      <c r="E35" s="1423"/>
      <c r="F35" s="1423"/>
      <c r="G35" s="2269"/>
      <c r="H35" s="2269"/>
      <c r="I35" s="2269"/>
      <c r="J35" s="2269"/>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2044</v>
      </c>
      <c r="B36" s="122">
        <v>1.4999999999999999E-2</v>
      </c>
      <c r="C36" s="1759" t="s">
        <v>2045</v>
      </c>
      <c r="D36" s="2270"/>
      <c r="E36" s="2269"/>
      <c r="F36" s="2269"/>
      <c r="G36" s="2269"/>
      <c r="H36" s="2269"/>
      <c r="I36" s="2269"/>
      <c r="J36" s="2269"/>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2046</v>
      </c>
      <c r="B37" s="123">
        <v>0.02</v>
      </c>
      <c r="C37" s="1759" t="s">
        <v>2047</v>
      </c>
      <c r="D37" s="2270"/>
      <c r="E37" s="2269"/>
      <c r="F37" s="2269"/>
      <c r="G37" s="2269"/>
      <c r="H37" s="2269"/>
      <c r="I37" s="2269"/>
      <c r="J37" s="2269"/>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2048</v>
      </c>
      <c r="B38" s="121">
        <v>0.02</v>
      </c>
      <c r="C38" s="1759" t="s">
        <v>2047</v>
      </c>
      <c r="D38" s="2270"/>
      <c r="E38" s="2269"/>
      <c r="F38" s="2269"/>
      <c r="G38" s="2269"/>
      <c r="H38" s="2269"/>
      <c r="I38" s="2269"/>
      <c r="J38" s="2269"/>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2049</v>
      </c>
      <c r="B39" s="361">
        <f ca="1">存贷款利率!I1</f>
        <v>1.4999999999999999E-2</v>
      </c>
      <c r="C39" s="1759"/>
      <c r="D39" s="2270"/>
      <c r="E39" s="2269"/>
      <c r="F39" s="2269"/>
      <c r="G39" s="2269"/>
      <c r="H39" s="2269"/>
      <c r="I39" s="2269"/>
      <c r="J39" s="2269"/>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2050</v>
      </c>
      <c r="B40" s="1296">
        <f ca="1">存贷款利率!G1</f>
        <v>4.7500000000000001E-2</v>
      </c>
      <c r="C40" s="1759" t="s">
        <v>2051</v>
      </c>
      <c r="D40" s="1577"/>
      <c r="E40" s="2270"/>
      <c r="F40" s="2269"/>
      <c r="G40" s="2269"/>
      <c r="H40" s="2269"/>
      <c r="I40" s="2269"/>
      <c r="J40" s="2269"/>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2052</v>
      </c>
      <c r="B41" s="124">
        <f>B42+B43</f>
        <v>5.5000000000000007E-2</v>
      </c>
      <c r="C41" s="1760"/>
      <c r="D41" s="1577"/>
      <c r="E41" s="2270"/>
      <c r="F41" s="2269"/>
      <c r="G41" s="2269"/>
      <c r="H41" s="2269"/>
      <c r="I41" s="2269"/>
      <c r="J41" s="2269"/>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2053</v>
      </c>
      <c r="B42" s="125">
        <v>0.05</v>
      </c>
      <c r="C42" s="2323">
        <f>IF(B2&lt;DATE(2016,5,1),0,B42)</f>
        <v>0.05</v>
      </c>
      <c r="D42" s="2270"/>
      <c r="E42" s="2269"/>
      <c r="F42" s="2269"/>
      <c r="G42" s="2269"/>
      <c r="H42" s="2269"/>
      <c r="I42" s="2269"/>
      <c r="J42" s="2269"/>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2054</v>
      </c>
      <c r="B43" s="126">
        <f>B42*(B44+B45+B46)+B47</f>
        <v>5.000000000000001E-3</v>
      </c>
      <c r="C43" s="1760"/>
      <c r="D43" s="2270"/>
      <c r="E43" s="2269"/>
      <c r="F43" s="2269"/>
      <c r="G43" s="2269"/>
      <c r="H43" s="2269"/>
      <c r="I43" s="2269"/>
      <c r="J43" s="2269"/>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2055</v>
      </c>
      <c r="B44" s="127">
        <v>0.05</v>
      </c>
      <c r="C44" s="1759" t="s">
        <v>2056</v>
      </c>
      <c r="D44" s="2270"/>
      <c r="E44" s="2269"/>
      <c r="F44" s="2269"/>
      <c r="G44" s="2269"/>
      <c r="H44" s="2269"/>
      <c r="I44" s="2269"/>
      <c r="J44" s="2269"/>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2057</v>
      </c>
      <c r="B45" s="125">
        <v>0.03</v>
      </c>
      <c r="C45" s="1760" t="s">
        <v>2058</v>
      </c>
      <c r="D45" s="2270"/>
      <c r="E45" s="2269"/>
      <c r="F45" s="2269"/>
      <c r="G45" s="2269"/>
      <c r="H45" s="2269"/>
      <c r="I45" s="2269"/>
      <c r="J45" s="2269"/>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2059</v>
      </c>
      <c r="B46" s="125">
        <v>0.02</v>
      </c>
      <c r="C46" s="1760" t="s">
        <v>2060</v>
      </c>
      <c r="D46" s="2270"/>
      <c r="E46" s="2269"/>
      <c r="F46" s="2269"/>
      <c r="G46" s="2269"/>
      <c r="H46" s="2269"/>
      <c r="I46" s="2269"/>
      <c r="J46" s="2269"/>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2061</v>
      </c>
      <c r="B47" s="128"/>
      <c r="C47" s="1760" t="s">
        <v>2062</v>
      </c>
      <c r="D47" s="2270"/>
      <c r="E47" s="2269"/>
      <c r="F47" s="2269"/>
      <c r="G47" s="2269"/>
      <c r="H47" s="2269"/>
      <c r="I47" s="2269"/>
      <c r="J47" s="2269"/>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2063</v>
      </c>
      <c r="B48" s="129">
        <v>0.03</v>
      </c>
      <c r="C48" s="1767" t="s">
        <v>2064</v>
      </c>
      <c r="D48" s="2270"/>
      <c r="E48" s="2269"/>
      <c r="F48" s="2269"/>
      <c r="G48" s="2269"/>
      <c r="H48" s="2269"/>
      <c r="I48" s="2269"/>
      <c r="J48" s="2269"/>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2065</v>
      </c>
      <c r="B49" s="125">
        <v>5.0000000000000001E-4</v>
      </c>
      <c r="C49" s="1767" t="s">
        <v>2066</v>
      </c>
      <c r="D49" s="2270"/>
      <c r="E49" s="2269"/>
      <c r="F49" s="2269"/>
      <c r="G49" s="2269"/>
      <c r="H49" s="2269"/>
      <c r="I49" s="2269"/>
      <c r="J49" s="2269"/>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2067</v>
      </c>
      <c r="B50" s="130">
        <v>1.2E-2</v>
      </c>
      <c r="C50" s="1423"/>
      <c r="D50" s="2270"/>
      <c r="E50" s="2269"/>
      <c r="F50" s="2269"/>
      <c r="G50" s="2269"/>
      <c r="H50" s="2269"/>
      <c r="I50" s="2269"/>
      <c r="J50" s="2269"/>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2068</v>
      </c>
      <c r="B51" s="131">
        <v>0.12</v>
      </c>
      <c r="C51" s="1423"/>
      <c r="D51" s="2270"/>
      <c r="E51" s="2269"/>
      <c r="F51" s="2269"/>
      <c r="G51" s="2269"/>
      <c r="H51" s="2269"/>
      <c r="I51" s="2269"/>
      <c r="J51" s="2269"/>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2069</v>
      </c>
      <c r="B52" s="132">
        <f>SUMIF(A54:A63,B53,B54:B63)</f>
        <v>1.5</v>
      </c>
      <c r="C52" s="1423"/>
      <c r="D52" s="2270"/>
      <c r="E52" s="2269"/>
      <c r="F52" s="2269"/>
      <c r="G52" s="2269"/>
      <c r="H52" s="2269"/>
      <c r="I52" s="2269"/>
      <c r="J52" s="2269"/>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2070</v>
      </c>
      <c r="B53" s="2328" t="s">
        <v>56</v>
      </c>
      <c r="C53" s="1423" t="s">
        <v>2071</v>
      </c>
      <c r="D53" s="2329" t="s">
        <v>2072</v>
      </c>
      <c r="E53" s="2269"/>
      <c r="F53" s="2269"/>
      <c r="G53" s="2269"/>
      <c r="H53" s="2269"/>
      <c r="I53" s="2269"/>
      <c r="J53" s="2269"/>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2073</v>
      </c>
      <c r="B54" s="83"/>
      <c r="C54" s="1423">
        <v>30</v>
      </c>
      <c r="D54" s="2270"/>
      <c r="E54" s="2269"/>
      <c r="F54" s="2269"/>
      <c r="G54" s="2269"/>
      <c r="H54" s="2269"/>
      <c r="I54" s="2269"/>
      <c r="J54" s="2269"/>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2074</v>
      </c>
      <c r="B55" s="83"/>
      <c r="C55" s="1423">
        <v>24</v>
      </c>
      <c r="D55" s="2270"/>
      <c r="E55" s="2269"/>
      <c r="F55" s="2269"/>
      <c r="G55" s="2269"/>
      <c r="H55" s="2269"/>
      <c r="I55" s="2331"/>
      <c r="J55" s="2269"/>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2075</v>
      </c>
      <c r="B56" s="83"/>
      <c r="C56" s="1423">
        <v>18</v>
      </c>
      <c r="D56" s="2270"/>
      <c r="E56" s="2269"/>
      <c r="F56" s="2269"/>
      <c r="G56" s="2269"/>
      <c r="H56" s="2269"/>
      <c r="I56" s="2269"/>
      <c r="J56" s="2269"/>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2076</v>
      </c>
      <c r="B57" s="83"/>
      <c r="C57" s="1423">
        <v>12</v>
      </c>
      <c r="D57" s="2270"/>
      <c r="E57" s="2269"/>
      <c r="F57" s="2269"/>
      <c r="G57" s="2269"/>
      <c r="H57" s="2269"/>
      <c r="I57" s="2269"/>
      <c r="J57" s="2269"/>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2077</v>
      </c>
      <c r="B58" s="83"/>
      <c r="C58" s="1423">
        <v>3</v>
      </c>
      <c r="D58" s="2270"/>
      <c r="E58" s="2269"/>
      <c r="F58" s="2269"/>
      <c r="G58" s="2269"/>
      <c r="H58" s="2269"/>
      <c r="I58" s="2269"/>
      <c r="J58" s="2269"/>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2078</v>
      </c>
      <c r="B59" s="83">
        <v>1.5</v>
      </c>
      <c r="C59" s="1423">
        <v>1.5</v>
      </c>
      <c r="D59" s="2270"/>
      <c r="E59" s="2269"/>
      <c r="F59" s="2269"/>
      <c r="G59" s="2269"/>
      <c r="H59" s="2269"/>
      <c r="I59" s="2269"/>
      <c r="J59" s="2269"/>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2079</v>
      </c>
      <c r="B60" s="83"/>
      <c r="C60" s="2269"/>
      <c r="D60" s="2270"/>
      <c r="E60" s="2269"/>
      <c r="F60" s="2269"/>
      <c r="G60" s="2269"/>
      <c r="H60" s="2269"/>
      <c r="I60" s="2269"/>
      <c r="J60" s="2269"/>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2080</v>
      </c>
      <c r="B61" s="83"/>
      <c r="C61" s="2269"/>
      <c r="D61" s="2270"/>
      <c r="E61" s="2269"/>
      <c r="F61" s="2269"/>
      <c r="G61" s="2269"/>
      <c r="H61" s="2269"/>
      <c r="I61" s="2269"/>
      <c r="J61" s="2269"/>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2081</v>
      </c>
      <c r="B62" s="83"/>
      <c r="C62" s="2269"/>
      <c r="D62" s="2270"/>
      <c r="E62" s="2269"/>
      <c r="F62" s="2269"/>
      <c r="G62" s="2269"/>
      <c r="H62" s="2269"/>
      <c r="I62" s="2269"/>
      <c r="J62" s="2269"/>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2082</v>
      </c>
      <c r="B63" s="133"/>
      <c r="C63" s="2269"/>
      <c r="D63" s="2270"/>
      <c r="E63" s="2269"/>
      <c r="F63" s="2269"/>
      <c r="G63" s="2269"/>
      <c r="H63" s="2269"/>
      <c r="I63" s="2269"/>
      <c r="J63" s="2269"/>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7"/>
      <c r="L64" s="797"/>
    </row>
    <row r="65" spans="1:12" s="960" customFormat="1">
      <c r="A65" s="2333"/>
      <c r="D65" s="2334"/>
      <c r="K65" s="797"/>
      <c r="L65" s="797"/>
    </row>
    <row r="66" spans="1:12" s="960" customFormat="1">
      <c r="A66" s="2333"/>
      <c r="D66" s="2334"/>
      <c r="K66" s="797"/>
      <c r="L66" s="797"/>
    </row>
    <row r="67" spans="1:12" s="960" customFormat="1">
      <c r="A67" s="2333"/>
      <c r="D67" s="2334"/>
      <c r="K67" s="797"/>
      <c r="L67" s="797"/>
    </row>
    <row r="68" spans="1:12" s="960" customFormat="1">
      <c r="A68" s="2333"/>
      <c r="D68" s="2334"/>
      <c r="K68" s="797"/>
      <c r="L68" s="797"/>
    </row>
    <row r="69" spans="1:12" s="960" customFormat="1">
      <c r="A69" s="2333"/>
      <c r="D69" s="2334"/>
      <c r="K69" s="797"/>
      <c r="L69" s="797"/>
    </row>
    <row r="70" spans="1:12" s="960" customFormat="1">
      <c r="A70" s="2333"/>
      <c r="D70" s="2334"/>
      <c r="K70" s="797"/>
      <c r="L70" s="797"/>
    </row>
    <row r="71" spans="1:12" s="960" customFormat="1">
      <c r="A71" s="2333"/>
      <c r="D71" s="2334"/>
      <c r="K71" s="797"/>
      <c r="L71" s="797"/>
    </row>
    <row r="72" spans="1:12" s="960" customFormat="1">
      <c r="A72" s="2333"/>
      <c r="D72" s="2334"/>
      <c r="K72" s="797"/>
      <c r="L72" s="797"/>
    </row>
    <row r="73" spans="1:12" s="960" customFormat="1">
      <c r="A73" s="2333"/>
      <c r="D73" s="2334"/>
      <c r="K73" s="797"/>
      <c r="L73" s="797"/>
    </row>
    <row r="74" spans="1:12" s="960" customFormat="1">
      <c r="A74" s="2333"/>
      <c r="D74" s="2334"/>
      <c r="K74" s="797"/>
      <c r="L74" s="797"/>
    </row>
    <row r="75" spans="1:12" s="960" customFormat="1">
      <c r="A75" s="2333"/>
      <c r="D75" s="2334"/>
      <c r="K75" s="797"/>
      <c r="L75" s="797"/>
    </row>
    <row r="76" spans="1:12" s="960" customFormat="1">
      <c r="A76" s="2333"/>
      <c r="D76" s="2334"/>
      <c r="K76" s="797"/>
      <c r="L76" s="797"/>
    </row>
    <row r="77" spans="1:12" s="960" customFormat="1">
      <c r="A77" s="2333"/>
      <c r="D77" s="2334"/>
      <c r="K77" s="797"/>
      <c r="L77" s="797"/>
    </row>
    <row r="78" spans="1:12" s="960" customFormat="1">
      <c r="A78" s="2333"/>
      <c r="D78" s="2334"/>
      <c r="K78" s="797"/>
      <c r="L78" s="797"/>
    </row>
    <row r="79" spans="1:12" s="960" customFormat="1">
      <c r="A79" s="2333"/>
      <c r="D79" s="2334"/>
      <c r="K79" s="797"/>
      <c r="L79" s="797"/>
    </row>
    <row r="80" spans="1:12" s="960" customFormat="1">
      <c r="A80" s="2333"/>
      <c r="D80" s="2334"/>
      <c r="K80" s="797"/>
      <c r="L80" s="797"/>
    </row>
    <row r="81" spans="1:12" s="960" customFormat="1">
      <c r="A81" s="2333"/>
      <c r="D81" s="2334"/>
      <c r="K81" s="797"/>
      <c r="L81" s="797"/>
    </row>
    <row r="82" spans="1:12" s="960" customFormat="1">
      <c r="A82" s="2333"/>
      <c r="D82" s="2334"/>
      <c r="K82" s="797"/>
      <c r="L82" s="797"/>
    </row>
    <row r="83" spans="1:12" s="960" customFormat="1">
      <c r="A83" s="2333"/>
      <c r="D83" s="2334"/>
      <c r="K83" s="797"/>
      <c r="L83" s="797"/>
    </row>
    <row r="84" spans="1:12" s="960" customFormat="1">
      <c r="A84" s="2333"/>
      <c r="D84" s="2334"/>
      <c r="K84" s="797"/>
      <c r="L84" s="797"/>
    </row>
    <row r="85" spans="1:12" s="960" customFormat="1">
      <c r="A85" s="2333"/>
      <c r="D85" s="2334"/>
      <c r="K85" s="797"/>
      <c r="L85" s="797"/>
    </row>
    <row r="86" spans="1:12" s="960" customFormat="1">
      <c r="A86" s="2333"/>
      <c r="D86" s="2334"/>
      <c r="K86" s="797"/>
      <c r="L86" s="797"/>
    </row>
    <row r="87" spans="1:12" s="960" customFormat="1">
      <c r="A87" s="2333"/>
      <c r="D87" s="2334"/>
      <c r="K87" s="797"/>
      <c r="L87" s="797"/>
    </row>
    <row r="88" spans="1:12" s="960" customFormat="1">
      <c r="A88" s="2333"/>
      <c r="D88" s="2334"/>
      <c r="K88" s="797"/>
      <c r="L88" s="797"/>
    </row>
    <row r="89" spans="1:12" s="960" customFormat="1">
      <c r="A89" s="2333"/>
      <c r="D89" s="2334"/>
      <c r="K89" s="797"/>
      <c r="L89" s="797"/>
    </row>
    <row r="90" spans="1:12" s="960" customFormat="1">
      <c r="A90" s="2333"/>
      <c r="D90" s="2334"/>
      <c r="K90" s="797"/>
      <c r="L90" s="797"/>
    </row>
    <row r="91" spans="1:12" s="960" customFormat="1">
      <c r="A91" s="2333"/>
      <c r="D91" s="2334"/>
      <c r="K91" s="797"/>
      <c r="L91" s="797"/>
    </row>
    <row r="92" spans="1:12" s="960" customFormat="1">
      <c r="A92" s="2333"/>
      <c r="D92" s="2334"/>
      <c r="K92" s="797"/>
      <c r="L92" s="797"/>
    </row>
    <row r="93" spans="1:12" s="960" customFormat="1">
      <c r="A93" s="2333"/>
      <c r="D93" s="2334"/>
      <c r="K93" s="797"/>
      <c r="L93" s="797"/>
    </row>
    <row r="94" spans="1:12" s="960" customFormat="1">
      <c r="A94" s="2333"/>
      <c r="D94" s="2334"/>
      <c r="K94" s="797"/>
      <c r="L94" s="797"/>
    </row>
    <row r="95" spans="1:12" s="960" customFormat="1">
      <c r="A95" s="2333"/>
      <c r="D95" s="2334"/>
      <c r="K95" s="797"/>
      <c r="L95" s="797"/>
    </row>
    <row r="96" spans="1:12" s="960" customFormat="1">
      <c r="A96" s="2333"/>
      <c r="D96" s="2334"/>
      <c r="K96" s="797"/>
      <c r="L96" s="797"/>
    </row>
    <row r="97" spans="1:12" s="960" customFormat="1">
      <c r="A97" s="2333"/>
      <c r="D97" s="2334"/>
      <c r="K97" s="797"/>
      <c r="L97" s="797"/>
    </row>
    <row r="98" spans="1:12" s="960" customFormat="1">
      <c r="A98" s="2333"/>
      <c r="D98" s="2334"/>
      <c r="K98" s="797"/>
      <c r="L98" s="797"/>
    </row>
    <row r="99" spans="1:12" s="960" customFormat="1">
      <c r="A99" s="2333"/>
      <c r="D99" s="2334"/>
      <c r="K99" s="797"/>
      <c r="L99" s="797"/>
    </row>
    <row r="100" spans="1:12" s="960" customFormat="1">
      <c r="A100" s="2333"/>
      <c r="D100" s="2334"/>
      <c r="K100" s="797"/>
      <c r="L100" s="797"/>
    </row>
    <row r="101" spans="1:12" s="960" customFormat="1">
      <c r="A101" s="2333"/>
      <c r="D101" s="2334"/>
      <c r="K101" s="797"/>
      <c r="L101" s="797"/>
    </row>
    <row r="102" spans="1:12" s="960" customFormat="1">
      <c r="A102" s="2333"/>
      <c r="D102" s="2334"/>
      <c r="K102" s="797"/>
      <c r="L102" s="797"/>
    </row>
    <row r="103" spans="1:12" s="960" customFormat="1">
      <c r="A103" s="2333"/>
      <c r="D103" s="2334"/>
      <c r="K103" s="797"/>
      <c r="L103" s="797"/>
    </row>
    <row r="104" spans="1:12" s="960" customFormat="1">
      <c r="A104" s="2333"/>
      <c r="D104" s="2334"/>
      <c r="K104" s="797"/>
      <c r="L104" s="797"/>
    </row>
    <row r="105" spans="1:12" s="960" customFormat="1">
      <c r="A105" s="2333"/>
      <c r="D105" s="2334"/>
      <c r="K105" s="797"/>
      <c r="L105" s="797"/>
    </row>
    <row r="106" spans="1:12" s="960" customFormat="1">
      <c r="A106" s="2333"/>
      <c r="D106" s="2334"/>
      <c r="K106" s="797"/>
      <c r="L106" s="797"/>
    </row>
    <row r="107" spans="1:12" s="960" customFormat="1">
      <c r="A107" s="2333"/>
      <c r="D107" s="2334"/>
      <c r="K107" s="797"/>
      <c r="L107" s="797"/>
    </row>
    <row r="108" spans="1:12" s="960" customFormat="1">
      <c r="A108" s="2333"/>
      <c r="D108" s="2334"/>
      <c r="K108" s="797"/>
      <c r="L108" s="797"/>
    </row>
    <row r="109" spans="1:12" s="960" customFormat="1">
      <c r="A109" s="2333"/>
      <c r="D109" s="2334"/>
      <c r="K109" s="797"/>
      <c r="L109" s="797"/>
    </row>
    <row r="110" spans="1:12" s="960" customFormat="1">
      <c r="A110" s="2333"/>
      <c r="D110" s="2334"/>
      <c r="K110" s="797"/>
      <c r="L110" s="797"/>
    </row>
    <row r="111" spans="1:12" s="960" customFormat="1">
      <c r="A111" s="2333"/>
      <c r="D111" s="2334"/>
      <c r="K111" s="797"/>
      <c r="L111" s="797"/>
    </row>
    <row r="112" spans="1:12" s="960" customFormat="1">
      <c r="A112" s="2333"/>
      <c r="D112" s="2334"/>
      <c r="K112" s="797"/>
      <c r="L112" s="797"/>
    </row>
    <row r="113" spans="1:12" s="960" customFormat="1">
      <c r="A113" s="2333"/>
      <c r="D113" s="2334"/>
      <c r="K113" s="797"/>
      <c r="L113" s="797"/>
    </row>
    <row r="114" spans="1:12" s="960" customFormat="1">
      <c r="A114" s="2333"/>
      <c r="D114" s="2334"/>
      <c r="K114" s="797"/>
      <c r="L114" s="797"/>
    </row>
    <row r="115" spans="1:12" s="960" customFormat="1">
      <c r="A115" s="2333"/>
      <c r="D115" s="2334"/>
      <c r="K115" s="797"/>
      <c r="L115" s="797"/>
    </row>
    <row r="116" spans="1:12" s="960" customFormat="1">
      <c r="A116" s="2333"/>
      <c r="D116" s="2334"/>
      <c r="K116" s="797"/>
      <c r="L116" s="797"/>
    </row>
    <row r="117" spans="1:12" s="960" customFormat="1">
      <c r="A117" s="2333"/>
      <c r="D117" s="2334"/>
      <c r="K117" s="797"/>
      <c r="L117" s="797"/>
    </row>
    <row r="118" spans="1:12" s="960" customFormat="1">
      <c r="A118" s="2333"/>
      <c r="D118" s="2334"/>
      <c r="K118" s="797"/>
      <c r="L118" s="797"/>
    </row>
    <row r="119" spans="1:12" s="960" customFormat="1">
      <c r="A119" s="2333"/>
      <c r="D119" s="2334"/>
      <c r="K119" s="797"/>
      <c r="L119" s="797"/>
    </row>
    <row r="120" spans="1:12" s="960" customFormat="1">
      <c r="A120" s="2333"/>
      <c r="D120" s="2334"/>
      <c r="K120" s="797"/>
      <c r="L120" s="797"/>
    </row>
    <row r="121" spans="1:12" s="960" customFormat="1">
      <c r="A121" s="2333"/>
      <c r="D121" s="2334"/>
      <c r="K121" s="797"/>
      <c r="L121" s="797"/>
    </row>
    <row r="122" spans="1:12" s="960" customFormat="1">
      <c r="A122" s="2333"/>
      <c r="D122" s="2334"/>
      <c r="K122" s="797"/>
      <c r="L122" s="797"/>
    </row>
    <row r="123" spans="1:12" s="960" customFormat="1">
      <c r="A123" s="2333"/>
      <c r="D123" s="2334"/>
      <c r="K123" s="797"/>
      <c r="L123" s="797"/>
    </row>
    <row r="124" spans="1:12" s="960" customFormat="1">
      <c r="A124" s="2333"/>
      <c r="D124" s="2334"/>
      <c r="K124" s="797"/>
      <c r="L124" s="797"/>
    </row>
    <row r="125" spans="1:12" s="960" customFormat="1">
      <c r="A125" s="2333"/>
      <c r="D125" s="2334"/>
      <c r="K125" s="797"/>
      <c r="L125" s="797"/>
    </row>
    <row r="126" spans="1:12" s="960" customFormat="1">
      <c r="A126" s="2333"/>
      <c r="D126" s="2334"/>
      <c r="K126" s="797"/>
      <c r="L126" s="797"/>
    </row>
    <row r="127" spans="1:12" s="960" customFormat="1">
      <c r="A127" s="2333"/>
      <c r="D127" s="2334"/>
      <c r="K127" s="797"/>
      <c r="L127" s="797"/>
    </row>
    <row r="128" spans="1:12" s="960" customFormat="1">
      <c r="A128" s="2333"/>
      <c r="D128" s="2334"/>
      <c r="K128" s="797"/>
      <c r="L128" s="797"/>
    </row>
    <row r="129" spans="1:12" s="960" customFormat="1">
      <c r="A129" s="2333"/>
      <c r="D129" s="2334"/>
      <c r="K129" s="797"/>
      <c r="L129" s="797"/>
    </row>
    <row r="130" spans="1:12" s="960" customFormat="1">
      <c r="A130" s="2333"/>
      <c r="D130" s="2334"/>
      <c r="K130" s="797"/>
      <c r="L130" s="797"/>
    </row>
    <row r="131" spans="1:12" s="960" customFormat="1">
      <c r="A131" s="2333"/>
      <c r="D131" s="2334"/>
      <c r="K131" s="797"/>
      <c r="L131" s="797"/>
    </row>
    <row r="132" spans="1:12" s="960" customFormat="1">
      <c r="A132" s="2333"/>
      <c r="D132" s="2334"/>
      <c r="K132" s="797"/>
      <c r="L132" s="797"/>
    </row>
    <row r="133" spans="1:12" s="960" customFormat="1">
      <c r="A133" s="2333"/>
      <c r="D133" s="2334"/>
      <c r="K133" s="797"/>
      <c r="L133" s="797"/>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F28" sqref="F28"/>
    </sheetView>
  </sheetViews>
  <sheetFormatPr defaultRowHeight="14.25"/>
  <cols>
    <col min="1" max="1" width="9.5" style="2361"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0"/>
    <col min="30" max="16384" width="9" style="2361"/>
  </cols>
  <sheetData>
    <row r="1" spans="1:29" s="2354" customFormat="1" ht="19.5" thickBot="1">
      <c r="A1" s="3129" t="s">
        <v>2083</v>
      </c>
      <c r="B1" s="3130"/>
      <c r="C1" s="3130"/>
      <c r="D1" s="3130"/>
      <c r="E1" s="3130"/>
      <c r="F1" s="3130"/>
      <c r="G1" s="3130"/>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2084</v>
      </c>
      <c r="D2" s="2358"/>
      <c r="E2" s="2359"/>
      <c r="F2" s="2278"/>
      <c r="G2" s="2357" t="s">
        <v>2085</v>
      </c>
      <c r="H2" s="2360"/>
      <c r="I2" s="2360"/>
      <c r="J2" s="2360"/>
      <c r="K2" s="2360"/>
      <c r="L2" s="2360"/>
      <c r="M2" s="2360"/>
      <c r="N2" s="2360"/>
      <c r="O2" s="2360"/>
      <c r="P2" s="2360"/>
      <c r="Q2" s="2360"/>
      <c r="R2" s="2360"/>
    </row>
    <row r="3" spans="1:29" ht="42.75">
      <c r="A3" s="414" t="s">
        <v>2086</v>
      </c>
      <c r="B3" s="1264" t="s">
        <v>2087</v>
      </c>
      <c r="C3" s="2362"/>
      <c r="D3" s="2363"/>
      <c r="E3" s="430" t="s">
        <v>2086</v>
      </c>
      <c r="F3" s="2364" t="s">
        <v>2088</v>
      </c>
      <c r="G3" s="2365" t="s">
        <v>2089</v>
      </c>
      <c r="H3" s="2360"/>
      <c r="I3" s="2360"/>
      <c r="J3" s="2360"/>
      <c r="K3" s="2360"/>
      <c r="L3" s="2360"/>
      <c r="M3" s="2360"/>
      <c r="N3" s="2360"/>
      <c r="O3" s="2360"/>
      <c r="P3" s="2360"/>
      <c r="Q3" s="2360"/>
      <c r="R3" s="2360"/>
    </row>
    <row r="4" spans="1:29" ht="67.5">
      <c r="A4" s="430"/>
      <c r="B4" s="1791" t="s">
        <v>2090</v>
      </c>
      <c r="C4" s="3003" t="s">
        <v>3497</v>
      </c>
      <c r="D4" s="2363"/>
      <c r="E4" s="2366"/>
      <c r="F4" s="41" t="s">
        <v>2091</v>
      </c>
      <c r="G4" s="2367" t="s">
        <v>2092</v>
      </c>
      <c r="H4" s="2360"/>
      <c r="I4" s="2360"/>
      <c r="J4" s="2360"/>
      <c r="K4" s="2360"/>
      <c r="L4" s="2360"/>
      <c r="M4" s="2360"/>
      <c r="N4" s="2360"/>
      <c r="O4" s="2360"/>
      <c r="P4" s="2360"/>
      <c r="Q4" s="2360"/>
      <c r="R4" s="2360"/>
    </row>
    <row r="5" spans="1:29" ht="54">
      <c r="A5" s="430"/>
      <c r="B5" s="1791" t="s">
        <v>2093</v>
      </c>
      <c r="C5" s="3003" t="s">
        <v>3498</v>
      </c>
      <c r="D5" s="2363"/>
      <c r="E5" s="2366"/>
      <c r="F5" s="1791" t="s">
        <v>2094</v>
      </c>
      <c r="G5" s="2367" t="s">
        <v>2095</v>
      </c>
      <c r="H5" s="2360"/>
      <c r="I5" s="2360"/>
      <c r="J5" s="2360"/>
      <c r="K5" s="2360"/>
      <c r="L5" s="2360"/>
      <c r="M5" s="2360"/>
      <c r="N5" s="2360"/>
      <c r="O5" s="2360"/>
      <c r="P5" s="2360"/>
      <c r="Q5" s="2360"/>
      <c r="R5" s="2360"/>
    </row>
    <row r="6" spans="1:29" ht="148.5">
      <c r="A6" s="430"/>
      <c r="B6" s="1791" t="s">
        <v>2096</v>
      </c>
      <c r="C6" s="3004" t="s">
        <v>3499</v>
      </c>
      <c r="D6" s="2363"/>
      <c r="E6" s="2366"/>
      <c r="F6" s="1791" t="s">
        <v>2097</v>
      </c>
      <c r="G6" s="2367" t="s">
        <v>2098</v>
      </c>
      <c r="H6" s="2360"/>
      <c r="I6" s="2360"/>
      <c r="J6" s="2360"/>
      <c r="K6" s="2360"/>
      <c r="L6" s="2360"/>
      <c r="M6" s="2360"/>
      <c r="N6" s="2360"/>
      <c r="O6" s="2360"/>
      <c r="P6" s="2360"/>
      <c r="Q6" s="2360"/>
      <c r="R6" s="2360"/>
    </row>
    <row r="7" spans="1:29" ht="41.25" thickBot="1">
      <c r="A7" s="430"/>
      <c r="B7" s="1791" t="s">
        <v>2094</v>
      </c>
      <c r="C7" s="3004" t="s">
        <v>3500</v>
      </c>
      <c r="D7" s="2368"/>
      <c r="E7" s="2369"/>
      <c r="F7" s="2370" t="s">
        <v>2099</v>
      </c>
      <c r="G7" s="2371" t="s">
        <v>2100</v>
      </c>
      <c r="H7" s="2360"/>
      <c r="I7" s="2360"/>
      <c r="J7" s="2360"/>
      <c r="K7" s="2360"/>
      <c r="L7" s="2360"/>
      <c r="M7" s="2360"/>
      <c r="N7" s="2360"/>
      <c r="O7" s="2360"/>
      <c r="P7" s="2360"/>
      <c r="Q7" s="2360"/>
      <c r="R7" s="2360"/>
    </row>
    <row r="8" spans="1:29" ht="27">
      <c r="A8" s="430"/>
      <c r="B8" s="1791" t="s">
        <v>2097</v>
      </c>
      <c r="C8" s="3004" t="s">
        <v>3501</v>
      </c>
      <c r="D8" s="2368"/>
      <c r="E8" s="2368"/>
      <c r="F8" s="1129"/>
      <c r="G8" s="1129"/>
      <c r="H8" s="2360"/>
      <c r="I8" s="2360"/>
      <c r="J8" s="2360"/>
      <c r="K8" s="2360"/>
      <c r="L8" s="2360"/>
      <c r="M8" s="2360"/>
      <c r="N8" s="2360"/>
      <c r="O8" s="2360"/>
      <c r="P8" s="2360"/>
      <c r="Q8" s="2360"/>
      <c r="R8" s="2360"/>
    </row>
    <row r="9" spans="1:29" ht="94.5">
      <c r="A9" s="430"/>
      <c r="B9" s="1791" t="s">
        <v>2101</v>
      </c>
      <c r="C9" s="3003" t="s">
        <v>3502</v>
      </c>
      <c r="D9" s="2363"/>
      <c r="E9" s="2368"/>
      <c r="F9" s="1129"/>
      <c r="G9" s="1129"/>
      <c r="H9" s="2360"/>
      <c r="I9" s="2360"/>
      <c r="J9" s="2360"/>
      <c r="K9" s="2360"/>
      <c r="L9" s="2360"/>
      <c r="M9" s="2360"/>
      <c r="N9" s="2360"/>
      <c r="O9" s="2360"/>
      <c r="P9" s="2360"/>
      <c r="Q9" s="2360"/>
      <c r="R9" s="2360"/>
    </row>
    <row r="10" spans="1:29" s="116" customFormat="1" ht="15.75" thickBot="1">
      <c r="A10" s="2372"/>
      <c r="B10" s="2373" t="s">
        <v>2102</v>
      </c>
      <c r="C10" s="3005" t="s">
        <v>3503</v>
      </c>
      <c r="D10" s="2363"/>
      <c r="E10" s="2363"/>
      <c r="F10" s="1129"/>
      <c r="G10" s="1129"/>
      <c r="H10" s="2374"/>
      <c r="I10" s="2375"/>
      <c r="J10" s="2376"/>
      <c r="K10" s="2374"/>
      <c r="L10" s="2375"/>
      <c r="M10" s="2376"/>
      <c r="N10" s="2374"/>
      <c r="O10" s="2375"/>
      <c r="P10" s="2376"/>
      <c r="Q10" s="2374"/>
      <c r="R10" s="2375"/>
      <c r="S10" s="2360"/>
      <c r="T10" s="2360"/>
      <c r="U10" s="2360"/>
      <c r="V10" s="2360"/>
      <c r="W10" s="2360"/>
      <c r="X10" s="2360"/>
      <c r="Y10" s="2360"/>
      <c r="Z10" s="2360"/>
      <c r="AA10" s="2360"/>
      <c r="AB10" s="2360"/>
      <c r="AC10" s="2360"/>
    </row>
    <row r="11" spans="1:29" s="116" customFormat="1" ht="15">
      <c r="A11" s="2377"/>
      <c r="B11" s="2368"/>
      <c r="C11" s="2363"/>
      <c r="D11" s="2363"/>
      <c r="E11" s="2363"/>
      <c r="F11" s="2368"/>
      <c r="G11" s="1147"/>
      <c r="H11" s="2374"/>
      <c r="I11" s="2375"/>
      <c r="J11" s="2376"/>
      <c r="K11" s="2374"/>
      <c r="L11" s="2375"/>
      <c r="M11" s="2376"/>
      <c r="N11" s="2374"/>
      <c r="O11" s="2375"/>
      <c r="P11" s="2376"/>
      <c r="Q11" s="2374"/>
      <c r="R11" s="2375"/>
      <c r="S11" s="2360"/>
      <c r="T11" s="2360"/>
      <c r="U11" s="2360"/>
      <c r="V11" s="2360"/>
      <c r="W11" s="2360"/>
      <c r="X11" s="2360"/>
      <c r="Y11" s="2360"/>
      <c r="Z11" s="2360"/>
      <c r="AA11" s="2360"/>
      <c r="AB11" s="2360"/>
      <c r="AC11" s="2360"/>
    </row>
    <row r="12" spans="1:29" s="2354" customFormat="1" ht="18">
      <c r="A12" s="2377"/>
      <c r="B12" s="2368"/>
      <c r="C12" s="2363"/>
      <c r="D12" s="2378"/>
      <c r="E12" s="2363"/>
      <c r="F12" s="2368"/>
      <c r="G12" s="1147"/>
      <c r="H12" s="2379"/>
      <c r="I12" s="2380"/>
      <c r="J12" s="2379"/>
      <c r="K12" s="2379"/>
      <c r="L12" s="2381"/>
      <c r="M12" s="2379"/>
      <c r="N12" s="2382"/>
      <c r="O12" s="2383"/>
      <c r="P12" s="2382"/>
      <c r="Q12" s="2382"/>
      <c r="R12" s="2352"/>
      <c r="S12" s="2353"/>
      <c r="T12" s="2353"/>
      <c r="U12" s="2353"/>
      <c r="V12" s="2353"/>
      <c r="W12" s="2353"/>
      <c r="X12" s="2353"/>
      <c r="Y12" s="2353"/>
      <c r="Z12" s="2353"/>
      <c r="AA12" s="2353"/>
      <c r="AB12" s="2353"/>
      <c r="AC12" s="2353"/>
    </row>
    <row r="13" spans="1:29" ht="19.5" thickBot="1">
      <c r="A13" s="2384" t="s">
        <v>2103</v>
      </c>
      <c r="B13" s="2378"/>
      <c r="C13" s="2378"/>
      <c r="D13" s="2385"/>
      <c r="E13" s="2378"/>
      <c r="F13" s="2378"/>
      <c r="G13" s="2378"/>
    </row>
    <row r="14" spans="1:29" ht="15.75" thickBot="1">
      <c r="A14" s="2389"/>
      <c r="B14" s="2390"/>
      <c r="C14" s="2391" t="s">
        <v>2104</v>
      </c>
      <c r="D14" s="2363"/>
      <c r="E14" s="2392"/>
      <c r="F14" s="2392"/>
      <c r="G14" s="2357" t="s">
        <v>2105</v>
      </c>
    </row>
    <row r="15" spans="1:29" ht="42.75">
      <c r="A15" s="67" t="s">
        <v>2106</v>
      </c>
      <c r="B15" s="1263" t="s">
        <v>2087</v>
      </c>
      <c r="C15" s="2393">
        <f>C3</f>
        <v>0</v>
      </c>
      <c r="D15" s="2363"/>
      <c r="E15" s="2394" t="s">
        <v>2107</v>
      </c>
      <c r="F15" s="1263" t="s">
        <v>2108</v>
      </c>
      <c r="G15" s="134" t="str">
        <f>G3</f>
        <v>估价对象位于XX开发区，园区建设成熟度XX，产业集聚程度XX</v>
      </c>
    </row>
    <row r="16" spans="1:29" ht="71.25">
      <c r="A16" s="644"/>
      <c r="B16" s="2395" t="s">
        <v>2090</v>
      </c>
      <c r="C16" s="2396" t="str">
        <f>C4</f>
        <v>区域内分布多为社区配套商业，商业规模较小，与商业中心距离较远，人流量一般，综合考虑商业繁华度一般。</v>
      </c>
      <c r="D16" s="2363"/>
      <c r="E16" s="2397"/>
      <c r="F16" s="2398" t="s">
        <v>2091</v>
      </c>
      <c r="G16" s="135" t="str">
        <f>G4</f>
        <v>估价对象周边道路状况、公共交通通达情况、停车便捷程度，综合评价交通便捷度较好</v>
      </c>
    </row>
    <row r="17" spans="1:18" ht="57">
      <c r="A17" s="644"/>
      <c r="B17" s="2395" t="s">
        <v>2093</v>
      </c>
      <c r="C17" s="2396" t="str">
        <f>C5</f>
        <v>区域内分布有盈润大厦、绿地中央广场，写字楼规模一般，综合考虑办公集聚程度一般。</v>
      </c>
      <c r="D17" s="2368"/>
      <c r="E17" s="2397"/>
      <c r="F17" s="2398" t="s">
        <v>2109</v>
      </c>
      <c r="G17" s="1565"/>
    </row>
    <row r="18" spans="1:18" ht="142.5">
      <c r="A18" s="644"/>
      <c r="B18" s="2398" t="s">
        <v>2096</v>
      </c>
      <c r="C18" s="135" t="str">
        <f>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8" s="2368"/>
      <c r="E18" s="2397"/>
      <c r="F18" s="2398" t="s">
        <v>2099</v>
      </c>
      <c r="G18" s="135" t="str">
        <f>G7</f>
        <v>该园区内是否有污染型企业，绿化情况，卫生条件，整体环境状况判断</v>
      </c>
    </row>
    <row r="19" spans="1:18" ht="28.5">
      <c r="A19" s="644"/>
      <c r="B19" s="2398" t="s">
        <v>2110</v>
      </c>
      <c r="C19" s="1565"/>
      <c r="D19" s="2363"/>
      <c r="E19" s="2397"/>
      <c r="F19" s="1791" t="s">
        <v>2094</v>
      </c>
      <c r="G19" s="135" t="str">
        <f>G5</f>
        <v>估价对象所在区域公共配套设施齐备情况</v>
      </c>
    </row>
    <row r="20" spans="1:18" ht="85.5">
      <c r="A20" s="644"/>
      <c r="B20" s="2398" t="s">
        <v>2111</v>
      </c>
      <c r="C20" s="2396" t="str">
        <f>C9</f>
        <v>估价对象所处区域土地利用类型多为居住用地；估价对象周边有念坛公园，绿化率较好，周边无高等教育学校，无大型污染源，综合考虑自然及人文环境一般。</v>
      </c>
      <c r="D20" s="2368"/>
      <c r="E20" s="2397"/>
      <c r="F20" s="1791" t="s">
        <v>2112</v>
      </c>
      <c r="G20" s="135" t="str">
        <f>G6</f>
        <v>估价对象所在区域基础设施水平</v>
      </c>
    </row>
    <row r="21" spans="1:18" ht="28.5">
      <c r="A21" s="644"/>
      <c r="B21" s="1791" t="s">
        <v>2094</v>
      </c>
      <c r="C21" s="135" t="str">
        <f>C7</f>
        <v>估价对象所在区域公共配套设施齐备度一般</v>
      </c>
      <c r="D21" s="2363"/>
      <c r="E21" s="2397"/>
      <c r="F21" s="2398" t="s">
        <v>2113</v>
      </c>
      <c r="G21" s="2399"/>
    </row>
    <row r="22" spans="1:18" ht="13.5" customHeight="1">
      <c r="A22" s="644"/>
      <c r="B22" s="1791" t="s">
        <v>2097</v>
      </c>
      <c r="C22" s="135" t="str">
        <f>C8</f>
        <v>估价对象所在区域基础设施水平七通</v>
      </c>
      <c r="D22" s="2363"/>
      <c r="E22" s="2397"/>
      <c r="F22" s="2398" t="s">
        <v>2102</v>
      </c>
      <c r="G22" s="1565"/>
    </row>
    <row r="23" spans="1:18" s="2360" customFormat="1" ht="15.75" thickBot="1">
      <c r="A23" s="644"/>
      <c r="B23" s="2398" t="s">
        <v>2113</v>
      </c>
      <c r="C23" s="2399" t="s">
        <v>3474</v>
      </c>
      <c r="D23" s="2386"/>
      <c r="E23" s="2400"/>
      <c r="F23" s="2401" t="s">
        <v>2114</v>
      </c>
      <c r="G23" s="2402"/>
      <c r="H23" s="2386"/>
      <c r="I23" s="2387"/>
      <c r="J23" s="2386"/>
      <c r="K23" s="2386"/>
      <c r="L23" s="2387"/>
      <c r="M23" s="2386"/>
      <c r="N23" s="2386"/>
      <c r="O23" s="2387"/>
      <c r="P23" s="2386"/>
      <c r="Q23" s="2386"/>
      <c r="R23" s="2388"/>
    </row>
    <row r="24" spans="1:18" s="2360" customFormat="1" ht="15.75" thickBot="1">
      <c r="A24" s="2403"/>
      <c r="B24" s="2401" t="s">
        <v>2115</v>
      </c>
      <c r="C24" s="136" t="str">
        <f>C10</f>
        <v>城市次干道——新源大街</v>
      </c>
      <c r="D24" s="2386"/>
      <c r="E24" s="2404"/>
      <c r="F24" s="2404"/>
      <c r="G24" s="2405"/>
      <c r="H24" s="2386"/>
      <c r="I24" s="2387"/>
      <c r="J24" s="2386"/>
      <c r="K24" s="2386"/>
      <c r="L24" s="2387"/>
      <c r="M24" s="2386"/>
      <c r="N24" s="2386"/>
      <c r="O24" s="2387"/>
      <c r="P24" s="2386"/>
      <c r="Q24" s="2386"/>
      <c r="R24" s="2388"/>
    </row>
    <row r="25" spans="1:18" s="2360" customFormat="1">
      <c r="B25" s="2386"/>
      <c r="C25" s="2386"/>
      <c r="D25" s="2386"/>
      <c r="H25" s="2386"/>
      <c r="I25" s="2387"/>
      <c r="J25" s="2386"/>
      <c r="K25" s="2386"/>
      <c r="L25" s="2387"/>
      <c r="M25" s="2386"/>
      <c r="N25" s="2386"/>
      <c r="O25" s="2387"/>
      <c r="P25" s="2386"/>
      <c r="Q25" s="2386"/>
      <c r="R25" s="2388"/>
    </row>
    <row r="26" spans="1:18" s="2360" customFormat="1">
      <c r="B26" s="2386"/>
      <c r="C26" s="2386"/>
      <c r="D26" s="2386"/>
      <c r="H26" s="2386"/>
      <c r="I26" s="2387"/>
      <c r="J26" s="2386"/>
      <c r="K26" s="2386"/>
      <c r="L26" s="2387"/>
      <c r="M26" s="2386"/>
      <c r="N26" s="2386"/>
      <c r="O26" s="2387"/>
      <c r="P26" s="2386"/>
      <c r="Q26" s="2386"/>
      <c r="R26" s="2388"/>
    </row>
    <row r="27" spans="1:18" s="2360" customFormat="1">
      <c r="B27" s="2386"/>
      <c r="C27" s="2386"/>
      <c r="D27" s="2386"/>
      <c r="H27" s="2386"/>
      <c r="I27" s="2387"/>
      <c r="J27" s="2386"/>
      <c r="K27" s="2386"/>
      <c r="L27" s="2387"/>
      <c r="M27" s="2386"/>
      <c r="N27" s="2386"/>
      <c r="O27" s="2387"/>
      <c r="P27" s="2386"/>
      <c r="Q27" s="2386"/>
      <c r="R27" s="2388"/>
    </row>
    <row r="28" spans="1:18" s="2360" customFormat="1">
      <c r="B28" s="2386"/>
      <c r="C28" s="2386"/>
      <c r="D28" s="2386"/>
      <c r="H28" s="2386"/>
      <c r="I28" s="2387"/>
      <c r="J28" s="2386"/>
      <c r="K28" s="2386"/>
      <c r="L28" s="2387"/>
      <c r="M28" s="2386"/>
      <c r="N28" s="2386"/>
      <c r="O28" s="2387"/>
      <c r="P28" s="2386"/>
      <c r="Q28" s="2386"/>
      <c r="R28" s="2388"/>
    </row>
    <row r="29" spans="1:18" s="2360" customFormat="1">
      <c r="B29" s="2386"/>
      <c r="C29" s="2386"/>
      <c r="D29" s="2386"/>
      <c r="H29" s="2386"/>
      <c r="I29" s="2387"/>
      <c r="J29" s="2386"/>
      <c r="K29" s="2386"/>
      <c r="L29" s="2387"/>
      <c r="M29" s="2386"/>
      <c r="N29" s="2386"/>
      <c r="O29" s="2387"/>
      <c r="P29" s="2386"/>
      <c r="Q29" s="2386"/>
      <c r="R29" s="2388"/>
    </row>
    <row r="30" spans="1:18" s="2360" customFormat="1">
      <c r="B30" s="2386"/>
      <c r="C30" s="2386"/>
      <c r="D30" s="2386"/>
      <c r="H30" s="2386"/>
      <c r="I30" s="2387"/>
      <c r="J30" s="2386"/>
      <c r="K30" s="2386"/>
      <c r="L30" s="2387"/>
      <c r="M30" s="2386"/>
      <c r="N30" s="2386"/>
      <c r="O30" s="2387"/>
      <c r="P30" s="2386"/>
      <c r="Q30" s="2386"/>
      <c r="R30" s="2388"/>
    </row>
    <row r="31" spans="1:18" s="2360" customFormat="1">
      <c r="B31" s="2386"/>
      <c r="C31" s="2386"/>
      <c r="D31" s="2386"/>
      <c r="H31" s="2386"/>
      <c r="I31" s="2387"/>
      <c r="J31" s="2386"/>
      <c r="K31" s="2386"/>
      <c r="L31" s="2387"/>
      <c r="M31" s="2386"/>
      <c r="N31" s="2386"/>
      <c r="O31" s="2387"/>
      <c r="P31" s="2386"/>
      <c r="Q31" s="2386"/>
      <c r="R31" s="2388"/>
    </row>
    <row r="32" spans="1:18" s="2360" customFormat="1">
      <c r="B32" s="2386"/>
      <c r="C32" s="2386"/>
      <c r="D32" s="2386"/>
      <c r="H32" s="2386"/>
      <c r="I32" s="2387"/>
      <c r="J32" s="2386"/>
      <c r="K32" s="2386"/>
      <c r="L32" s="2387"/>
      <c r="M32" s="2386"/>
      <c r="N32" s="2386"/>
      <c r="O32" s="2387"/>
      <c r="P32" s="2386"/>
      <c r="Q32" s="2386"/>
      <c r="R32" s="2388"/>
    </row>
    <row r="33" spans="2:18" s="2360" customFormat="1">
      <c r="B33" s="2386"/>
      <c r="C33" s="2386"/>
      <c r="D33" s="2386"/>
      <c r="H33" s="2386"/>
      <c r="I33" s="2387"/>
      <c r="J33" s="2386"/>
      <c r="K33" s="2386"/>
      <c r="L33" s="2387"/>
      <c r="M33" s="2386"/>
      <c r="N33" s="2386"/>
      <c r="O33" s="2387"/>
      <c r="P33" s="2386"/>
      <c r="Q33" s="2386"/>
      <c r="R33" s="2388"/>
    </row>
    <row r="34" spans="2:18" s="2360" customFormat="1">
      <c r="B34" s="2386"/>
      <c r="C34" s="2386"/>
      <c r="D34" s="2386"/>
      <c r="H34" s="2386"/>
      <c r="I34" s="2387"/>
      <c r="J34" s="2386"/>
      <c r="K34" s="2386"/>
      <c r="L34" s="2387"/>
      <c r="M34" s="2386"/>
      <c r="N34" s="2386"/>
      <c r="O34" s="2387"/>
      <c r="P34" s="2386"/>
      <c r="Q34" s="2386"/>
      <c r="R34" s="2388"/>
    </row>
    <row r="35" spans="2:18" s="2360" customFormat="1">
      <c r="B35" s="2386"/>
      <c r="C35" s="2386"/>
      <c r="D35" s="2386"/>
      <c r="H35" s="2386"/>
      <c r="I35" s="2387"/>
      <c r="J35" s="2386"/>
      <c r="K35" s="2386"/>
      <c r="L35" s="2387"/>
      <c r="M35" s="2386"/>
      <c r="N35" s="2386"/>
      <c r="O35" s="2387"/>
      <c r="P35" s="2386"/>
      <c r="Q35" s="2386"/>
      <c r="R35" s="2388"/>
    </row>
    <row r="36" spans="2:18" s="2360" customFormat="1">
      <c r="B36" s="2386"/>
      <c r="C36" s="2386"/>
      <c r="D36" s="2386"/>
      <c r="H36" s="2386"/>
      <c r="I36" s="2387"/>
      <c r="J36" s="2386"/>
      <c r="K36" s="2386"/>
      <c r="L36" s="2387"/>
      <c r="M36" s="2386"/>
      <c r="N36" s="2386"/>
      <c r="O36" s="2387"/>
      <c r="P36" s="2386"/>
      <c r="Q36" s="2386"/>
      <c r="R36" s="2388"/>
    </row>
    <row r="37" spans="2:18" s="2360" customFormat="1">
      <c r="B37" s="2386"/>
      <c r="C37" s="2386"/>
      <c r="D37" s="2386"/>
      <c r="H37" s="2386"/>
      <c r="I37" s="2387"/>
      <c r="J37" s="2386"/>
      <c r="K37" s="2386"/>
      <c r="L37" s="2387"/>
      <c r="M37" s="2386"/>
      <c r="N37" s="2386"/>
      <c r="O37" s="2387"/>
      <c r="P37" s="2386"/>
      <c r="Q37" s="2386"/>
      <c r="R37" s="2388"/>
    </row>
    <row r="38" spans="2:18" s="2360" customFormat="1">
      <c r="B38" s="2386"/>
      <c r="C38" s="2386"/>
      <c r="D38" s="2386"/>
      <c r="E38" s="2386"/>
      <c r="F38" s="2386"/>
      <c r="G38" s="2387"/>
      <c r="H38" s="2386"/>
      <c r="I38" s="2387"/>
      <c r="J38" s="2386"/>
      <c r="K38" s="2386"/>
      <c r="L38" s="2387"/>
      <c r="M38" s="2386"/>
      <c r="N38" s="2386"/>
      <c r="O38" s="2387"/>
      <c r="P38" s="2386"/>
      <c r="Q38" s="2386"/>
      <c r="R38" s="2388"/>
    </row>
    <row r="39" spans="2:18" s="2360" customFormat="1">
      <c r="B39" s="2386"/>
      <c r="C39" s="2386"/>
      <c r="D39" s="2386"/>
      <c r="E39" s="2386"/>
      <c r="F39" s="2386"/>
      <c r="G39" s="2387"/>
      <c r="H39" s="2386"/>
      <c r="I39" s="2387"/>
      <c r="J39" s="2386"/>
      <c r="K39" s="2386"/>
      <c r="L39" s="2387"/>
      <c r="M39" s="2386"/>
      <c r="N39" s="2386"/>
      <c r="O39" s="2387"/>
      <c r="P39" s="2386"/>
      <c r="Q39" s="2386"/>
      <c r="R39" s="2388"/>
    </row>
    <row r="40" spans="2:18" s="2360" customFormat="1">
      <c r="B40" s="2386"/>
      <c r="C40" s="2386"/>
      <c r="D40" s="2386"/>
      <c r="E40" s="2386"/>
      <c r="F40" s="2386"/>
      <c r="G40" s="2387"/>
      <c r="H40" s="2386"/>
      <c r="I40" s="2387"/>
      <c r="J40" s="2386"/>
      <c r="K40" s="2386"/>
      <c r="L40" s="2387"/>
      <c r="M40" s="2386"/>
      <c r="N40" s="2386"/>
      <c r="O40" s="2387"/>
      <c r="P40" s="2386"/>
      <c r="Q40" s="2386"/>
      <c r="R40" s="2388"/>
    </row>
    <row r="41" spans="2:18" s="2360" customFormat="1">
      <c r="B41" s="2386"/>
      <c r="C41" s="2386"/>
      <c r="D41" s="2386"/>
      <c r="E41" s="2386"/>
      <c r="F41" s="2386"/>
      <c r="G41" s="2387"/>
      <c r="H41" s="2386"/>
      <c r="I41" s="2387"/>
      <c r="J41" s="2386"/>
      <c r="K41" s="2386"/>
      <c r="L41" s="2387"/>
      <c r="M41" s="2386"/>
      <c r="N41" s="2386"/>
      <c r="O41" s="2387"/>
      <c r="P41" s="2386"/>
      <c r="Q41" s="2386"/>
      <c r="R41" s="2388"/>
    </row>
    <row r="42" spans="2:18" s="2360" customFormat="1">
      <c r="B42" s="2386"/>
      <c r="C42" s="2386"/>
      <c r="D42" s="2386"/>
      <c r="E42" s="2386"/>
      <c r="F42" s="2386"/>
      <c r="G42" s="2387"/>
      <c r="H42" s="2386"/>
      <c r="I42" s="2387"/>
      <c r="J42" s="2386"/>
      <c r="K42" s="2386"/>
      <c r="L42" s="2387"/>
      <c r="M42" s="2386"/>
      <c r="N42" s="2386"/>
      <c r="O42" s="2387"/>
      <c r="P42" s="2386"/>
      <c r="Q42" s="2386"/>
      <c r="R42" s="2388"/>
    </row>
    <row r="43" spans="2:18" s="2360" customFormat="1">
      <c r="B43" s="2386"/>
      <c r="C43" s="2386"/>
      <c r="D43" s="2386"/>
      <c r="E43" s="2386"/>
      <c r="F43" s="2386"/>
      <c r="G43" s="2387"/>
      <c r="H43" s="2386"/>
      <c r="I43" s="2387"/>
      <c r="J43" s="2386"/>
      <c r="K43" s="2386"/>
      <c r="L43" s="2387"/>
      <c r="M43" s="2386"/>
      <c r="N43" s="2386"/>
      <c r="O43" s="2387"/>
      <c r="P43" s="2386"/>
      <c r="Q43" s="2386"/>
      <c r="R43" s="2388"/>
    </row>
    <row r="44" spans="2:18" s="2360" customFormat="1">
      <c r="B44" s="2386"/>
      <c r="C44" s="2386"/>
      <c r="D44" s="2386"/>
      <c r="E44" s="2386"/>
      <c r="F44" s="2386"/>
      <c r="G44" s="2387"/>
      <c r="H44" s="2386"/>
      <c r="I44" s="2387"/>
      <c r="J44" s="2386"/>
      <c r="K44" s="2386"/>
      <c r="L44" s="2387"/>
      <c r="M44" s="2386"/>
      <c r="N44" s="2386"/>
      <c r="O44" s="2387"/>
      <c r="P44" s="2386"/>
      <c r="Q44" s="2386"/>
      <c r="R44" s="2388"/>
    </row>
    <row r="45" spans="2:18" s="2360" customFormat="1">
      <c r="B45" s="2386"/>
      <c r="C45" s="2386"/>
      <c r="D45" s="2386"/>
      <c r="E45" s="2386"/>
      <c r="F45" s="2386"/>
      <c r="G45" s="2387"/>
      <c r="H45" s="2386"/>
      <c r="I45" s="2387"/>
      <c r="J45" s="2386"/>
      <c r="K45" s="2386"/>
      <c r="L45" s="2387"/>
      <c r="M45" s="2386"/>
      <c r="N45" s="2386"/>
      <c r="O45" s="2387"/>
      <c r="P45" s="2386"/>
      <c r="Q45" s="2386"/>
      <c r="R45" s="2388"/>
    </row>
    <row r="46" spans="2:18" s="2360" customFormat="1">
      <c r="B46" s="2386"/>
      <c r="C46" s="2386"/>
      <c r="D46" s="2386"/>
      <c r="E46" s="2386"/>
      <c r="F46" s="2386"/>
      <c r="G46" s="2387"/>
      <c r="H46" s="2386"/>
      <c r="I46" s="2387"/>
      <c r="J46" s="2386"/>
      <c r="K46" s="2386"/>
      <c r="L46" s="2387"/>
      <c r="M46" s="2386"/>
      <c r="N46" s="2386"/>
      <c r="O46" s="2387"/>
      <c r="P46" s="2386"/>
      <c r="Q46" s="2386"/>
      <c r="R46" s="2388"/>
    </row>
    <row r="47" spans="2:18" s="2360" customFormat="1">
      <c r="B47" s="2386"/>
      <c r="C47" s="2386"/>
      <c r="D47" s="2386"/>
      <c r="E47" s="2386"/>
      <c r="F47" s="2386"/>
      <c r="G47" s="2387"/>
      <c r="H47" s="2386"/>
      <c r="I47" s="2387"/>
      <c r="J47" s="2386"/>
      <c r="K47" s="2386"/>
      <c r="L47" s="2387"/>
      <c r="M47" s="2386"/>
      <c r="N47" s="2386"/>
      <c r="O47" s="2387"/>
      <c r="P47" s="2386"/>
      <c r="Q47" s="2386"/>
      <c r="R47" s="2388"/>
    </row>
    <row r="48" spans="2:18" s="2360" customFormat="1">
      <c r="B48" s="2386"/>
      <c r="C48" s="2386"/>
      <c r="D48" s="2386"/>
      <c r="E48" s="2386"/>
      <c r="F48" s="2386"/>
      <c r="G48" s="2387"/>
      <c r="H48" s="2386"/>
      <c r="I48" s="2387"/>
      <c r="J48" s="2386"/>
      <c r="K48" s="2386"/>
      <c r="L48" s="2387"/>
      <c r="M48" s="2386"/>
      <c r="N48" s="2386"/>
      <c r="O48" s="2387"/>
      <c r="P48" s="2386"/>
      <c r="Q48" s="2386"/>
      <c r="R48" s="2388"/>
    </row>
    <row r="49" spans="2:18" s="2360" customFormat="1">
      <c r="B49" s="2386"/>
      <c r="C49" s="2386"/>
      <c r="D49" s="2386"/>
      <c r="E49" s="2386"/>
      <c r="F49" s="2386"/>
      <c r="G49" s="2387"/>
      <c r="H49" s="2386"/>
      <c r="I49" s="2387"/>
      <c r="J49" s="2386"/>
      <c r="K49" s="2386"/>
      <c r="L49" s="2387"/>
      <c r="M49" s="2386"/>
      <c r="N49" s="2386"/>
      <c r="O49" s="2387"/>
      <c r="P49" s="2386"/>
      <c r="Q49" s="2386"/>
      <c r="R49" s="2388"/>
    </row>
    <row r="50" spans="2:18" s="2360" customFormat="1">
      <c r="B50" s="2386"/>
      <c r="C50" s="2386"/>
      <c r="D50" s="2386"/>
      <c r="E50" s="2386"/>
      <c r="F50" s="2386"/>
      <c r="G50" s="2387"/>
      <c r="H50" s="2386"/>
      <c r="I50" s="2387"/>
      <c r="J50" s="2386"/>
      <c r="K50" s="2386"/>
      <c r="L50" s="2387"/>
      <c r="M50" s="2386"/>
      <c r="N50" s="2386"/>
      <c r="O50" s="2387"/>
      <c r="P50" s="2386"/>
      <c r="Q50" s="2386"/>
      <c r="R50" s="2388"/>
    </row>
    <row r="51" spans="2:18" s="2360" customFormat="1">
      <c r="B51" s="2386"/>
      <c r="C51" s="2386"/>
      <c r="D51" s="2386"/>
      <c r="E51" s="2386"/>
      <c r="F51" s="2386"/>
      <c r="G51" s="2387"/>
      <c r="H51" s="2386"/>
      <c r="I51" s="2387"/>
      <c r="J51" s="2386"/>
      <c r="K51" s="2386"/>
      <c r="L51" s="2387"/>
      <c r="M51" s="2386"/>
      <c r="N51" s="2386"/>
      <c r="O51" s="2387"/>
      <c r="P51" s="2386"/>
      <c r="Q51" s="2386"/>
      <c r="R51" s="2388"/>
    </row>
    <row r="52" spans="2:18" s="2360" customFormat="1">
      <c r="B52" s="2386"/>
      <c r="C52" s="2386"/>
      <c r="D52" s="2386"/>
      <c r="E52" s="2386"/>
      <c r="F52" s="2386"/>
      <c r="G52" s="2387"/>
      <c r="H52" s="2386"/>
      <c r="I52" s="2387"/>
      <c r="J52" s="2386"/>
      <c r="K52" s="2386"/>
      <c r="L52" s="2387"/>
      <c r="M52" s="2386"/>
      <c r="N52" s="2386"/>
      <c r="O52" s="2387"/>
      <c r="P52" s="2386"/>
      <c r="Q52" s="2386"/>
      <c r="R52" s="2388"/>
    </row>
    <row r="53" spans="2:18" s="2360" customFormat="1">
      <c r="B53" s="2386"/>
      <c r="C53" s="2386"/>
      <c r="D53" s="2386"/>
      <c r="E53" s="2386"/>
      <c r="F53" s="2386"/>
      <c r="G53" s="2387"/>
      <c r="H53" s="2386"/>
      <c r="I53" s="2387"/>
      <c r="J53" s="2386"/>
      <c r="K53" s="2386"/>
      <c r="L53" s="2387"/>
      <c r="M53" s="2386"/>
      <c r="N53" s="2386"/>
      <c r="O53" s="2387"/>
      <c r="P53" s="2386"/>
      <c r="Q53" s="2386"/>
      <c r="R53" s="2388"/>
    </row>
    <row r="54" spans="2:18" s="2360" customFormat="1">
      <c r="B54" s="2386"/>
      <c r="C54" s="2386"/>
      <c r="D54" s="2386"/>
      <c r="E54" s="2386"/>
      <c r="F54" s="2386"/>
      <c r="G54" s="2387"/>
      <c r="H54" s="2386"/>
      <c r="I54" s="2387"/>
      <c r="J54" s="2386"/>
      <c r="K54" s="2386"/>
      <c r="L54" s="2387"/>
      <c r="M54" s="2386"/>
      <c r="N54" s="2386"/>
      <c r="O54" s="2387"/>
      <c r="P54" s="2386"/>
      <c r="Q54" s="2386"/>
      <c r="R54" s="2388"/>
    </row>
    <row r="55" spans="2:18" s="2360" customFormat="1">
      <c r="B55" s="2386"/>
      <c r="C55" s="2386"/>
      <c r="D55" s="2386"/>
      <c r="E55" s="2386"/>
      <c r="F55" s="2386"/>
      <c r="G55" s="2387"/>
      <c r="H55" s="2386"/>
      <c r="I55" s="2387"/>
      <c r="J55" s="2386"/>
      <c r="K55" s="2386"/>
      <c r="L55" s="2387"/>
      <c r="M55" s="2386"/>
      <c r="N55" s="2386"/>
      <c r="O55" s="2387"/>
      <c r="P55" s="2386"/>
      <c r="Q55" s="2386"/>
      <c r="R55" s="2388"/>
    </row>
    <row r="56" spans="2:18" s="2360" customFormat="1">
      <c r="B56" s="2386"/>
      <c r="C56" s="2386"/>
      <c r="D56" s="2386"/>
      <c r="E56" s="2386"/>
      <c r="F56" s="2386"/>
      <c r="G56" s="2387"/>
      <c r="H56" s="2386"/>
      <c r="I56" s="2387"/>
      <c r="J56" s="2386"/>
      <c r="K56" s="2386"/>
      <c r="L56" s="2387"/>
      <c r="M56" s="2386"/>
      <c r="N56" s="2386"/>
      <c r="O56" s="2387"/>
      <c r="P56" s="2386"/>
      <c r="Q56" s="2386"/>
      <c r="R56" s="2388"/>
    </row>
    <row r="57" spans="2:18" s="2360" customFormat="1">
      <c r="B57" s="2386"/>
      <c r="C57" s="2386"/>
      <c r="D57" s="2386"/>
      <c r="E57" s="2386"/>
      <c r="F57" s="2386"/>
      <c r="G57" s="2387"/>
      <c r="H57" s="2386"/>
      <c r="I57" s="2387"/>
      <c r="J57" s="2386"/>
      <c r="K57" s="2386"/>
      <c r="L57" s="2387"/>
      <c r="M57" s="2386"/>
      <c r="N57" s="2386"/>
      <c r="O57" s="2387"/>
      <c r="P57" s="2386"/>
      <c r="Q57" s="2386"/>
      <c r="R57" s="2388"/>
    </row>
    <row r="58" spans="2:18" s="2360" customFormat="1">
      <c r="B58" s="2386"/>
      <c r="C58" s="2386"/>
      <c r="D58" s="2386"/>
      <c r="E58" s="2386"/>
      <c r="F58" s="2386"/>
      <c r="G58" s="2387"/>
      <c r="H58" s="2386"/>
      <c r="I58" s="2387"/>
      <c r="J58" s="2386"/>
      <c r="K58" s="2386"/>
      <c r="L58" s="2387"/>
      <c r="M58" s="2386"/>
      <c r="N58" s="2386"/>
      <c r="O58" s="2387"/>
      <c r="P58" s="2386"/>
      <c r="Q58" s="2386"/>
      <c r="R58" s="2388"/>
    </row>
    <row r="59" spans="2:18" s="2360" customFormat="1">
      <c r="B59" s="2386"/>
      <c r="C59" s="2386"/>
      <c r="D59" s="2386"/>
      <c r="E59" s="2386"/>
      <c r="F59" s="2386"/>
      <c r="G59" s="2387"/>
      <c r="H59" s="2386"/>
      <c r="I59" s="2387"/>
      <c r="J59" s="2386"/>
      <c r="K59" s="2386"/>
      <c r="L59" s="2387"/>
      <c r="M59" s="2386"/>
      <c r="N59" s="2386"/>
      <c r="O59" s="2387"/>
      <c r="P59" s="2386"/>
      <c r="Q59" s="2386"/>
      <c r="R59" s="2388"/>
    </row>
    <row r="60" spans="2:18" s="2360" customFormat="1">
      <c r="B60" s="2386"/>
      <c r="C60" s="2386"/>
      <c r="D60" s="2386"/>
      <c r="E60" s="2386"/>
      <c r="F60" s="2386"/>
      <c r="G60" s="2387"/>
      <c r="H60" s="2386"/>
      <c r="I60" s="2387"/>
      <c r="J60" s="2386"/>
      <c r="K60" s="2386"/>
      <c r="L60" s="2387"/>
      <c r="M60" s="2386"/>
      <c r="N60" s="2386"/>
      <c r="O60" s="2387"/>
      <c r="P60" s="2386"/>
      <c r="Q60" s="2386"/>
      <c r="R60" s="2388"/>
    </row>
    <row r="61" spans="2:18" s="2360" customFormat="1">
      <c r="B61" s="2386"/>
      <c r="C61" s="2386"/>
      <c r="D61" s="2386"/>
      <c r="E61" s="2386"/>
      <c r="F61" s="2386"/>
      <c r="G61" s="2387"/>
      <c r="H61" s="2386"/>
      <c r="I61" s="2387"/>
      <c r="J61" s="2386"/>
      <c r="K61" s="2386"/>
      <c r="L61" s="2387"/>
      <c r="M61" s="2386"/>
      <c r="N61" s="2386"/>
      <c r="O61" s="2387"/>
      <c r="P61" s="2386"/>
      <c r="Q61" s="2386"/>
      <c r="R61" s="2388"/>
    </row>
    <row r="62" spans="2:18" s="2360" customFormat="1">
      <c r="B62" s="2386"/>
      <c r="C62" s="2386"/>
      <c r="D62" s="2386"/>
      <c r="E62" s="2386"/>
      <c r="F62" s="2386"/>
      <c r="G62" s="2387"/>
      <c r="H62" s="2386"/>
      <c r="I62" s="2387"/>
      <c r="J62" s="2386"/>
      <c r="K62" s="2386"/>
      <c r="L62" s="2387"/>
      <c r="M62" s="2386"/>
      <c r="N62" s="2386"/>
      <c r="O62" s="2387"/>
      <c r="P62" s="2386"/>
      <c r="Q62" s="2386"/>
      <c r="R62" s="2388"/>
    </row>
    <row r="63" spans="2:18" s="2360" customFormat="1">
      <c r="B63" s="2386"/>
      <c r="C63" s="2386"/>
      <c r="D63" s="2386"/>
      <c r="E63" s="2386"/>
      <c r="F63" s="2386"/>
      <c r="G63" s="2387"/>
      <c r="H63" s="2386"/>
      <c r="I63" s="2387"/>
      <c r="J63" s="2386"/>
      <c r="K63" s="2386"/>
      <c r="L63" s="2387"/>
      <c r="M63" s="2386"/>
      <c r="N63" s="2386"/>
      <c r="O63" s="2387"/>
      <c r="P63" s="2386"/>
      <c r="Q63" s="2386"/>
      <c r="R63" s="2388"/>
    </row>
    <row r="64" spans="2:18" s="2360" customFormat="1">
      <c r="B64" s="2386"/>
      <c r="C64" s="2386"/>
      <c r="D64" s="2386"/>
      <c r="E64" s="2386"/>
      <c r="F64" s="2386"/>
      <c r="G64" s="2387"/>
      <c r="H64" s="2386"/>
      <c r="I64" s="2387"/>
      <c r="J64" s="2386"/>
      <c r="K64" s="2386"/>
      <c r="L64" s="2387"/>
      <c r="M64" s="2386"/>
      <c r="N64" s="2386"/>
      <c r="O64" s="2387"/>
      <c r="P64" s="2386"/>
      <c r="Q64" s="2386"/>
      <c r="R64" s="2388"/>
    </row>
    <row r="65" spans="2:18" s="2360" customFormat="1">
      <c r="B65" s="2386"/>
      <c r="C65" s="2386"/>
      <c r="D65" s="2386"/>
      <c r="E65" s="2386"/>
      <c r="F65" s="2386"/>
      <c r="G65" s="2387"/>
      <c r="H65" s="2386"/>
      <c r="I65" s="2387"/>
      <c r="J65" s="2386"/>
      <c r="K65" s="2386"/>
      <c r="L65" s="2387"/>
      <c r="M65" s="2386"/>
      <c r="N65" s="2386"/>
      <c r="O65" s="2387"/>
      <c r="P65" s="2386"/>
      <c r="Q65" s="2386"/>
      <c r="R65" s="2388"/>
    </row>
    <row r="66" spans="2:18" s="2360" customFormat="1">
      <c r="B66" s="2386"/>
      <c r="C66" s="2386"/>
      <c r="D66" s="2386"/>
      <c r="E66" s="2386"/>
      <c r="F66" s="2386"/>
      <c r="G66" s="2387"/>
      <c r="H66" s="2386"/>
      <c r="I66" s="2387"/>
      <c r="J66" s="2386"/>
      <c r="K66" s="2386"/>
      <c r="L66" s="2387"/>
      <c r="M66" s="2386"/>
      <c r="N66" s="2386"/>
      <c r="O66" s="2387"/>
      <c r="P66" s="2386"/>
      <c r="Q66" s="2386"/>
      <c r="R66" s="2388"/>
    </row>
    <row r="67" spans="2:18" s="2360" customFormat="1">
      <c r="B67" s="2386"/>
      <c r="C67" s="2386"/>
      <c r="D67" s="2386"/>
      <c r="E67" s="2386"/>
      <c r="F67" s="2386"/>
      <c r="G67" s="2387"/>
      <c r="H67" s="2386"/>
      <c r="I67" s="2387"/>
      <c r="J67" s="2386"/>
      <c r="K67" s="2386"/>
      <c r="L67" s="2387"/>
      <c r="M67" s="2386"/>
      <c r="N67" s="2386"/>
      <c r="O67" s="2387"/>
      <c r="P67" s="2386"/>
      <c r="Q67" s="2386"/>
      <c r="R67" s="2388"/>
    </row>
    <row r="68" spans="2:18" s="2360" customFormat="1">
      <c r="B68" s="2386"/>
      <c r="C68" s="2386"/>
      <c r="D68" s="2386"/>
      <c r="E68" s="2386"/>
      <c r="F68" s="2386"/>
      <c r="G68" s="2387"/>
      <c r="H68" s="2386"/>
      <c r="I68" s="2387"/>
      <c r="J68" s="2386"/>
      <c r="K68" s="2386"/>
      <c r="L68" s="2387"/>
      <c r="M68" s="2386"/>
      <c r="N68" s="2386"/>
      <c r="O68" s="2387"/>
      <c r="P68" s="2386"/>
      <c r="Q68" s="2386"/>
      <c r="R68" s="2388"/>
    </row>
    <row r="69" spans="2:18" s="2360" customFormat="1">
      <c r="B69" s="2386"/>
      <c r="C69" s="2386"/>
      <c r="D69" s="2386"/>
      <c r="E69" s="2386"/>
      <c r="F69" s="2386"/>
      <c r="G69" s="2387"/>
      <c r="H69" s="2386"/>
      <c r="I69" s="2387"/>
      <c r="J69" s="2386"/>
      <c r="K69" s="2386"/>
      <c r="L69" s="2387"/>
      <c r="M69" s="2386"/>
      <c r="N69" s="2386"/>
      <c r="O69" s="2387"/>
      <c r="P69" s="2386"/>
      <c r="Q69" s="2386"/>
      <c r="R69" s="2388"/>
    </row>
    <row r="70" spans="2:18" s="2360" customFormat="1">
      <c r="B70" s="2386"/>
      <c r="C70" s="2386"/>
      <c r="D70" s="2386"/>
      <c r="E70" s="2386"/>
      <c r="F70" s="2386"/>
      <c r="G70" s="2387"/>
      <c r="H70" s="2386"/>
      <c r="I70" s="2387"/>
      <c r="J70" s="2386"/>
      <c r="K70" s="2386"/>
      <c r="L70" s="2387"/>
      <c r="M70" s="2386"/>
      <c r="N70" s="2386"/>
      <c r="O70" s="2387"/>
      <c r="P70" s="2386"/>
      <c r="Q70" s="2386"/>
      <c r="R70" s="2388"/>
    </row>
    <row r="71" spans="2:18" s="2360" customFormat="1">
      <c r="B71" s="2386"/>
      <c r="C71" s="2386"/>
      <c r="D71" s="2386"/>
      <c r="E71" s="2386"/>
      <c r="F71" s="2386"/>
      <c r="G71" s="2387"/>
      <c r="H71" s="2386"/>
      <c r="I71" s="2387"/>
      <c r="J71" s="2386"/>
      <c r="K71" s="2386"/>
      <c r="L71" s="2387"/>
      <c r="M71" s="2386"/>
      <c r="N71" s="2386"/>
      <c r="O71" s="2387"/>
      <c r="P71" s="2386"/>
      <c r="Q71" s="2386"/>
      <c r="R71" s="2388"/>
    </row>
    <row r="72" spans="2:18" s="2360" customFormat="1">
      <c r="B72" s="2386"/>
      <c r="C72" s="2386"/>
      <c r="D72" s="2386"/>
      <c r="E72" s="2386"/>
      <c r="F72" s="2386"/>
      <c r="G72" s="2387"/>
      <c r="H72" s="2386"/>
      <c r="I72" s="2387"/>
      <c r="J72" s="2386"/>
      <c r="K72" s="2386"/>
      <c r="L72" s="2387"/>
      <c r="M72" s="2386"/>
      <c r="N72" s="2386"/>
      <c r="O72" s="2387"/>
      <c r="P72" s="2386"/>
      <c r="Q72" s="2386"/>
      <c r="R72" s="2388"/>
    </row>
    <row r="73" spans="2:18" s="2360" customFormat="1">
      <c r="B73" s="2386"/>
      <c r="C73" s="2386"/>
      <c r="D73" s="2386"/>
      <c r="E73" s="2386"/>
      <c r="F73" s="2386"/>
      <c r="G73" s="2387"/>
      <c r="H73" s="2386"/>
      <c r="I73" s="2387"/>
      <c r="J73" s="2386"/>
      <c r="K73" s="2386"/>
      <c r="L73" s="2387"/>
      <c r="M73" s="2386"/>
      <c r="N73" s="2386"/>
      <c r="O73" s="2387"/>
      <c r="P73" s="2386"/>
      <c r="Q73" s="2386"/>
      <c r="R73" s="2388"/>
    </row>
    <row r="74" spans="2:18" s="2360" customFormat="1">
      <c r="B74" s="2386"/>
      <c r="C74" s="2386"/>
      <c r="D74" s="2386"/>
      <c r="E74" s="2386"/>
      <c r="F74" s="2386"/>
      <c r="G74" s="2387"/>
      <c r="H74" s="2386"/>
      <c r="I74" s="2387"/>
      <c r="J74" s="2386"/>
      <c r="K74" s="2386"/>
      <c r="L74" s="2387"/>
      <c r="M74" s="2386"/>
      <c r="N74" s="2386"/>
      <c r="O74" s="2387"/>
      <c r="P74" s="2386"/>
      <c r="Q74" s="2386"/>
      <c r="R74" s="2388"/>
    </row>
    <row r="75" spans="2:18" s="2360" customFormat="1">
      <c r="B75" s="2386"/>
      <c r="C75" s="2386"/>
      <c r="D75" s="2386"/>
      <c r="E75" s="2386"/>
      <c r="F75" s="2386"/>
      <c r="G75" s="2387"/>
      <c r="H75" s="2386"/>
      <c r="I75" s="2387"/>
      <c r="J75" s="2386"/>
      <c r="K75" s="2386"/>
      <c r="L75" s="2387"/>
      <c r="M75" s="2386"/>
      <c r="N75" s="2386"/>
      <c r="O75" s="2387"/>
      <c r="P75" s="2386"/>
      <c r="Q75" s="2386"/>
      <c r="R75" s="2388"/>
    </row>
    <row r="76" spans="2:18" s="2360" customFormat="1">
      <c r="B76" s="2386"/>
      <c r="C76" s="2386"/>
      <c r="D76" s="2386"/>
      <c r="E76" s="2386"/>
      <c r="F76" s="2386"/>
      <c r="G76" s="2387"/>
      <c r="H76" s="2386"/>
      <c r="I76" s="2387"/>
      <c r="J76" s="2386"/>
      <c r="K76" s="2386"/>
      <c r="L76" s="2387"/>
      <c r="M76" s="2386"/>
      <c r="N76" s="2386"/>
      <c r="O76" s="2387"/>
      <c r="P76" s="2386"/>
      <c r="Q76" s="2386"/>
      <c r="R76" s="2388"/>
    </row>
    <row r="77" spans="2:18" s="2360" customFormat="1">
      <c r="B77" s="2386"/>
      <c r="C77" s="2386"/>
      <c r="D77" s="2386"/>
      <c r="E77" s="2386"/>
      <c r="F77" s="2386"/>
      <c r="G77" s="2387"/>
      <c r="H77" s="2386"/>
      <c r="I77" s="2387"/>
      <c r="J77" s="2386"/>
      <c r="K77" s="2386"/>
      <c r="L77" s="2387"/>
      <c r="M77" s="2386"/>
      <c r="N77" s="2386"/>
      <c r="O77" s="2387"/>
      <c r="P77" s="2386"/>
      <c r="Q77" s="2386"/>
      <c r="R77" s="2388"/>
    </row>
    <row r="78" spans="2:18" s="2360" customFormat="1">
      <c r="B78" s="2386"/>
      <c r="C78" s="2386"/>
      <c r="D78" s="2386"/>
      <c r="E78" s="2386"/>
      <c r="F78" s="2386"/>
      <c r="G78" s="2387"/>
      <c r="H78" s="2386"/>
      <c r="I78" s="2387"/>
      <c r="J78" s="2386"/>
      <c r="K78" s="2386"/>
      <c r="L78" s="2387"/>
      <c r="M78" s="2386"/>
      <c r="N78" s="2386"/>
      <c r="O78" s="2387"/>
      <c r="P78" s="2386"/>
      <c r="Q78" s="2386"/>
      <c r="R78" s="2388"/>
    </row>
    <row r="79" spans="2:18" s="2360" customFormat="1">
      <c r="B79" s="2386"/>
      <c r="C79" s="2386"/>
      <c r="D79" s="2386"/>
      <c r="E79" s="2386"/>
      <c r="F79" s="2386"/>
      <c r="G79" s="2387"/>
      <c r="H79" s="2386"/>
      <c r="I79" s="2387"/>
      <c r="J79" s="2386"/>
      <c r="K79" s="2386"/>
      <c r="L79" s="2387"/>
      <c r="M79" s="2386"/>
      <c r="N79" s="2386"/>
      <c r="O79" s="2387"/>
      <c r="P79" s="2386"/>
      <c r="Q79" s="2386"/>
      <c r="R79" s="2388"/>
    </row>
    <row r="80" spans="2:18" s="2360" customFormat="1">
      <c r="B80" s="2386"/>
      <c r="C80" s="2386"/>
      <c r="D80" s="2386"/>
      <c r="E80" s="2386"/>
      <c r="F80" s="2386"/>
      <c r="G80" s="2387"/>
      <c r="H80" s="2386"/>
      <c r="I80" s="2387"/>
      <c r="J80" s="2386"/>
      <c r="K80" s="2386"/>
      <c r="L80" s="2387"/>
      <c r="M80" s="2386"/>
      <c r="N80" s="2386"/>
      <c r="O80" s="2387"/>
      <c r="P80" s="2386"/>
      <c r="Q80" s="2386"/>
      <c r="R80" s="2388"/>
    </row>
    <row r="81" spans="2:18" s="2360" customFormat="1">
      <c r="B81" s="2386"/>
      <c r="C81" s="2386"/>
      <c r="D81" s="2386"/>
      <c r="E81" s="2386"/>
      <c r="F81" s="2386"/>
      <c r="G81" s="2387"/>
      <c r="H81" s="2386"/>
      <c r="I81" s="2387"/>
      <c r="J81" s="2386"/>
      <c r="K81" s="2386"/>
      <c r="L81" s="2387"/>
      <c r="M81" s="2386"/>
      <c r="N81" s="2386"/>
      <c r="O81" s="2387"/>
      <c r="P81" s="2386"/>
      <c r="Q81" s="2386"/>
      <c r="R81" s="2388"/>
    </row>
    <row r="82" spans="2:18" s="2360" customFormat="1">
      <c r="B82" s="2386"/>
      <c r="C82" s="2386"/>
      <c r="D82" s="2386"/>
      <c r="E82" s="2386"/>
      <c r="F82" s="2386"/>
      <c r="G82" s="2387"/>
      <c r="H82" s="2386"/>
      <c r="I82" s="2387"/>
      <c r="J82" s="2386"/>
      <c r="K82" s="2386"/>
      <c r="L82" s="2387"/>
      <c r="M82" s="2386"/>
      <c r="N82" s="2386"/>
      <c r="O82" s="2387"/>
      <c r="P82" s="2386"/>
      <c r="Q82" s="2386"/>
      <c r="R82" s="2388"/>
    </row>
    <row r="83" spans="2:18" s="2360" customFormat="1">
      <c r="B83" s="2386"/>
      <c r="C83" s="2386"/>
      <c r="D83" s="2386"/>
      <c r="E83" s="2386"/>
      <c r="F83" s="2386"/>
      <c r="G83" s="2387"/>
      <c r="H83" s="2386"/>
      <c r="I83" s="2387"/>
      <c r="J83" s="2386"/>
      <c r="K83" s="2386"/>
      <c r="L83" s="2387"/>
      <c r="M83" s="2386"/>
      <c r="N83" s="2386"/>
      <c r="O83" s="2387"/>
      <c r="P83" s="2386"/>
      <c r="Q83" s="2386"/>
      <c r="R83" s="2388"/>
    </row>
    <row r="84" spans="2:18" s="2360" customFormat="1">
      <c r="B84" s="2386"/>
      <c r="C84" s="2386"/>
      <c r="D84" s="2386"/>
      <c r="E84" s="2386"/>
      <c r="F84" s="2386"/>
      <c r="G84" s="2387"/>
      <c r="H84" s="2386"/>
      <c r="I84" s="2387"/>
      <c r="J84" s="2386"/>
      <c r="K84" s="2386"/>
      <c r="L84" s="2387"/>
      <c r="M84" s="2386"/>
      <c r="N84" s="2386"/>
      <c r="O84" s="2387"/>
      <c r="P84" s="2386"/>
      <c r="Q84" s="2386"/>
      <c r="R84" s="2388"/>
    </row>
    <row r="85" spans="2:18" s="2360" customFormat="1">
      <c r="B85" s="2386"/>
      <c r="C85" s="2386"/>
      <c r="D85" s="2386"/>
      <c r="E85" s="2386"/>
      <c r="F85" s="2386"/>
      <c r="G85" s="2387"/>
      <c r="H85" s="2386"/>
      <c r="I85" s="2387"/>
      <c r="J85" s="2386"/>
      <c r="K85" s="2386"/>
      <c r="L85" s="2387"/>
      <c r="M85" s="2386"/>
      <c r="N85" s="2386"/>
      <c r="O85" s="2387"/>
      <c r="P85" s="2386"/>
      <c r="Q85" s="2386"/>
      <c r="R85" s="2388"/>
    </row>
    <row r="86" spans="2:18" s="2360" customFormat="1">
      <c r="B86" s="2386"/>
      <c r="C86" s="2386"/>
      <c r="D86" s="2386"/>
      <c r="E86" s="2386"/>
      <c r="F86" s="2386"/>
      <c r="G86" s="2387"/>
      <c r="H86" s="2386"/>
      <c r="I86" s="2387"/>
      <c r="J86" s="2386"/>
      <c r="K86" s="2386"/>
      <c r="L86" s="2387"/>
      <c r="M86" s="2386"/>
      <c r="N86" s="2386"/>
      <c r="O86" s="2387"/>
      <c r="P86" s="2386"/>
      <c r="Q86" s="2386"/>
      <c r="R86" s="2388"/>
    </row>
    <row r="87" spans="2:18" s="2360" customFormat="1">
      <c r="B87" s="2386"/>
      <c r="C87" s="2386"/>
      <c r="D87" s="2386"/>
      <c r="E87" s="2386"/>
      <c r="F87" s="2386"/>
      <c r="G87" s="2387"/>
      <c r="H87" s="2386"/>
      <c r="I87" s="2387"/>
      <c r="J87" s="2386"/>
      <c r="K87" s="2386"/>
      <c r="L87" s="2387"/>
      <c r="M87" s="2386"/>
      <c r="N87" s="2386"/>
      <c r="O87" s="2387"/>
      <c r="P87" s="2386"/>
      <c r="Q87" s="2386"/>
      <c r="R87" s="2388"/>
    </row>
    <row r="88" spans="2:18" s="2360" customFormat="1">
      <c r="B88" s="2386"/>
      <c r="C88" s="2386"/>
      <c r="D88" s="2386"/>
      <c r="E88" s="2386"/>
      <c r="F88" s="2386"/>
      <c r="G88" s="2387"/>
      <c r="H88" s="2386"/>
      <c r="I88" s="2387"/>
      <c r="J88" s="2386"/>
      <c r="K88" s="2386"/>
      <c r="L88" s="2387"/>
      <c r="M88" s="2386"/>
      <c r="N88" s="2386"/>
      <c r="O88" s="2387"/>
      <c r="P88" s="2386"/>
      <c r="Q88" s="2386"/>
      <c r="R88" s="2388"/>
    </row>
    <row r="89" spans="2:18" s="2360" customFormat="1">
      <c r="B89" s="2386"/>
      <c r="C89" s="2386"/>
      <c r="D89" s="2386"/>
      <c r="E89" s="2386"/>
      <c r="F89" s="2386"/>
      <c r="G89" s="2387"/>
      <c r="H89" s="2386"/>
      <c r="I89" s="2387"/>
      <c r="J89" s="2386"/>
      <c r="K89" s="2386"/>
      <c r="L89" s="2387"/>
      <c r="M89" s="2386"/>
      <c r="N89" s="2386"/>
      <c r="O89" s="2387"/>
      <c r="P89" s="2386"/>
      <c r="Q89" s="2386"/>
      <c r="R89" s="2388"/>
    </row>
    <row r="90" spans="2:18" s="2360" customFormat="1">
      <c r="B90" s="2386"/>
      <c r="C90" s="2386"/>
      <c r="D90" s="2386"/>
      <c r="E90" s="2386"/>
      <c r="F90" s="2386"/>
      <c r="G90" s="2387"/>
      <c r="H90" s="2386"/>
      <c r="I90" s="2387"/>
      <c r="J90" s="2386"/>
      <c r="K90" s="2386"/>
      <c r="L90" s="2387"/>
      <c r="M90" s="2386"/>
      <c r="N90" s="2386"/>
      <c r="O90" s="2387"/>
      <c r="P90" s="2386"/>
      <c r="Q90" s="2386"/>
      <c r="R90" s="2388"/>
    </row>
    <row r="91" spans="2:18" s="2360" customFormat="1">
      <c r="B91" s="2386"/>
      <c r="C91" s="2386"/>
      <c r="D91" s="2386"/>
      <c r="E91" s="2386"/>
      <c r="F91" s="2386"/>
      <c r="G91" s="2387"/>
      <c r="H91" s="2386"/>
      <c r="I91" s="2387"/>
      <c r="J91" s="2386"/>
      <c r="K91" s="2386"/>
      <c r="L91" s="2387"/>
      <c r="M91" s="2386"/>
      <c r="N91" s="2386"/>
      <c r="O91" s="2387"/>
      <c r="P91" s="2386"/>
      <c r="Q91" s="2386"/>
      <c r="R91" s="2388"/>
    </row>
    <row r="92" spans="2:18" s="2360" customFormat="1">
      <c r="B92" s="2386"/>
      <c r="C92" s="2386"/>
      <c r="D92" s="2386"/>
      <c r="E92" s="2386"/>
      <c r="F92" s="2386"/>
      <c r="G92" s="2387"/>
      <c r="H92" s="2386"/>
      <c r="I92" s="2387"/>
      <c r="J92" s="2386"/>
      <c r="K92" s="2386"/>
      <c r="L92" s="2387"/>
      <c r="M92" s="2386"/>
      <c r="N92" s="2386"/>
      <c r="O92" s="2387"/>
      <c r="P92" s="2386"/>
      <c r="Q92" s="2386"/>
      <c r="R92" s="2388"/>
    </row>
    <row r="93" spans="2:18" s="2360" customFormat="1">
      <c r="B93" s="2386"/>
      <c r="C93" s="2386"/>
      <c r="D93" s="2386"/>
      <c r="E93" s="2386"/>
      <c r="F93" s="2386"/>
      <c r="G93" s="2387"/>
      <c r="H93" s="2386"/>
      <c r="I93" s="2387"/>
      <c r="J93" s="2386"/>
      <c r="K93" s="2386"/>
      <c r="L93" s="2387"/>
      <c r="M93" s="2386"/>
      <c r="N93" s="2386"/>
      <c r="O93" s="2387"/>
      <c r="P93" s="2386"/>
      <c r="Q93" s="2386"/>
      <c r="R93" s="2388"/>
    </row>
    <row r="94" spans="2:18" s="2360" customFormat="1">
      <c r="B94" s="2386"/>
      <c r="C94" s="2386"/>
      <c r="D94" s="2386"/>
      <c r="E94" s="2386"/>
      <c r="F94" s="2386"/>
      <c r="G94" s="2387"/>
      <c r="H94" s="2386"/>
      <c r="I94" s="2387"/>
      <c r="J94" s="2386"/>
      <c r="K94" s="2386"/>
      <c r="L94" s="2387"/>
      <c r="M94" s="2386"/>
      <c r="N94" s="2386"/>
      <c r="O94" s="2387"/>
      <c r="P94" s="2386"/>
      <c r="Q94" s="2386"/>
      <c r="R94" s="2388"/>
    </row>
    <row r="95" spans="2:18" s="2360" customFormat="1">
      <c r="B95" s="2386"/>
      <c r="C95" s="2386"/>
      <c r="D95" s="2386"/>
      <c r="E95" s="2386"/>
      <c r="F95" s="2386"/>
      <c r="G95" s="2387"/>
      <c r="H95" s="2386"/>
      <c r="I95" s="2387"/>
      <c r="J95" s="2386"/>
      <c r="K95" s="2386"/>
      <c r="L95" s="2387"/>
      <c r="M95" s="2386"/>
      <c r="N95" s="2386"/>
      <c r="O95" s="2387"/>
      <c r="P95" s="2386"/>
      <c r="Q95" s="2386"/>
      <c r="R95" s="2388"/>
    </row>
    <row r="96" spans="2:18" s="2360" customFormat="1">
      <c r="B96" s="2386"/>
      <c r="C96" s="2386"/>
      <c r="D96" s="2386"/>
      <c r="E96" s="2386"/>
      <c r="F96" s="2386"/>
      <c r="G96" s="2387"/>
      <c r="H96" s="2386"/>
      <c r="I96" s="2387"/>
      <c r="J96" s="2386"/>
      <c r="K96" s="2386"/>
      <c r="L96" s="2387"/>
      <c r="M96" s="2386"/>
      <c r="N96" s="2386"/>
      <c r="O96" s="2387"/>
      <c r="P96" s="2386"/>
      <c r="Q96" s="2386"/>
      <c r="R96" s="2388"/>
    </row>
    <row r="97" spans="2:18" s="2360" customFormat="1">
      <c r="B97" s="2386"/>
      <c r="C97" s="2386"/>
      <c r="D97" s="2386"/>
      <c r="E97" s="2386"/>
      <c r="F97" s="2386"/>
      <c r="G97" s="2387"/>
      <c r="H97" s="2386"/>
      <c r="I97" s="2387"/>
      <c r="J97" s="2386"/>
      <c r="K97" s="2386"/>
      <c r="L97" s="2387"/>
      <c r="M97" s="2386"/>
      <c r="N97" s="2386"/>
      <c r="O97" s="2387"/>
      <c r="P97" s="2386"/>
      <c r="Q97" s="2386"/>
      <c r="R97" s="2388"/>
    </row>
    <row r="98" spans="2:18" s="2360" customFormat="1">
      <c r="B98" s="2386"/>
      <c r="C98" s="2386"/>
      <c r="D98" s="2386"/>
      <c r="E98" s="2386"/>
      <c r="F98" s="2386"/>
      <c r="G98" s="2387"/>
      <c r="H98" s="2386"/>
      <c r="I98" s="2387"/>
      <c r="J98" s="2386"/>
      <c r="K98" s="2386"/>
      <c r="L98" s="2387"/>
      <c r="M98" s="2386"/>
      <c r="N98" s="2386"/>
      <c r="O98" s="2387"/>
      <c r="P98" s="2386"/>
      <c r="Q98" s="2386"/>
      <c r="R98" s="2388"/>
    </row>
    <row r="99" spans="2:18" s="2360" customFormat="1">
      <c r="B99" s="2386"/>
      <c r="C99" s="2386"/>
      <c r="D99" s="2386"/>
      <c r="E99" s="2386"/>
      <c r="F99" s="2386"/>
      <c r="G99" s="2387"/>
      <c r="H99" s="2386"/>
      <c r="I99" s="2387"/>
      <c r="J99" s="2386"/>
      <c r="K99" s="2386"/>
      <c r="L99" s="2387"/>
      <c r="M99" s="2386"/>
      <c r="N99" s="2386"/>
      <c r="O99" s="2387"/>
      <c r="P99" s="2386"/>
      <c r="Q99" s="2386"/>
      <c r="R99" s="2388"/>
    </row>
    <row r="100" spans="2:18" s="2360" customFormat="1">
      <c r="B100" s="2386"/>
      <c r="C100" s="2386"/>
      <c r="D100" s="2386"/>
      <c r="E100" s="2386"/>
      <c r="F100" s="2386"/>
      <c r="G100" s="2387"/>
      <c r="H100" s="2386"/>
      <c r="I100" s="2387"/>
      <c r="J100" s="2386"/>
      <c r="K100" s="2386"/>
      <c r="L100" s="2387"/>
      <c r="M100" s="2386"/>
      <c r="N100" s="2386"/>
      <c r="O100" s="2387"/>
      <c r="P100" s="2386"/>
      <c r="Q100" s="2386"/>
      <c r="R100" s="2388"/>
    </row>
    <row r="101" spans="2:18" s="2360" customFormat="1">
      <c r="B101" s="2386"/>
      <c r="C101" s="2386"/>
      <c r="D101" s="2386"/>
      <c r="E101" s="2386"/>
      <c r="F101" s="2386"/>
      <c r="G101" s="2387"/>
      <c r="H101" s="2386"/>
      <c r="I101" s="2387"/>
      <c r="J101" s="2386"/>
      <c r="K101" s="2386"/>
      <c r="L101" s="2387"/>
      <c r="M101" s="2386"/>
      <c r="N101" s="2386"/>
      <c r="O101" s="2387"/>
      <c r="P101" s="2386"/>
      <c r="Q101" s="2386"/>
      <c r="R101" s="2388"/>
    </row>
    <row r="102" spans="2:18" s="2360" customFormat="1">
      <c r="B102" s="2386"/>
      <c r="C102" s="2386"/>
      <c r="D102" s="2386"/>
      <c r="E102" s="2386"/>
      <c r="F102" s="2386"/>
      <c r="G102" s="2387"/>
      <c r="H102" s="2386"/>
      <c r="I102" s="2387"/>
      <c r="J102" s="2386"/>
      <c r="K102" s="2386"/>
      <c r="L102" s="2387"/>
      <c r="M102" s="2386"/>
      <c r="N102" s="2386"/>
      <c r="O102" s="2387"/>
      <c r="P102" s="2386"/>
      <c r="Q102" s="2386"/>
      <c r="R102" s="2388"/>
    </row>
    <row r="103" spans="2:18" s="2360" customFormat="1">
      <c r="B103" s="2386"/>
      <c r="C103" s="2386"/>
      <c r="D103" s="2386"/>
      <c r="E103" s="2386"/>
      <c r="F103" s="2386"/>
      <c r="G103" s="2387"/>
      <c r="H103" s="2386"/>
      <c r="I103" s="2387"/>
      <c r="J103" s="2386"/>
      <c r="K103" s="2386"/>
      <c r="L103" s="2387"/>
      <c r="M103" s="2386"/>
      <c r="N103" s="2386"/>
      <c r="O103" s="2387"/>
      <c r="P103" s="2386"/>
      <c r="Q103" s="2386"/>
      <c r="R103" s="2388"/>
    </row>
    <row r="104" spans="2:18" s="2360" customFormat="1">
      <c r="B104" s="2386"/>
      <c r="C104" s="2386"/>
      <c r="D104" s="2386"/>
      <c r="E104" s="2386"/>
      <c r="F104" s="2386"/>
      <c r="G104" s="2387"/>
      <c r="H104" s="2386"/>
      <c r="I104" s="2387"/>
      <c r="J104" s="2386"/>
      <c r="K104" s="2386"/>
      <c r="L104" s="2387"/>
      <c r="M104" s="2386"/>
      <c r="N104" s="2386"/>
      <c r="O104" s="2387"/>
      <c r="P104" s="2386"/>
      <c r="Q104" s="2386"/>
      <c r="R104" s="2388"/>
    </row>
    <row r="105" spans="2:18" s="2360" customFormat="1">
      <c r="B105" s="2386"/>
      <c r="C105" s="2386"/>
      <c r="D105" s="2386"/>
      <c r="E105" s="2386"/>
      <c r="F105" s="2386"/>
      <c r="G105" s="2387"/>
      <c r="H105" s="2386"/>
      <c r="I105" s="2387"/>
      <c r="J105" s="2386"/>
      <c r="K105" s="2386"/>
      <c r="L105" s="2387"/>
      <c r="M105" s="2386"/>
      <c r="N105" s="2386"/>
      <c r="O105" s="2387"/>
      <c r="P105" s="2386"/>
      <c r="Q105" s="2386"/>
      <c r="R105" s="2388"/>
    </row>
    <row r="106" spans="2:18" s="2360" customFormat="1">
      <c r="B106" s="2386"/>
      <c r="C106" s="2386"/>
      <c r="D106" s="2386"/>
      <c r="E106" s="2386"/>
      <c r="F106" s="2386"/>
      <c r="G106" s="2387"/>
      <c r="H106" s="2386"/>
      <c r="I106" s="2387"/>
      <c r="J106" s="2386"/>
      <c r="K106" s="2386"/>
      <c r="L106" s="2387"/>
      <c r="M106" s="2386"/>
      <c r="N106" s="2386"/>
      <c r="O106" s="2387"/>
      <c r="P106" s="2386"/>
      <c r="Q106" s="2386"/>
      <c r="R106" s="2388"/>
    </row>
    <row r="107" spans="2:18" s="2360" customFormat="1">
      <c r="B107" s="2386"/>
      <c r="C107" s="2386"/>
      <c r="D107" s="2386"/>
      <c r="E107" s="2386"/>
      <c r="F107" s="2386"/>
      <c r="G107" s="2387"/>
      <c r="H107" s="2386"/>
      <c r="I107" s="2387"/>
      <c r="J107" s="2386"/>
      <c r="K107" s="2386"/>
      <c r="L107" s="2387"/>
      <c r="M107" s="2386"/>
      <c r="N107" s="2386"/>
      <c r="O107" s="2387"/>
      <c r="P107" s="2386"/>
      <c r="Q107" s="2386"/>
      <c r="R107" s="2388"/>
    </row>
    <row r="108" spans="2:18" s="2360" customFormat="1">
      <c r="B108" s="2386"/>
      <c r="C108" s="2386"/>
      <c r="D108" s="2386"/>
      <c r="E108" s="2386"/>
      <c r="F108" s="2386"/>
      <c r="G108" s="2387"/>
      <c r="H108" s="2386"/>
      <c r="I108" s="2387"/>
      <c r="J108" s="2386"/>
      <c r="K108" s="2386"/>
      <c r="L108" s="2387"/>
      <c r="M108" s="2386"/>
      <c r="N108" s="2386"/>
      <c r="O108" s="2387"/>
      <c r="P108" s="2386"/>
      <c r="Q108" s="2386"/>
      <c r="R108" s="2388"/>
    </row>
    <row r="109" spans="2:18" s="2360" customFormat="1">
      <c r="B109" s="2386"/>
      <c r="C109" s="2386"/>
      <c r="D109" s="2386"/>
      <c r="E109" s="2386"/>
      <c r="F109" s="2386"/>
      <c r="G109" s="2387"/>
      <c r="H109" s="2386"/>
      <c r="I109" s="2387"/>
      <c r="J109" s="2386"/>
      <c r="K109" s="2386"/>
      <c r="L109" s="2387"/>
      <c r="M109" s="2386"/>
      <c r="N109" s="2386"/>
      <c r="O109" s="2387"/>
      <c r="P109" s="2386"/>
      <c r="Q109" s="2386"/>
      <c r="R109" s="2388"/>
    </row>
    <row r="110" spans="2:18" s="2360" customFormat="1">
      <c r="B110" s="2386"/>
      <c r="C110" s="2386"/>
      <c r="D110" s="2386"/>
      <c r="E110" s="2386"/>
      <c r="F110" s="2386"/>
      <c r="G110" s="2387"/>
      <c r="H110" s="2386"/>
      <c r="I110" s="2387"/>
      <c r="J110" s="2386"/>
      <c r="K110" s="2386"/>
      <c r="L110" s="2387"/>
      <c r="M110" s="2386"/>
      <c r="N110" s="2386"/>
      <c r="O110" s="2387"/>
      <c r="P110" s="2386"/>
      <c r="Q110" s="2386"/>
      <c r="R110" s="2388"/>
    </row>
    <row r="111" spans="2:18" s="2360" customFormat="1">
      <c r="B111" s="2386"/>
      <c r="C111" s="2386"/>
      <c r="D111" s="2386"/>
      <c r="E111" s="2386"/>
      <c r="F111" s="2386"/>
      <c r="G111" s="2387"/>
      <c r="H111" s="2386"/>
      <c r="I111" s="2387"/>
      <c r="J111" s="2386"/>
      <c r="K111" s="2386"/>
      <c r="L111" s="2387"/>
      <c r="M111" s="2386"/>
      <c r="N111" s="2386"/>
      <c r="O111" s="2387"/>
      <c r="P111" s="2386"/>
      <c r="Q111" s="2386"/>
      <c r="R111" s="2388"/>
    </row>
    <row r="112" spans="2:18" s="2360" customFormat="1">
      <c r="B112" s="2386"/>
      <c r="C112" s="2386"/>
      <c r="D112" s="2386"/>
      <c r="E112" s="2386"/>
      <c r="F112" s="2386"/>
      <c r="G112" s="2387"/>
      <c r="H112" s="2386"/>
      <c r="I112" s="2387"/>
      <c r="J112" s="2386"/>
      <c r="K112" s="2386"/>
      <c r="L112" s="2387"/>
      <c r="M112" s="2386"/>
      <c r="N112" s="2386"/>
      <c r="O112" s="2387"/>
      <c r="P112" s="2386"/>
      <c r="Q112" s="2386"/>
      <c r="R112" s="2388"/>
    </row>
    <row r="113" spans="2:18" s="2360" customFormat="1">
      <c r="B113" s="2386"/>
      <c r="C113" s="2386"/>
      <c r="D113" s="2386"/>
      <c r="E113" s="2386"/>
      <c r="F113" s="2386"/>
      <c r="G113" s="2387"/>
      <c r="H113" s="2386"/>
      <c r="I113" s="2387"/>
      <c r="J113" s="2386"/>
      <c r="K113" s="2386"/>
      <c r="L113" s="2387"/>
      <c r="M113" s="2386"/>
      <c r="N113" s="2386"/>
      <c r="O113" s="2387"/>
      <c r="P113" s="2386"/>
      <c r="Q113" s="2386"/>
      <c r="R113" s="2388"/>
    </row>
    <row r="114" spans="2:18" s="2360" customFormat="1">
      <c r="B114" s="2386"/>
      <c r="C114" s="2386"/>
      <c r="D114" s="2386"/>
      <c r="E114" s="2386"/>
      <c r="F114" s="2386"/>
      <c r="G114" s="2387"/>
      <c r="H114" s="2386"/>
      <c r="I114" s="2387"/>
      <c r="J114" s="2386"/>
      <c r="K114" s="2386"/>
      <c r="L114" s="2387"/>
      <c r="M114" s="2386"/>
      <c r="N114" s="2386"/>
      <c r="O114" s="2387"/>
      <c r="P114" s="2386"/>
      <c r="Q114" s="2386"/>
      <c r="R114" s="2388"/>
    </row>
    <row r="115" spans="2:18" s="2360" customFormat="1">
      <c r="B115" s="2386"/>
      <c r="C115" s="2386"/>
      <c r="D115" s="2386"/>
      <c r="E115" s="2386"/>
      <c r="F115" s="2386"/>
      <c r="G115" s="2387"/>
      <c r="H115" s="2386"/>
      <c r="I115" s="2387"/>
      <c r="J115" s="2386"/>
      <c r="K115" s="2386"/>
      <c r="L115" s="2387"/>
      <c r="M115" s="2386"/>
      <c r="N115" s="2386"/>
      <c r="O115" s="2387"/>
      <c r="P115" s="2386"/>
      <c r="Q115" s="2386"/>
      <c r="R115" s="2388"/>
    </row>
    <row r="116" spans="2:18" s="2360" customFormat="1">
      <c r="B116" s="2386"/>
      <c r="C116" s="2386"/>
      <c r="D116" s="2386"/>
      <c r="E116" s="2386"/>
      <c r="F116" s="2386"/>
      <c r="G116" s="2387"/>
      <c r="H116" s="2386"/>
      <c r="I116" s="2387"/>
      <c r="J116" s="2386"/>
      <c r="K116" s="2386"/>
      <c r="L116" s="2387"/>
      <c r="M116" s="2386"/>
      <c r="N116" s="2386"/>
      <c r="O116" s="2387"/>
      <c r="P116" s="2386"/>
      <c r="Q116" s="2386"/>
      <c r="R116" s="2388"/>
    </row>
    <row r="117" spans="2:18" s="2360" customFormat="1">
      <c r="B117" s="2386"/>
      <c r="C117" s="2386"/>
      <c r="D117" s="2386"/>
      <c r="E117" s="2386"/>
      <c r="F117" s="2386"/>
      <c r="G117" s="2387"/>
      <c r="H117" s="2386"/>
      <c r="I117" s="2387"/>
      <c r="J117" s="2386"/>
      <c r="K117" s="2386"/>
      <c r="L117" s="2387"/>
      <c r="M117" s="2386"/>
      <c r="N117" s="2386"/>
      <c r="O117" s="2387"/>
      <c r="P117" s="2386"/>
      <c r="Q117" s="2386"/>
      <c r="R117" s="2388"/>
    </row>
    <row r="118" spans="2:18" s="2360" customFormat="1">
      <c r="B118" s="2386"/>
      <c r="C118" s="2386"/>
      <c r="D118" s="2386"/>
      <c r="E118" s="2386"/>
      <c r="F118" s="2386"/>
      <c r="G118" s="2387"/>
      <c r="H118" s="2386"/>
      <c r="I118" s="2387"/>
      <c r="J118" s="2386"/>
      <c r="K118" s="2386"/>
      <c r="L118" s="2387"/>
      <c r="M118" s="2386"/>
      <c r="N118" s="2386"/>
      <c r="O118" s="2387"/>
      <c r="P118" s="2386"/>
      <c r="Q118" s="2386"/>
      <c r="R118" s="2388"/>
    </row>
    <row r="119" spans="2:18" s="2360" customFormat="1">
      <c r="B119" s="2386"/>
      <c r="C119" s="2386"/>
      <c r="D119" s="2386"/>
      <c r="E119" s="2386"/>
      <c r="F119" s="2386"/>
      <c r="G119" s="2387"/>
      <c r="H119" s="2386"/>
      <c r="I119" s="2387"/>
      <c r="J119" s="2386"/>
      <c r="K119" s="2386"/>
      <c r="L119" s="2387"/>
      <c r="M119" s="2386"/>
      <c r="N119" s="2386"/>
      <c r="O119" s="2387"/>
      <c r="P119" s="2386"/>
      <c r="Q119" s="2386"/>
      <c r="R119" s="2388"/>
    </row>
    <row r="120" spans="2:18" s="2360" customFormat="1">
      <c r="B120" s="2386"/>
      <c r="C120" s="2386"/>
      <c r="D120" s="2386"/>
      <c r="E120" s="2386"/>
      <c r="F120" s="2386"/>
      <c r="G120" s="2387"/>
      <c r="H120" s="2386"/>
      <c r="I120" s="2387"/>
      <c r="J120" s="2386"/>
      <c r="K120" s="2386"/>
      <c r="L120" s="2387"/>
      <c r="M120" s="2386"/>
      <c r="N120" s="2386"/>
      <c r="O120" s="2387"/>
      <c r="P120" s="2386"/>
      <c r="Q120" s="2386"/>
      <c r="R120" s="2388"/>
    </row>
    <row r="121" spans="2:18" s="2360" customFormat="1">
      <c r="B121" s="2386"/>
      <c r="C121" s="2386"/>
      <c r="D121" s="2386"/>
      <c r="E121" s="2386"/>
      <c r="F121" s="2386"/>
      <c r="G121" s="2387"/>
      <c r="H121" s="2386"/>
      <c r="I121" s="2387"/>
      <c r="J121" s="2386"/>
      <c r="K121" s="2386"/>
      <c r="L121" s="2387"/>
      <c r="M121" s="2386"/>
      <c r="N121" s="2386"/>
      <c r="O121" s="2387"/>
      <c r="P121" s="2386"/>
      <c r="Q121" s="2386"/>
      <c r="R121" s="2388"/>
    </row>
    <row r="122" spans="2:18" s="2360" customFormat="1">
      <c r="B122" s="2386"/>
      <c r="C122" s="2386"/>
      <c r="D122" s="2386"/>
      <c r="E122" s="2386"/>
      <c r="F122" s="2386"/>
      <c r="G122" s="2387"/>
      <c r="H122" s="2386"/>
      <c r="I122" s="2387"/>
      <c r="J122" s="2386"/>
      <c r="K122" s="2386"/>
      <c r="L122" s="2387"/>
      <c r="M122" s="2386"/>
      <c r="N122" s="2386"/>
      <c r="O122" s="2387"/>
      <c r="P122" s="2386"/>
      <c r="Q122" s="2386"/>
      <c r="R122" s="2388"/>
    </row>
    <row r="123" spans="2:18" s="2360" customFormat="1">
      <c r="B123" s="2386"/>
      <c r="C123" s="2386"/>
      <c r="D123" s="2386"/>
      <c r="E123" s="2386"/>
      <c r="F123" s="2386"/>
      <c r="G123" s="2387"/>
      <c r="H123" s="2386"/>
      <c r="I123" s="2387"/>
      <c r="J123" s="2386"/>
      <c r="K123" s="2386"/>
      <c r="L123" s="2387"/>
      <c r="M123" s="2386"/>
      <c r="N123" s="2386"/>
      <c r="O123" s="2387"/>
      <c r="P123" s="2386"/>
      <c r="Q123" s="2386"/>
      <c r="R123" s="2388"/>
    </row>
    <row r="124" spans="2:18" s="2360" customFormat="1">
      <c r="B124" s="2386"/>
      <c r="C124" s="2386"/>
      <c r="D124" s="2386"/>
      <c r="E124" s="2386"/>
      <c r="F124" s="2386"/>
      <c r="G124" s="2387"/>
      <c r="H124" s="2386"/>
      <c r="I124" s="2387"/>
      <c r="J124" s="2386"/>
      <c r="K124" s="2386"/>
      <c r="L124" s="2387"/>
      <c r="M124" s="2386"/>
      <c r="N124" s="2386"/>
      <c r="O124" s="2387"/>
      <c r="P124" s="2386"/>
      <c r="Q124" s="2386"/>
      <c r="R124" s="2388"/>
    </row>
    <row r="125" spans="2:18" s="2360" customFormat="1">
      <c r="B125" s="2386"/>
      <c r="C125" s="2386"/>
      <c r="D125" s="2386"/>
      <c r="E125" s="2386"/>
      <c r="F125" s="2386"/>
      <c r="G125" s="2387"/>
      <c r="H125" s="2386"/>
      <c r="I125" s="2387"/>
      <c r="J125" s="2386"/>
      <c r="K125" s="2386"/>
      <c r="L125" s="2387"/>
      <c r="M125" s="2386"/>
      <c r="N125" s="2386"/>
      <c r="O125" s="2387"/>
      <c r="P125" s="2386"/>
      <c r="Q125" s="2386"/>
      <c r="R125" s="2388"/>
    </row>
    <row r="126" spans="2:18" s="2360" customFormat="1">
      <c r="B126" s="2386"/>
      <c r="C126" s="2386"/>
      <c r="D126" s="2386"/>
      <c r="E126" s="2386"/>
      <c r="F126" s="2386"/>
      <c r="G126" s="2387"/>
      <c r="H126" s="2386"/>
      <c r="I126" s="2387"/>
      <c r="J126" s="2386"/>
      <c r="K126" s="2386"/>
      <c r="L126" s="2387"/>
      <c r="M126" s="2386"/>
      <c r="N126" s="2386"/>
      <c r="O126" s="2387"/>
      <c r="P126" s="2386"/>
      <c r="Q126" s="2386"/>
      <c r="R126" s="2388"/>
    </row>
    <row r="127" spans="2:18" s="2360" customFormat="1">
      <c r="B127" s="2386"/>
      <c r="C127" s="2386"/>
      <c r="D127" s="2386"/>
      <c r="E127" s="2386"/>
      <c r="F127" s="2386"/>
      <c r="G127" s="2387"/>
      <c r="H127" s="2386"/>
      <c r="I127" s="2387"/>
      <c r="J127" s="2386"/>
      <c r="K127" s="2386"/>
      <c r="L127" s="2387"/>
      <c r="M127" s="2386"/>
      <c r="N127" s="2386"/>
      <c r="O127" s="2387"/>
      <c r="P127" s="2386"/>
      <c r="Q127" s="2386"/>
      <c r="R127" s="2388"/>
    </row>
    <row r="128" spans="2:18" s="2360" customFormat="1">
      <c r="B128" s="2386"/>
      <c r="C128" s="2386"/>
      <c r="D128" s="2386"/>
      <c r="E128" s="2386"/>
      <c r="F128" s="2386"/>
      <c r="G128" s="2387"/>
      <c r="H128" s="2386"/>
      <c r="I128" s="2387"/>
      <c r="J128" s="2386"/>
      <c r="K128" s="2386"/>
      <c r="L128" s="2387"/>
      <c r="M128" s="2386"/>
      <c r="N128" s="2386"/>
      <c r="O128" s="2387"/>
      <c r="P128" s="2386"/>
      <c r="Q128" s="2386"/>
      <c r="R128" s="2388"/>
    </row>
    <row r="129" spans="2:18" s="2360" customFormat="1">
      <c r="B129" s="2386"/>
      <c r="C129" s="2386"/>
      <c r="D129" s="2386"/>
      <c r="E129" s="2386"/>
      <c r="F129" s="2386"/>
      <c r="G129" s="2387"/>
      <c r="H129" s="2386"/>
      <c r="I129" s="2387"/>
      <c r="J129" s="2386"/>
      <c r="K129" s="2386"/>
      <c r="L129" s="2387"/>
      <c r="M129" s="2386"/>
      <c r="N129" s="2386"/>
      <c r="O129" s="2387"/>
      <c r="P129" s="2386"/>
      <c r="Q129" s="2386"/>
      <c r="R129" s="2388"/>
    </row>
    <row r="130" spans="2:18" s="2360" customFormat="1">
      <c r="B130" s="2386"/>
      <c r="C130" s="2386"/>
      <c r="D130" s="2386"/>
      <c r="E130" s="2386"/>
      <c r="F130" s="2386"/>
      <c r="G130" s="2387"/>
      <c r="H130" s="2386"/>
      <c r="I130" s="2387"/>
      <c r="J130" s="2386"/>
      <c r="K130" s="2386"/>
      <c r="L130" s="2387"/>
      <c r="M130" s="2386"/>
      <c r="N130" s="2386"/>
      <c r="O130" s="2387"/>
      <c r="P130" s="2386"/>
      <c r="Q130" s="2386"/>
      <c r="R130" s="2388"/>
    </row>
    <row r="131" spans="2:18" s="2360" customFormat="1">
      <c r="B131" s="2386"/>
      <c r="C131" s="2386"/>
      <c r="D131" s="2386"/>
      <c r="E131" s="2386"/>
      <c r="F131" s="2386"/>
      <c r="G131" s="2387"/>
      <c r="H131" s="2386"/>
      <c r="I131" s="2387"/>
      <c r="J131" s="2386"/>
      <c r="K131" s="2386"/>
      <c r="L131" s="2387"/>
      <c r="M131" s="2386"/>
      <c r="N131" s="2386"/>
      <c r="O131" s="2387"/>
      <c r="P131" s="2386"/>
      <c r="Q131" s="2386"/>
      <c r="R131" s="2388"/>
    </row>
    <row r="132" spans="2:18" s="2360" customFormat="1">
      <c r="B132" s="2386"/>
      <c r="C132" s="2386"/>
      <c r="D132" s="2386"/>
      <c r="E132" s="2386"/>
      <c r="F132" s="2386"/>
      <c r="G132" s="2387"/>
      <c r="H132" s="2386"/>
      <c r="I132" s="2387"/>
      <c r="J132" s="2386"/>
      <c r="K132" s="2386"/>
      <c r="L132" s="2387"/>
      <c r="M132" s="2386"/>
      <c r="N132" s="2386"/>
      <c r="O132" s="2387"/>
      <c r="P132" s="2386"/>
      <c r="Q132" s="2386"/>
      <c r="R132" s="2388"/>
    </row>
    <row r="133" spans="2:18" s="2360" customFormat="1">
      <c r="B133" s="2386"/>
      <c r="C133" s="2386"/>
      <c r="D133" s="2386"/>
      <c r="E133" s="2386"/>
      <c r="F133" s="2386"/>
      <c r="G133" s="2387"/>
      <c r="H133" s="2386"/>
      <c r="I133" s="2387"/>
      <c r="J133" s="2386"/>
      <c r="K133" s="2386"/>
      <c r="L133" s="2387"/>
      <c r="M133" s="2386"/>
      <c r="N133" s="2386"/>
      <c r="O133" s="2387"/>
      <c r="P133" s="2386"/>
      <c r="Q133" s="2386"/>
      <c r="R133" s="2388"/>
    </row>
    <row r="134" spans="2:18" s="2360" customFormat="1">
      <c r="B134" s="2386"/>
      <c r="C134" s="2386"/>
      <c r="D134" s="2386"/>
      <c r="E134" s="2386"/>
      <c r="F134" s="2386"/>
      <c r="G134" s="2387"/>
      <c r="H134" s="2386"/>
      <c r="I134" s="2387"/>
      <c r="J134" s="2386"/>
      <c r="K134" s="2386"/>
      <c r="L134" s="2387"/>
      <c r="M134" s="2386"/>
      <c r="N134" s="2386"/>
      <c r="O134" s="2387"/>
      <c r="P134" s="2386"/>
      <c r="Q134" s="2386"/>
      <c r="R134" s="2388"/>
    </row>
    <row r="135" spans="2:18" s="2360" customFormat="1">
      <c r="B135" s="2386"/>
      <c r="C135" s="2386"/>
      <c r="D135" s="2386"/>
      <c r="E135" s="2386"/>
      <c r="F135" s="2386"/>
      <c r="G135" s="2387"/>
      <c r="H135" s="2386"/>
      <c r="I135" s="2387"/>
      <c r="J135" s="2386"/>
      <c r="K135" s="2386"/>
      <c r="L135" s="2387"/>
      <c r="M135" s="2386"/>
      <c r="N135" s="2386"/>
      <c r="O135" s="2387"/>
      <c r="P135" s="2386"/>
      <c r="Q135" s="2386"/>
      <c r="R135" s="2388"/>
    </row>
    <row r="136" spans="2:18" s="2360" customFormat="1">
      <c r="B136" s="2386"/>
      <c r="C136" s="2386"/>
      <c r="D136" s="2386"/>
      <c r="E136" s="2386"/>
      <c r="F136" s="2386"/>
      <c r="G136" s="2387"/>
      <c r="H136" s="2386"/>
      <c r="I136" s="2387"/>
      <c r="J136" s="2386"/>
      <c r="K136" s="2386"/>
      <c r="L136" s="2387"/>
      <c r="M136" s="2386"/>
      <c r="N136" s="2386"/>
      <c r="O136" s="2387"/>
      <c r="P136" s="2386"/>
      <c r="Q136" s="2386"/>
      <c r="R136" s="2388"/>
    </row>
    <row r="137" spans="2:18" s="2360" customFormat="1">
      <c r="B137" s="2386"/>
      <c r="C137" s="2386"/>
      <c r="D137" s="2386"/>
      <c r="E137" s="2386"/>
      <c r="F137" s="2386"/>
      <c r="G137" s="2387"/>
      <c r="H137" s="2386"/>
      <c r="I137" s="2387"/>
      <c r="J137" s="2386"/>
      <c r="K137" s="2386"/>
      <c r="L137" s="2387"/>
      <c r="M137" s="2386"/>
      <c r="N137" s="2386"/>
      <c r="O137" s="2387"/>
      <c r="P137" s="2386"/>
      <c r="Q137" s="2386"/>
      <c r="R137" s="2388"/>
    </row>
    <row r="138" spans="2:18" s="2360" customFormat="1">
      <c r="B138" s="2386"/>
      <c r="C138" s="2386"/>
      <c r="D138" s="2386"/>
      <c r="E138" s="2386"/>
      <c r="F138" s="2386"/>
      <c r="G138" s="2387"/>
      <c r="H138" s="2386"/>
      <c r="I138" s="2387"/>
      <c r="J138" s="2386"/>
      <c r="K138" s="2386"/>
      <c r="L138" s="2387"/>
      <c r="M138" s="2386"/>
      <c r="N138" s="2386"/>
      <c r="O138" s="2387"/>
      <c r="P138" s="2386"/>
      <c r="Q138" s="2386"/>
      <c r="R138" s="2388"/>
    </row>
    <row r="139" spans="2:18" s="2360" customFormat="1">
      <c r="B139" s="2386"/>
      <c r="C139" s="2386"/>
      <c r="D139" s="2386"/>
      <c r="E139" s="2386"/>
      <c r="F139" s="2386"/>
      <c r="G139" s="2387"/>
      <c r="H139" s="2386"/>
      <c r="I139" s="2387"/>
      <c r="J139" s="2386"/>
      <c r="K139" s="2386"/>
      <c r="L139" s="2387"/>
      <c r="M139" s="2386"/>
      <c r="N139" s="2386"/>
      <c r="O139" s="2387"/>
      <c r="P139" s="2386"/>
      <c r="Q139" s="2386"/>
      <c r="R139" s="2388"/>
    </row>
    <row r="140" spans="2:18" s="2360" customFormat="1">
      <c r="B140" s="2386"/>
      <c r="C140" s="2386"/>
      <c r="D140" s="2386"/>
      <c r="E140" s="2386"/>
      <c r="F140" s="2386"/>
      <c r="G140" s="2387"/>
      <c r="H140" s="2386"/>
      <c r="I140" s="2387"/>
      <c r="J140" s="2386"/>
      <c r="K140" s="2386"/>
      <c r="L140" s="2387"/>
      <c r="M140" s="2386"/>
      <c r="N140" s="2386"/>
      <c r="O140" s="2387"/>
      <c r="P140" s="2386"/>
      <c r="Q140" s="2386"/>
      <c r="R140" s="2388"/>
    </row>
    <row r="141" spans="2:18" s="2360" customFormat="1">
      <c r="B141" s="2386"/>
      <c r="C141" s="2386"/>
      <c r="D141" s="2386"/>
      <c r="E141" s="2386"/>
      <c r="F141" s="2386"/>
      <c r="G141" s="2387"/>
      <c r="H141" s="2386"/>
      <c r="I141" s="2387"/>
      <c r="J141" s="2386"/>
      <c r="K141" s="2386"/>
      <c r="L141" s="2387"/>
      <c r="M141" s="2386"/>
      <c r="N141" s="2386"/>
      <c r="O141" s="2387"/>
      <c r="P141" s="2386"/>
      <c r="Q141" s="2386"/>
      <c r="R141" s="2388"/>
    </row>
    <row r="142" spans="2:18" s="2360" customFormat="1">
      <c r="B142" s="2386"/>
      <c r="C142" s="2386"/>
      <c r="D142" s="2386"/>
      <c r="E142" s="2386"/>
      <c r="F142" s="2386"/>
      <c r="G142" s="2387"/>
      <c r="H142" s="2386"/>
      <c r="I142" s="2387"/>
      <c r="J142" s="2386"/>
      <c r="K142" s="2386"/>
      <c r="L142" s="2387"/>
      <c r="M142" s="2386"/>
      <c r="N142" s="2386"/>
      <c r="O142" s="2387"/>
      <c r="P142" s="2386"/>
      <c r="Q142" s="2386"/>
      <c r="R142" s="2388"/>
    </row>
    <row r="143" spans="2:18" s="2360" customFormat="1">
      <c r="B143" s="2386"/>
      <c r="C143" s="2386"/>
      <c r="D143" s="2386"/>
      <c r="E143" s="2386"/>
      <c r="F143" s="2386"/>
      <c r="G143" s="2387"/>
      <c r="H143" s="2386"/>
      <c r="I143" s="2387"/>
      <c r="J143" s="2386"/>
      <c r="K143" s="2386"/>
      <c r="L143" s="2387"/>
      <c r="M143" s="2386"/>
      <c r="N143" s="2386"/>
      <c r="O143" s="2387"/>
      <c r="P143" s="2386"/>
      <c r="Q143" s="2386"/>
      <c r="R143" s="2388"/>
    </row>
    <row r="144" spans="2:18" s="2360" customFormat="1">
      <c r="B144" s="2386"/>
      <c r="C144" s="2386"/>
      <c r="D144" s="2386"/>
      <c r="E144" s="2386"/>
      <c r="F144" s="2386"/>
      <c r="G144" s="2387"/>
      <c r="H144" s="2386"/>
      <c r="I144" s="2387"/>
      <c r="J144" s="2386"/>
      <c r="K144" s="2386"/>
      <c r="L144" s="2387"/>
      <c r="M144" s="2386"/>
      <c r="N144" s="2386"/>
      <c r="O144" s="2387"/>
      <c r="P144" s="2386"/>
      <c r="Q144" s="2386"/>
      <c r="R144" s="2388"/>
    </row>
    <row r="145" spans="2:18" s="2360" customFormat="1">
      <c r="B145" s="2386"/>
      <c r="C145" s="2386"/>
      <c r="D145" s="2386"/>
      <c r="E145" s="2386"/>
      <c r="F145" s="2386"/>
      <c r="G145" s="2387"/>
      <c r="H145" s="2386"/>
      <c r="I145" s="2387"/>
      <c r="J145" s="2386"/>
      <c r="K145" s="2386"/>
      <c r="L145" s="2387"/>
      <c r="M145" s="2386"/>
      <c r="N145" s="2386"/>
      <c r="O145" s="2387"/>
      <c r="P145" s="2386"/>
      <c r="Q145" s="2386"/>
      <c r="R145" s="2388"/>
    </row>
    <row r="146" spans="2:18" s="2360" customFormat="1">
      <c r="B146" s="2386"/>
      <c r="C146" s="2386"/>
      <c r="D146" s="2386"/>
      <c r="E146" s="2386"/>
      <c r="F146" s="2386"/>
      <c r="G146" s="2387"/>
      <c r="H146" s="2386"/>
      <c r="I146" s="2387"/>
      <c r="J146" s="2386"/>
      <c r="K146" s="2386"/>
      <c r="L146" s="2387"/>
      <c r="M146" s="2386"/>
      <c r="N146" s="2386"/>
      <c r="O146" s="2387"/>
      <c r="P146" s="2386"/>
      <c r="Q146" s="2386"/>
      <c r="R146" s="2388"/>
    </row>
    <row r="147" spans="2:18" s="2360" customFormat="1">
      <c r="B147" s="2386"/>
      <c r="C147" s="2386"/>
      <c r="D147" s="2386"/>
      <c r="E147" s="2386"/>
      <c r="F147" s="2386"/>
      <c r="G147" s="2387"/>
      <c r="H147" s="2386"/>
      <c r="I147" s="2387"/>
      <c r="J147" s="2386"/>
      <c r="K147" s="2386"/>
      <c r="L147" s="2387"/>
      <c r="M147" s="2386"/>
      <c r="N147" s="2386"/>
      <c r="O147" s="2387"/>
      <c r="P147" s="2386"/>
      <c r="Q147" s="2386"/>
      <c r="R147" s="2388"/>
    </row>
    <row r="148" spans="2:18" s="2360" customFormat="1">
      <c r="B148" s="2386"/>
      <c r="C148" s="2386"/>
      <c r="D148" s="2386"/>
      <c r="E148" s="2386"/>
      <c r="F148" s="2386"/>
      <c r="G148" s="2387"/>
      <c r="H148" s="2386"/>
      <c r="I148" s="2387"/>
      <c r="J148" s="2386"/>
      <c r="K148" s="2386"/>
      <c r="L148" s="2387"/>
      <c r="M148" s="2386"/>
      <c r="N148" s="2386"/>
      <c r="O148" s="2387"/>
      <c r="P148" s="2386"/>
      <c r="Q148" s="2386"/>
      <c r="R148" s="2388"/>
    </row>
    <row r="149" spans="2:18" s="2360" customFormat="1">
      <c r="B149" s="2386"/>
      <c r="C149" s="2386"/>
      <c r="D149" s="2386"/>
      <c r="E149" s="2386"/>
      <c r="F149" s="2386"/>
      <c r="G149" s="2387"/>
      <c r="H149" s="2386"/>
      <c r="I149" s="2387"/>
      <c r="J149" s="2386"/>
      <c r="K149" s="2386"/>
      <c r="L149" s="2387"/>
      <c r="M149" s="2386"/>
      <c r="N149" s="2386"/>
      <c r="O149" s="2387"/>
      <c r="P149" s="2386"/>
      <c r="Q149" s="2386"/>
      <c r="R149" s="2388"/>
    </row>
    <row r="150" spans="2:18" s="2360" customFormat="1">
      <c r="B150" s="2386"/>
      <c r="C150" s="2386"/>
      <c r="D150" s="2386"/>
      <c r="E150" s="2386"/>
      <c r="F150" s="2386"/>
      <c r="G150" s="2387"/>
      <c r="H150" s="2386"/>
      <c r="I150" s="2387"/>
      <c r="J150" s="2386"/>
      <c r="K150" s="2386"/>
      <c r="L150" s="2387"/>
      <c r="M150" s="2386"/>
      <c r="N150" s="2386"/>
      <c r="O150" s="2387"/>
      <c r="P150" s="2386"/>
      <c r="Q150" s="2386"/>
      <c r="R150" s="2388"/>
    </row>
    <row r="151" spans="2:18" s="2360" customFormat="1">
      <c r="B151" s="2386"/>
      <c r="C151" s="2386"/>
      <c r="D151" s="2386"/>
      <c r="E151" s="2386"/>
      <c r="F151" s="2386"/>
      <c r="G151" s="2387"/>
      <c r="H151" s="2386"/>
      <c r="I151" s="2387"/>
      <c r="J151" s="2386"/>
      <c r="K151" s="2386"/>
      <c r="L151" s="2387"/>
      <c r="M151" s="2386"/>
      <c r="N151" s="2386"/>
      <c r="O151" s="2387"/>
      <c r="P151" s="2386"/>
      <c r="Q151" s="2386"/>
      <c r="R151" s="2388"/>
    </row>
    <row r="152" spans="2:18" s="2360" customFormat="1">
      <c r="B152" s="2386"/>
      <c r="C152" s="2386"/>
      <c r="D152" s="2386"/>
      <c r="E152" s="2386"/>
      <c r="F152" s="2386"/>
      <c r="G152" s="2387"/>
      <c r="H152" s="2386"/>
      <c r="I152" s="2387"/>
      <c r="J152" s="2386"/>
      <c r="K152" s="2386"/>
      <c r="L152" s="2387"/>
      <c r="M152" s="2386"/>
      <c r="N152" s="2386"/>
      <c r="O152" s="2387"/>
      <c r="P152" s="2386"/>
      <c r="Q152" s="2386"/>
      <c r="R152" s="2388"/>
    </row>
    <row r="153" spans="2:18" s="2360" customFormat="1">
      <c r="B153" s="2386"/>
      <c r="C153" s="2386"/>
      <c r="D153" s="2386"/>
      <c r="E153" s="2386"/>
      <c r="F153" s="2386"/>
      <c r="G153" s="2387"/>
      <c r="H153" s="2386"/>
      <c r="I153" s="2387"/>
      <c r="J153" s="2386"/>
      <c r="K153" s="2386"/>
      <c r="L153" s="2387"/>
      <c r="M153" s="2386"/>
      <c r="N153" s="2386"/>
      <c r="O153" s="2387"/>
      <c r="P153" s="2386"/>
      <c r="Q153" s="2386"/>
      <c r="R153" s="2388"/>
    </row>
    <row r="154" spans="2:18" s="2360" customFormat="1">
      <c r="B154" s="2386"/>
      <c r="C154" s="2386"/>
      <c r="D154" s="2386"/>
      <c r="E154" s="2386"/>
      <c r="F154" s="2386"/>
      <c r="G154" s="2387"/>
      <c r="H154" s="2386"/>
      <c r="I154" s="2387"/>
      <c r="J154" s="2386"/>
      <c r="K154" s="2386"/>
      <c r="L154" s="2387"/>
      <c r="M154" s="2386"/>
      <c r="N154" s="2386"/>
      <c r="O154" s="2387"/>
      <c r="P154" s="2386"/>
      <c r="Q154" s="2386"/>
      <c r="R154" s="2388"/>
    </row>
    <row r="155" spans="2:18" s="2360" customFormat="1">
      <c r="B155" s="2386"/>
      <c r="C155" s="2386"/>
      <c r="D155" s="2386"/>
      <c r="E155" s="2386"/>
      <c r="F155" s="2386"/>
      <c r="G155" s="2387"/>
      <c r="H155" s="2386"/>
      <c r="I155" s="2387"/>
      <c r="J155" s="2386"/>
      <c r="K155" s="2386"/>
      <c r="L155" s="2387"/>
      <c r="M155" s="2386"/>
      <c r="N155" s="2386"/>
      <c r="O155" s="2387"/>
      <c r="P155" s="2386"/>
      <c r="Q155" s="2386"/>
      <c r="R155" s="2388"/>
    </row>
    <row r="156" spans="2:18" s="2360" customFormat="1">
      <c r="B156" s="2386"/>
      <c r="C156" s="2386"/>
      <c r="D156" s="2386"/>
      <c r="E156" s="2386"/>
      <c r="F156" s="2386"/>
      <c r="G156" s="2387"/>
      <c r="H156" s="2386"/>
      <c r="I156" s="2387"/>
      <c r="J156" s="2386"/>
      <c r="K156" s="2386"/>
      <c r="L156" s="2387"/>
      <c r="M156" s="2386"/>
      <c r="N156" s="2386"/>
      <c r="O156" s="2387"/>
      <c r="P156" s="2386"/>
      <c r="Q156" s="2386"/>
      <c r="R156" s="2388"/>
    </row>
    <row r="157" spans="2:18" s="2360" customFormat="1">
      <c r="B157" s="2386"/>
      <c r="C157" s="2386"/>
      <c r="D157" s="2386"/>
      <c r="E157" s="2386"/>
      <c r="F157" s="2386"/>
      <c r="G157" s="2387"/>
      <c r="H157" s="2386"/>
      <c r="I157" s="2387"/>
      <c r="J157" s="2386"/>
      <c r="K157" s="2386"/>
      <c r="L157" s="2387"/>
      <c r="M157" s="2386"/>
      <c r="N157" s="2386"/>
      <c r="O157" s="2387"/>
      <c r="P157" s="2386"/>
      <c r="Q157" s="2386"/>
      <c r="R157" s="2388"/>
    </row>
    <row r="158" spans="2:18" s="2360" customFormat="1">
      <c r="B158" s="2386"/>
      <c r="C158" s="2386"/>
      <c r="D158" s="2386"/>
      <c r="E158" s="2386"/>
      <c r="F158" s="2386"/>
      <c r="G158" s="2387"/>
      <c r="H158" s="2386"/>
      <c r="I158" s="2387"/>
      <c r="J158" s="2386"/>
      <c r="K158" s="2386"/>
      <c r="L158" s="2387"/>
      <c r="M158" s="2386"/>
      <c r="N158" s="2386"/>
      <c r="O158" s="2387"/>
      <c r="P158" s="2386"/>
      <c r="Q158" s="2386"/>
      <c r="R158" s="2388"/>
    </row>
    <row r="159" spans="2:18" s="2360" customFormat="1">
      <c r="B159" s="2386"/>
      <c r="C159" s="2386"/>
      <c r="D159" s="2386"/>
      <c r="E159" s="2386"/>
      <c r="F159" s="2386"/>
      <c r="G159" s="2387"/>
      <c r="H159" s="2386"/>
      <c r="I159" s="2387"/>
      <c r="J159" s="2386"/>
      <c r="K159" s="2386"/>
      <c r="L159" s="2387"/>
      <c r="M159" s="2386"/>
      <c r="N159" s="2386"/>
      <c r="O159" s="2387"/>
      <c r="P159" s="2386"/>
      <c r="Q159" s="2386"/>
      <c r="R159" s="2388"/>
    </row>
    <row r="160" spans="2:18" s="2360" customFormat="1">
      <c r="B160" s="2386"/>
      <c r="C160" s="2386"/>
      <c r="D160" s="2386"/>
      <c r="E160" s="2386"/>
      <c r="F160" s="2386"/>
      <c r="G160" s="2387"/>
      <c r="H160" s="2386"/>
      <c r="I160" s="2387"/>
      <c r="J160" s="2386"/>
      <c r="K160" s="2386"/>
      <c r="L160" s="2387"/>
      <c r="M160" s="2386"/>
      <c r="N160" s="2386"/>
      <c r="O160" s="2387"/>
      <c r="P160" s="2386"/>
      <c r="Q160" s="2386"/>
      <c r="R160" s="2388"/>
    </row>
    <row r="161" spans="2:18" s="2360" customFormat="1">
      <c r="B161" s="2386"/>
      <c r="C161" s="2386"/>
      <c r="D161" s="2386"/>
      <c r="E161" s="2386"/>
      <c r="F161" s="2386"/>
      <c r="G161" s="2387"/>
      <c r="H161" s="2386"/>
      <c r="I161" s="2387"/>
      <c r="J161" s="2386"/>
      <c r="K161" s="2386"/>
      <c r="L161" s="2387"/>
      <c r="M161" s="2386"/>
      <c r="N161" s="2386"/>
      <c r="O161" s="2387"/>
      <c r="P161" s="2386"/>
      <c r="Q161" s="2386"/>
      <c r="R161" s="2388"/>
    </row>
    <row r="162" spans="2:18" s="2360" customFormat="1">
      <c r="B162" s="2386"/>
      <c r="C162" s="2386"/>
      <c r="D162" s="2386"/>
      <c r="E162" s="2386"/>
      <c r="F162" s="2386"/>
      <c r="G162" s="2387"/>
      <c r="H162" s="2386"/>
      <c r="I162" s="2387"/>
      <c r="J162" s="2386"/>
      <c r="K162" s="2386"/>
      <c r="L162" s="2387"/>
      <c r="M162" s="2386"/>
      <c r="N162" s="2386"/>
      <c r="O162" s="2387"/>
      <c r="P162" s="2386"/>
      <c r="Q162" s="2386"/>
      <c r="R162" s="2388"/>
    </row>
    <row r="163" spans="2:18" s="2360" customFormat="1">
      <c r="B163" s="2386"/>
      <c r="C163" s="2386"/>
      <c r="D163" s="2386"/>
      <c r="E163" s="2386"/>
      <c r="F163" s="2386"/>
      <c r="G163" s="2387"/>
      <c r="H163" s="2386"/>
      <c r="I163" s="2387"/>
      <c r="J163" s="2386"/>
      <c r="K163" s="2386"/>
      <c r="L163" s="2387"/>
      <c r="M163" s="2386"/>
      <c r="N163" s="2386"/>
      <c r="O163" s="2387"/>
      <c r="P163" s="2386"/>
      <c r="Q163" s="2386"/>
      <c r="R163" s="2388"/>
    </row>
    <row r="164" spans="2:18" s="2360" customFormat="1">
      <c r="B164" s="2386"/>
      <c r="C164" s="2386"/>
      <c r="D164" s="2386"/>
      <c r="E164" s="2386"/>
      <c r="F164" s="2386"/>
      <c r="G164" s="2387"/>
      <c r="H164" s="2386"/>
      <c r="I164" s="2387"/>
      <c r="J164" s="2386"/>
      <c r="K164" s="2386"/>
      <c r="L164" s="2387"/>
      <c r="M164" s="2386"/>
      <c r="N164" s="2386"/>
      <c r="O164" s="2387"/>
      <c r="P164" s="2386"/>
      <c r="Q164" s="2386"/>
      <c r="R164" s="2388"/>
    </row>
    <row r="165" spans="2:18" s="2360" customFormat="1">
      <c r="B165" s="2386"/>
      <c r="C165" s="2386"/>
      <c r="D165" s="2386"/>
      <c r="E165" s="2386"/>
      <c r="F165" s="2386"/>
      <c r="G165" s="2387"/>
      <c r="H165" s="2386"/>
      <c r="I165" s="2387"/>
      <c r="J165" s="2386"/>
      <c r="K165" s="2386"/>
      <c r="L165" s="2387"/>
      <c r="M165" s="2386"/>
      <c r="N165" s="2386"/>
      <c r="O165" s="2387"/>
      <c r="P165" s="2386"/>
      <c r="Q165" s="2386"/>
      <c r="R165" s="2388"/>
    </row>
    <row r="166" spans="2:18" s="2360" customFormat="1">
      <c r="B166" s="2386"/>
      <c r="C166" s="2386"/>
      <c r="D166" s="2386"/>
      <c r="E166" s="2386"/>
      <c r="F166" s="2386"/>
      <c r="G166" s="2387"/>
      <c r="H166" s="2386"/>
      <c r="I166" s="2387"/>
      <c r="J166" s="2386"/>
      <c r="K166" s="2386"/>
      <c r="L166" s="2387"/>
      <c r="M166" s="2386"/>
      <c r="N166" s="2386"/>
      <c r="O166" s="2387"/>
      <c r="P166" s="2386"/>
      <c r="Q166" s="2386"/>
      <c r="R166" s="2388"/>
    </row>
    <row r="167" spans="2:18" s="2360" customFormat="1">
      <c r="B167" s="2386"/>
      <c r="C167" s="2386"/>
      <c r="D167" s="2386"/>
      <c r="E167" s="2386"/>
      <c r="F167" s="2386"/>
      <c r="G167" s="2387"/>
      <c r="H167" s="2386"/>
      <c r="I167" s="2387"/>
      <c r="J167" s="2386"/>
      <c r="K167" s="2386"/>
      <c r="L167" s="2387"/>
      <c r="M167" s="2386"/>
      <c r="N167" s="2386"/>
      <c r="O167" s="2387"/>
      <c r="P167" s="2386"/>
      <c r="Q167" s="2386"/>
      <c r="R167" s="2388"/>
    </row>
    <row r="168" spans="2:18" s="2360" customFormat="1">
      <c r="B168" s="2386"/>
      <c r="C168" s="2386"/>
      <c r="D168" s="2386"/>
      <c r="E168" s="2386"/>
      <c r="F168" s="2386"/>
      <c r="G168" s="2387"/>
      <c r="H168" s="2386"/>
      <c r="I168" s="2387"/>
      <c r="J168" s="2386"/>
      <c r="K168" s="2386"/>
      <c r="L168" s="2387"/>
      <c r="M168" s="2386"/>
      <c r="N168" s="2386"/>
      <c r="O168" s="2387"/>
      <c r="P168" s="2386"/>
      <c r="Q168" s="2386"/>
      <c r="R168" s="2388"/>
    </row>
    <row r="169" spans="2:18" s="2360" customFormat="1">
      <c r="B169" s="2386"/>
      <c r="C169" s="2386"/>
      <c r="D169" s="2386"/>
      <c r="E169" s="2386"/>
      <c r="F169" s="2386"/>
      <c r="G169" s="2387"/>
      <c r="H169" s="2386"/>
      <c r="I169" s="2387"/>
      <c r="J169" s="2386"/>
      <c r="K169" s="2386"/>
      <c r="L169" s="2387"/>
      <c r="M169" s="2386"/>
      <c r="N169" s="2386"/>
      <c r="O169" s="2387"/>
      <c r="P169" s="2386"/>
      <c r="Q169" s="2386"/>
      <c r="R169" s="2388"/>
    </row>
    <row r="170" spans="2:18" s="2360" customFormat="1">
      <c r="B170" s="2386"/>
      <c r="C170" s="2386"/>
      <c r="D170" s="2386"/>
      <c r="E170" s="2386"/>
      <c r="F170" s="2386"/>
      <c r="G170" s="2387"/>
      <c r="H170" s="2386"/>
      <c r="I170" s="2387"/>
      <c r="J170" s="2386"/>
      <c r="K170" s="2386"/>
      <c r="L170" s="2387"/>
      <c r="M170" s="2386"/>
      <c r="N170" s="2386"/>
      <c r="O170" s="2387"/>
      <c r="P170" s="2386"/>
      <c r="Q170" s="2386"/>
      <c r="R170" s="2388"/>
    </row>
    <row r="171" spans="2:18" s="2360" customFormat="1">
      <c r="B171" s="2386"/>
      <c r="C171" s="2386"/>
      <c r="D171" s="2386"/>
      <c r="E171" s="2386"/>
      <c r="F171" s="2386"/>
      <c r="G171" s="2387"/>
      <c r="H171" s="2386"/>
      <c r="I171" s="2387"/>
      <c r="J171" s="2386"/>
      <c r="K171" s="2386"/>
      <c r="L171" s="2387"/>
      <c r="M171" s="2386"/>
      <c r="N171" s="2386"/>
      <c r="O171" s="2387"/>
      <c r="P171" s="2386"/>
      <c r="Q171" s="2386"/>
      <c r="R171" s="2388"/>
    </row>
    <row r="172" spans="2:18" s="2360" customFormat="1">
      <c r="B172" s="2386"/>
      <c r="C172" s="2386"/>
      <c r="D172" s="2386"/>
      <c r="E172" s="2386"/>
      <c r="F172" s="2386"/>
      <c r="G172" s="2387"/>
      <c r="H172" s="2386"/>
      <c r="I172" s="2387"/>
      <c r="J172" s="2386"/>
      <c r="K172" s="2386"/>
      <c r="L172" s="2387"/>
      <c r="M172" s="2386"/>
      <c r="N172" s="2386"/>
      <c r="O172" s="2387"/>
      <c r="P172" s="2386"/>
      <c r="Q172" s="2386"/>
      <c r="R172" s="2388"/>
    </row>
    <row r="173" spans="2:18" s="2360" customFormat="1">
      <c r="B173" s="2386"/>
      <c r="C173" s="2386"/>
      <c r="D173" s="2386"/>
      <c r="E173" s="2386"/>
      <c r="F173" s="2386"/>
      <c r="G173" s="2387"/>
      <c r="H173" s="2386"/>
      <c r="I173" s="2387"/>
      <c r="J173" s="2386"/>
      <c r="K173" s="2386"/>
      <c r="L173" s="2387"/>
      <c r="M173" s="2386"/>
      <c r="N173" s="2386"/>
      <c r="O173" s="2387"/>
      <c r="P173" s="2386"/>
      <c r="Q173" s="2386"/>
      <c r="R173" s="2388"/>
    </row>
    <row r="174" spans="2:18" s="2360" customFormat="1">
      <c r="B174" s="2386"/>
      <c r="C174" s="2386"/>
      <c r="D174" s="2386"/>
      <c r="E174" s="2386"/>
      <c r="F174" s="2386"/>
      <c r="G174" s="2387"/>
      <c r="H174" s="2386"/>
      <c r="I174" s="2387"/>
      <c r="J174" s="2386"/>
      <c r="K174" s="2386"/>
      <c r="L174" s="2387"/>
      <c r="M174" s="2386"/>
      <c r="N174" s="2386"/>
      <c r="O174" s="2387"/>
      <c r="P174" s="2386"/>
      <c r="Q174" s="2386"/>
      <c r="R174" s="2388"/>
    </row>
    <row r="175" spans="2:18" s="2360" customFormat="1">
      <c r="B175" s="2386"/>
      <c r="C175" s="2386"/>
      <c r="D175" s="2386"/>
      <c r="E175" s="2386"/>
      <c r="F175" s="2386"/>
      <c r="G175" s="2387"/>
      <c r="H175" s="2386"/>
      <c r="I175" s="2387"/>
      <c r="J175" s="2386"/>
      <c r="K175" s="2386"/>
      <c r="L175" s="2387"/>
      <c r="M175" s="2386"/>
      <c r="N175" s="2386"/>
      <c r="O175" s="2387"/>
      <c r="P175" s="2386"/>
      <c r="Q175" s="2386"/>
      <c r="R175" s="2388"/>
    </row>
    <row r="176" spans="2:18" s="2360" customFormat="1">
      <c r="B176" s="2386"/>
      <c r="C176" s="2386"/>
      <c r="D176" s="2386"/>
      <c r="E176" s="2386"/>
      <c r="F176" s="2386"/>
      <c r="G176" s="2387"/>
      <c r="H176" s="2386"/>
      <c r="I176" s="2387"/>
      <c r="J176" s="2386"/>
      <c r="K176" s="2386"/>
      <c r="L176" s="2387"/>
      <c r="M176" s="2386"/>
      <c r="N176" s="2386"/>
      <c r="O176" s="2387"/>
      <c r="P176" s="2386"/>
      <c r="Q176" s="2386"/>
      <c r="R176" s="2388"/>
    </row>
    <row r="177" spans="1:18" s="2360" customFormat="1">
      <c r="B177" s="2386"/>
      <c r="C177" s="2386"/>
      <c r="D177" s="2386"/>
      <c r="E177" s="2386"/>
      <c r="F177" s="2386"/>
      <c r="G177" s="2387"/>
      <c r="H177" s="2386"/>
      <c r="I177" s="2387"/>
      <c r="J177" s="2386"/>
      <c r="K177" s="2386"/>
      <c r="L177" s="2387"/>
      <c r="M177" s="2386"/>
      <c r="N177" s="2386"/>
      <c r="O177" s="2387"/>
      <c r="P177" s="2386"/>
      <c r="Q177" s="2386"/>
      <c r="R177" s="2388"/>
    </row>
    <row r="178" spans="1:18" s="2360" customFormat="1">
      <c r="B178" s="2386"/>
      <c r="C178" s="2386"/>
      <c r="D178" s="2386"/>
      <c r="E178" s="2386"/>
      <c r="F178" s="2386"/>
      <c r="G178" s="2387"/>
      <c r="H178" s="2386"/>
      <c r="I178" s="2387"/>
      <c r="J178" s="2386"/>
      <c r="K178" s="2386"/>
      <c r="L178" s="2387"/>
      <c r="M178" s="2386"/>
      <c r="N178" s="2386"/>
      <c r="O178" s="2387"/>
      <c r="P178" s="2386"/>
      <c r="Q178" s="2386"/>
      <c r="R178" s="2388"/>
    </row>
    <row r="179" spans="1:18" s="2360" customFormat="1">
      <c r="B179" s="2386"/>
      <c r="C179" s="2386"/>
      <c r="D179" s="2386"/>
      <c r="E179" s="2386"/>
      <c r="F179" s="2386"/>
      <c r="G179" s="2387"/>
      <c r="H179" s="2386"/>
      <c r="I179" s="2387"/>
      <c r="J179" s="2386"/>
      <c r="K179" s="2386"/>
      <c r="L179" s="2387"/>
      <c r="M179" s="2386"/>
      <c r="N179" s="2386"/>
      <c r="O179" s="2387"/>
      <c r="P179" s="2386"/>
      <c r="Q179" s="2386"/>
      <c r="R179" s="2388"/>
    </row>
    <row r="180" spans="1:18" s="2360" customFormat="1">
      <c r="B180" s="2386"/>
      <c r="C180" s="2386"/>
      <c r="D180" s="2386"/>
      <c r="E180" s="2386"/>
      <c r="F180" s="2386"/>
      <c r="G180" s="2387"/>
      <c r="H180" s="2386"/>
      <c r="I180" s="2387"/>
      <c r="J180" s="2386"/>
      <c r="K180" s="2386"/>
      <c r="L180" s="2387"/>
      <c r="M180" s="2386"/>
      <c r="N180" s="2386"/>
      <c r="O180" s="2387"/>
      <c r="P180" s="2386"/>
      <c r="Q180" s="2386"/>
      <c r="R180" s="2388"/>
    </row>
    <row r="181" spans="1:18" s="2360" customFormat="1">
      <c r="B181" s="2386"/>
      <c r="C181" s="2386"/>
      <c r="D181" s="2386"/>
      <c r="E181" s="2386"/>
      <c r="F181" s="2386"/>
      <c r="G181" s="2387"/>
      <c r="H181" s="2386"/>
      <c r="I181" s="2387"/>
      <c r="J181" s="2386"/>
      <c r="K181" s="2386"/>
      <c r="L181" s="2387"/>
      <c r="M181" s="2386"/>
      <c r="N181" s="2386"/>
      <c r="O181" s="2387"/>
      <c r="P181" s="2386"/>
      <c r="Q181" s="2386"/>
      <c r="R181" s="2388"/>
    </row>
    <row r="182" spans="1:18" s="2360" customFormat="1">
      <c r="B182" s="2386"/>
      <c r="C182" s="2386"/>
      <c r="D182" s="2386"/>
      <c r="E182" s="2386"/>
      <c r="F182" s="2386"/>
      <c r="G182" s="2387"/>
      <c r="H182" s="2386"/>
      <c r="I182" s="2387"/>
      <c r="J182" s="2386"/>
      <c r="K182" s="2386"/>
      <c r="L182" s="2387"/>
      <c r="M182" s="2386"/>
      <c r="N182" s="2386"/>
      <c r="O182" s="2387"/>
      <c r="P182" s="2386"/>
      <c r="Q182" s="2386"/>
      <c r="R182" s="2388"/>
    </row>
    <row r="183" spans="1:18" s="2360" customFormat="1">
      <c r="B183" s="2386"/>
      <c r="C183" s="2386"/>
      <c r="D183" s="2386"/>
      <c r="E183" s="2386"/>
      <c r="F183" s="2386"/>
      <c r="G183" s="2387"/>
      <c r="H183" s="2386"/>
      <c r="I183" s="2387"/>
      <c r="J183" s="2386"/>
      <c r="K183" s="2386"/>
      <c r="L183" s="2387"/>
      <c r="M183" s="2386"/>
      <c r="N183" s="2386"/>
      <c r="O183" s="2387"/>
      <c r="P183" s="2386"/>
      <c r="Q183" s="2386"/>
      <c r="R183" s="2388"/>
    </row>
    <row r="184" spans="1:18" s="2360" customFormat="1">
      <c r="B184" s="2386"/>
      <c r="C184" s="2386"/>
      <c r="D184" s="2386"/>
      <c r="E184" s="2386"/>
      <c r="F184" s="2386"/>
      <c r="G184" s="2387"/>
      <c r="H184" s="2386"/>
      <c r="I184" s="2387"/>
      <c r="J184" s="2386"/>
      <c r="K184" s="2386"/>
      <c r="L184" s="2387"/>
      <c r="M184" s="2386"/>
      <c r="N184" s="2386"/>
      <c r="O184" s="2387"/>
      <c r="P184" s="2386"/>
      <c r="Q184" s="2386"/>
      <c r="R184" s="2388"/>
    </row>
    <row r="185" spans="1:18" s="2360"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0"/>
      <c r="B186" s="2386"/>
      <c r="C186" s="2386"/>
      <c r="E186" s="2386"/>
      <c r="F186" s="2386"/>
      <c r="G186" s="2387"/>
    </row>
    <row r="187" spans="1:18">
      <c r="A187" s="2360"/>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1734" customWidth="1"/>
    <col min="2" max="9" width="15.75" style="1734" customWidth="1"/>
    <col min="10" max="16384" width="9" style="1734"/>
  </cols>
  <sheetData>
    <row r="1" spans="1:10" ht="16.5">
      <c r="A1" s="1739" t="s">
        <v>1365</v>
      </c>
      <c r="B1" s="1739">
        <f>SUM(B14:B23)</f>
        <v>48185.319999999992</v>
      </c>
      <c r="C1" s="1738"/>
      <c r="D1" s="1738"/>
      <c r="E1" s="1738"/>
      <c r="F1" s="1738"/>
      <c r="G1" s="1736"/>
    </row>
    <row r="2" spans="1:10" ht="16.5">
      <c r="A2" s="1739" t="s">
        <v>1353</v>
      </c>
      <c r="B2" s="1739">
        <f>SUM(C14:C23)</f>
        <v>9619.89</v>
      </c>
      <c r="C2" s="1738"/>
      <c r="D2" s="1738"/>
      <c r="E2" s="1738"/>
      <c r="F2" s="1738"/>
      <c r="G2" s="1736"/>
    </row>
    <row r="3" spans="1:10" ht="16.5">
      <c r="A3" s="1739" t="s">
        <v>1362</v>
      </c>
      <c r="B3" s="1740">
        <f>项目基本情况!D3</f>
        <v>43182</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171537</v>
      </c>
      <c r="C5" s="1739">
        <f ca="1">ROUND(B5*10000/$B$1,0)</f>
        <v>35599</v>
      </c>
      <c r="D5" s="1739">
        <f ca="1">ROUND(B5*10000/$B$2,0)</f>
        <v>178315</v>
      </c>
      <c r="E5" s="1738"/>
      <c r="F5" s="1736"/>
      <c r="G5" s="1736"/>
    </row>
    <row r="6" spans="1:10" ht="16.5">
      <c r="A6" s="1739" t="s">
        <v>1356</v>
      </c>
      <c r="B6" s="1739">
        <f>SUM(G14:G23)</f>
        <v>0</v>
      </c>
      <c r="C6" s="1739">
        <f>ROUND(B6*10000/$B$1,0)</f>
        <v>0</v>
      </c>
      <c r="D6" s="1739">
        <f>ROUND(B6*10000/$B$2,0)</f>
        <v>0</v>
      </c>
      <c r="E6" s="1738"/>
      <c r="F6" s="1736"/>
      <c r="G6" s="1736"/>
    </row>
    <row r="7" spans="1:10" ht="16.5">
      <c r="A7" s="1739" t="s">
        <v>1364</v>
      </c>
      <c r="B7" s="1739">
        <f ca="1">SUM(H14:H23)</f>
        <v>159589</v>
      </c>
      <c r="C7" s="1739">
        <f ca="1">ROUND(B7*10000/$B$1,0)</f>
        <v>33120</v>
      </c>
      <c r="D7" s="1739">
        <f ca="1">ROUND(B7*10000/$B$2,0)</f>
        <v>165895</v>
      </c>
      <c r="E7" s="1738"/>
      <c r="F7" s="1736"/>
      <c r="G7" s="1736"/>
    </row>
    <row r="8" spans="1:10" ht="16.5">
      <c r="A8" s="1739" t="s">
        <v>1285</v>
      </c>
      <c r="B8" s="1739">
        <f>SUM(I14:I23)</f>
        <v>0</v>
      </c>
      <c r="C8" s="1739">
        <f>ROUND(B8*10000/$B$1,0)</f>
        <v>0</v>
      </c>
      <c r="D8" s="1739">
        <f>ROUND(B8*10000/$B$2,0)</f>
        <v>0</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'结果表（办公）'!B118</f>
        <v>36555.58</v>
      </c>
      <c r="C14" s="1737">
        <f>'结果表（办公）'!C118</f>
        <v>7298.09</v>
      </c>
      <c r="D14" s="1737">
        <f ca="1">'结果表（办公）'!H118</f>
        <v>159589</v>
      </c>
      <c r="E14" s="1737">
        <f ca="1">ROUND(D14*10000/B14,0)</f>
        <v>43657</v>
      </c>
      <c r="F14" s="1737">
        <f ca="1">ROUND(D14*10000/C14,0)</f>
        <v>218672</v>
      </c>
      <c r="G14" s="1737" t="str">
        <f>'结果表（办公）'!D122</f>
        <v>——</v>
      </c>
      <c r="H14" s="1737">
        <f ca="1">'结果表（办公）'!D124</f>
        <v>159589</v>
      </c>
      <c r="I14" s="1737" t="str">
        <f>'结果表（办公）'!D126</f>
        <v>——</v>
      </c>
      <c r="J14" s="1736"/>
    </row>
    <row r="15" spans="1:10" ht="16.5">
      <c r="A15" s="1735" t="s">
        <v>1349</v>
      </c>
      <c r="B15" s="1742">
        <f>'数据-汇总表'!G20</f>
        <v>3150.28</v>
      </c>
      <c r="C15" s="1742">
        <f>'数据-汇总表'!D20</f>
        <v>628.92999999999995</v>
      </c>
      <c r="D15" s="1742">
        <f ca="1">'结果表（商业）'!G19</f>
        <v>4824</v>
      </c>
      <c r="E15" s="1737">
        <f t="shared" ref="E15:E23" ca="1" si="0">ROUND(D15*10000/B15,0)</f>
        <v>15313</v>
      </c>
      <c r="F15" s="1737">
        <f t="shared" ref="F15:F23" ca="1" si="1">ROUND(D15*10000/C15,0)</f>
        <v>76702</v>
      </c>
      <c r="G15" s="1743"/>
      <c r="H15" s="1743"/>
      <c r="I15" s="1742"/>
      <c r="J15" s="1736"/>
    </row>
    <row r="16" spans="1:10" ht="16.5">
      <c r="A16" s="1735" t="s">
        <v>1348</v>
      </c>
      <c r="B16" s="1742">
        <f>'数据-汇总表'!G21</f>
        <v>8479.4599999999919</v>
      </c>
      <c r="C16" s="1742">
        <f>'数据-汇总表'!D21</f>
        <v>1692.87</v>
      </c>
      <c r="D16" s="1742">
        <f ca="1">'结果表（地下车库）'!G19</f>
        <v>7124</v>
      </c>
      <c r="E16" s="1737">
        <f t="shared" ca="1" si="0"/>
        <v>8401</v>
      </c>
      <c r="F16" s="1737">
        <f t="shared" ca="1" si="1"/>
        <v>42082</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7" zoomScaleNormal="100" zoomScaleSheetLayoutView="100" zoomScalePageLayoutView="80" workbookViewId="0">
      <selection activeCell="G39" sqref="G39"/>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3504</v>
      </c>
      <c r="D1" s="2409"/>
      <c r="E1" s="2409"/>
      <c r="F1" s="2411" t="s">
        <v>2117</v>
      </c>
      <c r="G1" s="2063" t="s">
        <v>3574</v>
      </c>
      <c r="H1" s="2412" t="str">
        <f>IF(G1="现房","——","估价对象范围")</f>
        <v>——</v>
      </c>
      <c r="I1" s="2413"/>
    </row>
    <row r="2" spans="1:12" ht="21.75" customHeight="1" thickBot="1">
      <c r="A2" s="3203" t="str">
        <f>项目基本情况!S2</f>
        <v>北京市大兴区黄村镇房地产</v>
      </c>
      <c r="B2" s="3204"/>
      <c r="C2" s="3204"/>
      <c r="D2" s="3204"/>
      <c r="E2" s="3204"/>
      <c r="F2" s="3204"/>
      <c r="G2" s="3204"/>
      <c r="H2" s="3204"/>
      <c r="I2" s="3205"/>
    </row>
    <row r="3" spans="1:12" ht="12.75">
      <c r="A3" s="3206" t="s">
        <v>2118</v>
      </c>
      <c r="B3" s="3207"/>
      <c r="C3" s="3207"/>
      <c r="D3" s="3207"/>
      <c r="E3" s="3207"/>
      <c r="F3" s="3207"/>
      <c r="G3" s="3207"/>
      <c r="H3" s="3207"/>
      <c r="I3" s="3207"/>
    </row>
    <row r="4" spans="1:12" ht="14.25">
      <c r="A4" s="2416" t="s">
        <v>2119</v>
      </c>
      <c r="B4" s="2417" t="s">
        <v>2120</v>
      </c>
      <c r="C4" s="2418" t="s">
        <v>3563</v>
      </c>
      <c r="D4" s="2418" t="s">
        <v>3557</v>
      </c>
      <c r="E4" s="3187" t="s">
        <v>2121</v>
      </c>
      <c r="F4" s="3200"/>
      <c r="G4" s="3200"/>
      <c r="H4" s="3200"/>
      <c r="I4" s="3188"/>
      <c r="K4" s="2419" t="str">
        <f>IF(ISNUMBER(FIND("比较法",'结果表（办公）'!C4)),"比较法",IF(ISNUMBER(FIND("成本法",'结果表（办公）'!C4)),"成本法",IF(ISNUMBER(FIND("假设开发法",'结果表（办公）'!C4)),"假设开发法",IF(ISNUMBER(FIND("收益法",'结果表（办公）'!C4)),"收益法","基准地价系数修正法"))))</f>
        <v>成本法</v>
      </c>
      <c r="L4" s="241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78" t="s">
        <v>2122</v>
      </c>
      <c r="B5" s="3104">
        <v>25</v>
      </c>
      <c r="C5" s="3208"/>
      <c r="D5" s="3196"/>
      <c r="E5" s="139" t="s">
        <v>2123</v>
      </c>
      <c r="F5" s="2420"/>
      <c r="G5" s="2420"/>
      <c r="H5" s="2420"/>
      <c r="I5" s="1827"/>
    </row>
    <row r="6" spans="1:12" ht="12.75">
      <c r="A6" s="3178"/>
      <c r="B6" s="3104"/>
      <c r="C6" s="3210"/>
      <c r="D6" s="3196"/>
      <c r="E6" s="139" t="s">
        <v>2124</v>
      </c>
      <c r="F6" s="2420"/>
      <c r="G6" s="2420"/>
      <c r="H6" s="2420"/>
      <c r="I6" s="1827"/>
    </row>
    <row r="7" spans="1:12" ht="12.75">
      <c r="A7" s="3178"/>
      <c r="B7" s="3104"/>
      <c r="C7" s="3209"/>
      <c r="D7" s="3196"/>
      <c r="E7" s="139" t="s">
        <v>2125</v>
      </c>
      <c r="F7" s="2420"/>
      <c r="G7" s="2420"/>
      <c r="H7" s="2420"/>
      <c r="I7" s="1827"/>
    </row>
    <row r="8" spans="1:12" ht="12.75">
      <c r="A8" s="3178" t="s">
        <v>2126</v>
      </c>
      <c r="B8" s="3104">
        <v>15</v>
      </c>
      <c r="C8" s="3208"/>
      <c r="D8" s="3196"/>
      <c r="E8" s="139" t="s">
        <v>2127</v>
      </c>
      <c r="F8" s="2420"/>
      <c r="G8" s="2420"/>
      <c r="H8" s="2420"/>
      <c r="I8" s="1827"/>
    </row>
    <row r="9" spans="1:12" ht="12.75">
      <c r="A9" s="3178"/>
      <c r="B9" s="3104"/>
      <c r="C9" s="3209"/>
      <c r="D9" s="3196"/>
      <c r="E9" s="139" t="s">
        <v>2128</v>
      </c>
      <c r="F9" s="2420"/>
      <c r="G9" s="2420"/>
      <c r="H9" s="2420"/>
      <c r="I9" s="1827"/>
    </row>
    <row r="10" spans="1:12" ht="12.75">
      <c r="A10" s="3178" t="s">
        <v>2129</v>
      </c>
      <c r="B10" s="3104">
        <v>15</v>
      </c>
      <c r="C10" s="3208"/>
      <c r="D10" s="3196"/>
      <c r="E10" s="139" t="s">
        <v>2130</v>
      </c>
      <c r="F10" s="2420"/>
      <c r="G10" s="2420"/>
      <c r="H10" s="2420"/>
      <c r="I10" s="1827"/>
    </row>
    <row r="11" spans="1:12" ht="12.75">
      <c r="A11" s="3178"/>
      <c r="B11" s="3104"/>
      <c r="C11" s="3209"/>
      <c r="D11" s="3196"/>
      <c r="E11" s="139" t="s">
        <v>2131</v>
      </c>
      <c r="F11" s="2420"/>
      <c r="G11" s="2420"/>
      <c r="H11" s="2420"/>
      <c r="I11" s="1827"/>
    </row>
    <row r="12" spans="1:12" ht="12.75">
      <c r="A12" s="3178" t="s">
        <v>2132</v>
      </c>
      <c r="B12" s="3104">
        <v>15</v>
      </c>
      <c r="C12" s="3208"/>
      <c r="D12" s="3196"/>
      <c r="E12" s="139" t="s">
        <v>2133</v>
      </c>
      <c r="F12" s="2420"/>
      <c r="G12" s="2420"/>
      <c r="H12" s="2420"/>
      <c r="I12" s="1827"/>
    </row>
    <row r="13" spans="1:12" ht="12.75">
      <c r="A13" s="3178"/>
      <c r="B13" s="3104"/>
      <c r="C13" s="3209"/>
      <c r="D13" s="3196"/>
      <c r="E13" s="139" t="s">
        <v>2134</v>
      </c>
      <c r="F13" s="2420"/>
      <c r="G13" s="2420"/>
      <c r="H13" s="2420"/>
      <c r="I13" s="1827"/>
    </row>
    <row r="14" spans="1:12" ht="12.75">
      <c r="A14" s="3178" t="s">
        <v>2135</v>
      </c>
      <c r="B14" s="3104">
        <v>30</v>
      </c>
      <c r="C14" s="3208">
        <v>5</v>
      </c>
      <c r="D14" s="3196">
        <v>5</v>
      </c>
      <c r="E14" s="139" t="s">
        <v>2136</v>
      </c>
      <c r="F14" s="2420"/>
      <c r="G14" s="2420"/>
      <c r="H14" s="2420"/>
      <c r="I14" s="1827"/>
    </row>
    <row r="15" spans="1:12" ht="12.75">
      <c r="A15" s="3178"/>
      <c r="B15" s="3104"/>
      <c r="C15" s="3210"/>
      <c r="D15" s="3196"/>
      <c r="E15" s="139" t="s">
        <v>2137</v>
      </c>
      <c r="F15" s="2420"/>
      <c r="G15" s="2420"/>
      <c r="H15" s="2420"/>
      <c r="I15" s="1827"/>
    </row>
    <row r="16" spans="1:12" ht="12.75">
      <c r="A16" s="3178"/>
      <c r="B16" s="3104"/>
      <c r="C16" s="3209"/>
      <c r="D16" s="3196"/>
      <c r="E16" s="139" t="s">
        <v>2138</v>
      </c>
      <c r="F16" s="2420"/>
      <c r="G16" s="2420"/>
      <c r="H16" s="2420"/>
      <c r="I16" s="1827"/>
    </row>
    <row r="17" spans="1:35" ht="15">
      <c r="A17" s="2421" t="s">
        <v>2139</v>
      </c>
      <c r="B17" s="63"/>
      <c r="C17" s="140">
        <f>SUM(C5:C16)</f>
        <v>5</v>
      </c>
      <c r="D17" s="140">
        <f>SUM(D5:D16)</f>
        <v>5</v>
      </c>
      <c r="E17" s="137"/>
      <c r="F17" s="137"/>
      <c r="G17" s="137"/>
      <c r="H17" s="137"/>
      <c r="I17" s="137"/>
      <c r="K17" s="2419"/>
      <c r="L17" s="2422" t="s">
        <v>2140</v>
      </c>
      <c r="M17" s="2422" t="s">
        <v>2141</v>
      </c>
    </row>
    <row r="18" spans="1:35" ht="15.75" thickBot="1">
      <c r="A18" s="2423" t="s">
        <v>2142</v>
      </c>
      <c r="B18" s="2424"/>
      <c r="C18" s="141">
        <f>ROUND(C17/SUM(C17:D17),2)</f>
        <v>0.5</v>
      </c>
      <c r="D18" s="141">
        <f>1-C18</f>
        <v>0.5</v>
      </c>
      <c r="E18" s="137"/>
      <c r="F18" s="137"/>
      <c r="G18" s="137"/>
      <c r="H18" s="137"/>
      <c r="I18" s="137"/>
      <c r="K18" s="2419" t="s">
        <v>2143</v>
      </c>
      <c r="L18" s="2419">
        <f>IF(C1="",'数据-汇总表'!E3,SUMIF(项目类型,C1,'数据-汇总表'!E17:E26)+SUMIF(项目类型,C1,'数据-汇总表'!I17:I26))</f>
        <v>36555.58</v>
      </c>
      <c r="M18" s="2419">
        <f>IF(C1="",'数据-汇总表'!E3,SUMIF(项目类型,C1,'数据-汇总表'!E17:E26))</f>
        <v>36555.58</v>
      </c>
    </row>
    <row r="19" spans="1:35" ht="15">
      <c r="A19" s="2425" t="s">
        <v>2144</v>
      </c>
      <c r="B19" s="2426" t="s">
        <v>2145</v>
      </c>
      <c r="C19" s="142">
        <f ca="1">SUMIF(INDIRECT("'"&amp;C4&amp;"'"&amp;"!A:A"),'结果表（办公）'!B19,INDIRECT("'"&amp;C4&amp;"'"&amp;"!B:B"))</f>
        <v>158010</v>
      </c>
      <c r="D19" s="143">
        <f ca="1">SUMIF(INDIRECT("'"&amp;D4&amp;"'"&amp;"!A:A"),'结果表（办公）'!B19,INDIRECT("'"&amp;D4&amp;"'"&amp;"!B:B"))</f>
        <v>161167</v>
      </c>
      <c r="E19" s="2425" t="s">
        <v>2146</v>
      </c>
      <c r="F19" s="2426" t="s">
        <v>2145</v>
      </c>
      <c r="G19" s="144">
        <f ca="1">ROUND(C19*$C$18+D19*$D$18,0)</f>
        <v>159589</v>
      </c>
      <c r="H19" s="2427" t="s">
        <v>2147</v>
      </c>
      <c r="I19" s="137"/>
      <c r="K19" s="2419" t="s">
        <v>2148</v>
      </c>
      <c r="L19" s="2419">
        <f>IF(C1="",'数据-汇总表'!D3,SUMIF(项目类型,C1,'数据-汇总表'!D17:D26)+SUMIF(项目类型,C1,'数据-汇总表'!H17:H27))</f>
        <v>7298.09</v>
      </c>
      <c r="M19" s="2419">
        <f>IF(C1="",'数据-汇总表'!D3,SUMIF(项目类型,C1,'数据-汇总表'!D17:D26))</f>
        <v>7298.09</v>
      </c>
    </row>
    <row r="20" spans="1:35" ht="15">
      <c r="A20" s="2428"/>
      <c r="B20" s="1243" t="s">
        <v>2149</v>
      </c>
      <c r="C20" s="145">
        <f ca="1">SUMIF(INDIRECT("'"&amp;C4&amp;"'"&amp;"!A:A"),'结果表（办公）'!B20,INDIRECT("'"&amp;C4&amp;"'"&amp;"!B:B"))</f>
        <v>43225</v>
      </c>
      <c r="D20" s="146">
        <f ca="1">SUMIF(INDIRECT("'"&amp;D4&amp;"'"&amp;"!A:A"),'结果表（办公）'!B20,INDIRECT("'"&amp;D4&amp;"'"&amp;"!B:B"))</f>
        <v>44088</v>
      </c>
      <c r="E20" s="2428"/>
      <c r="F20" s="1243" t="s">
        <v>2149</v>
      </c>
      <c r="G20" s="147">
        <f ca="1">ROUND(C20*$C$18+D20*$D$18,0)</f>
        <v>43657</v>
      </c>
      <c r="H20" s="976" t="s">
        <v>2150</v>
      </c>
      <c r="I20" s="137"/>
    </row>
    <row r="21" spans="1:35" ht="15" customHeight="1" thickBot="1">
      <c r="A21" s="996"/>
      <c r="B21" s="2429" t="s">
        <v>2151</v>
      </c>
      <c r="C21" s="788">
        <f ca="1">ROUND(C19*10000/L19,0)</f>
        <v>216509</v>
      </c>
      <c r="D21" s="789">
        <f ca="1">ROUND(D19*10000/L19,0)</f>
        <v>220834</v>
      </c>
      <c r="E21" s="996"/>
      <c r="F21" s="2429" t="s">
        <v>2151</v>
      </c>
      <c r="G21" s="148">
        <f ca="1">ROUND(G19*10000/L19,0)</f>
        <v>218672</v>
      </c>
      <c r="H21" s="2430" t="s">
        <v>2150</v>
      </c>
      <c r="I21" s="137"/>
    </row>
    <row r="22" spans="1:35" ht="15" thickBot="1">
      <c r="A22" s="2273" t="s">
        <v>2152</v>
      </c>
      <c r="B22" s="2431"/>
      <c r="C22" s="2432"/>
      <c r="D22" s="790">
        <f ca="1">IF(C19&lt;D19,D19/C19-1,C19/D19-1)</f>
        <v>1.9979748117207707E-2</v>
      </c>
      <c r="E22" s="137"/>
      <c r="F22" s="137"/>
      <c r="G22" s="137"/>
      <c r="H22" s="137"/>
      <c r="I22" s="137"/>
    </row>
    <row r="23" spans="1:35" ht="13.5" thickBot="1">
      <c r="A23" s="2409"/>
      <c r="B23" s="2409"/>
      <c r="C23" s="2409"/>
      <c r="D23" s="2409"/>
      <c r="E23" s="137"/>
      <c r="F23" s="137"/>
      <c r="G23" s="137"/>
      <c r="H23" s="137"/>
      <c r="I23" s="137"/>
    </row>
    <row r="24" spans="1:35" ht="14.25">
      <c r="A24" s="3217" t="s">
        <v>2153</v>
      </c>
      <c r="B24" s="2426" t="s">
        <v>2145</v>
      </c>
      <c r="C24" s="144">
        <f>IF(B30=0,0,D30)</f>
        <v>0</v>
      </c>
      <c r="D24" s="2433"/>
      <c r="E24" s="137"/>
      <c r="F24" s="137"/>
      <c r="G24" s="137"/>
      <c r="H24" s="137"/>
      <c r="I24" s="137"/>
    </row>
    <row r="25" spans="1:35" ht="14.25">
      <c r="A25" s="3218"/>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159589</v>
      </c>
      <c r="D32" s="2440" t="s">
        <v>2160</v>
      </c>
      <c r="E32" s="137"/>
      <c r="F32" s="137"/>
      <c r="G32" s="137"/>
      <c r="H32" s="137"/>
      <c r="I32" s="137"/>
    </row>
    <row r="33" spans="1:15" ht="15">
      <c r="A33" s="953" t="s">
        <v>2161</v>
      </c>
      <c r="B33" s="2441"/>
      <c r="C33" s="2442" t="s">
        <v>3575</v>
      </c>
      <c r="D33" s="2443" t="s">
        <v>3563</v>
      </c>
      <c r="E33" s="2444" t="s">
        <v>2162</v>
      </c>
      <c r="F33" s="2445" t="str">
        <f>IF(D32="楼面单价","取值（单价）","取值（总价）")</f>
        <v>取值（总价）</v>
      </c>
      <c r="G33" s="137"/>
      <c r="H33" s="137"/>
      <c r="I33" s="137"/>
    </row>
    <row r="34" spans="1:15" ht="15">
      <c r="A34" s="2446"/>
      <c r="B34" s="2447" t="s">
        <v>2163</v>
      </c>
      <c r="C34" s="156">
        <f ca="1">IF(C33="自定义",F34,C32-C35)</f>
        <v>137247</v>
      </c>
      <c r="D34" s="1051">
        <f ca="1">IF(C33="自定义",ROUND(C34/C32,3),IF(C33="收益比率",SUMIF(INDIRECT("'"&amp;D33&amp;"'"&amp;"!b:b"),"土地收益比率",INDIRECT("'"&amp;D33&amp;"'"&amp;"!c:c")),SUMIF(INDIRECT("'"&amp;D33&amp;"'"&amp;"!b:b"),"土地成本比率",INDIRECT("'"&amp;D33&amp;"'"&amp;"!c:c"))))</f>
        <v>0.86</v>
      </c>
      <c r="E34" s="2448" t="s">
        <v>2164</v>
      </c>
      <c r="F34" s="1732"/>
      <c r="G34" s="137"/>
      <c r="H34" s="137"/>
      <c r="I34" s="137"/>
    </row>
    <row r="35" spans="1:15" ht="15.75" thickBot="1">
      <c r="A35" s="2449"/>
      <c r="B35" s="2450" t="s">
        <v>2165</v>
      </c>
      <c r="C35" s="1437">
        <f ca="1">IF(C33="自定义",F35,ROUND(C32*D35,0))</f>
        <v>22342</v>
      </c>
      <c r="D35" s="1438">
        <f ca="1">IF(C33="自定义",ROUND(C35/C32,3),IF(C33="收益比率",SUMIF(INDIRECT("'"&amp;D33&amp;"'"&amp;"!b:b"),"建筑物收益比率",INDIRECT("'"&amp;D33&amp;"'"&amp;"!c:c")),SUMIF(INDIRECT("'"&amp;D33&amp;"'"&amp;"!b:b"),"建筑物成本比率",INDIRECT("'"&amp;D33&amp;"'"&amp;"!c:c"))))</f>
        <v>0.14000000000000001</v>
      </c>
      <c r="E35" s="2451" t="s">
        <v>2166</v>
      </c>
      <c r="F35" s="162"/>
      <c r="G35" s="137"/>
      <c r="H35" s="137"/>
      <c r="I35" s="137"/>
    </row>
    <row r="36" spans="1:15" ht="15.75" thickBot="1">
      <c r="A36" s="3197" t="s">
        <v>2167</v>
      </c>
      <c r="B36" s="2452" t="s">
        <v>2168</v>
      </c>
      <c r="C36" s="153"/>
      <c r="D36" s="2453"/>
      <c r="E36" s="2454"/>
      <c r="F36" s="2455"/>
      <c r="G36" s="137"/>
      <c r="H36" s="137"/>
      <c r="I36" s="137"/>
    </row>
    <row r="37" spans="1:15" ht="15.75" thickBot="1">
      <c r="A37" s="3198"/>
      <c r="B37" s="2259" t="s">
        <v>2169</v>
      </c>
      <c r="C37" s="155"/>
      <c r="D37" s="1388"/>
      <c r="E37" s="1388"/>
      <c r="F37" s="2455"/>
      <c r="G37" s="137"/>
      <c r="H37" s="137"/>
      <c r="I37" s="137"/>
    </row>
    <row r="38" spans="1:15" ht="15.75" thickBot="1">
      <c r="A38" s="3199"/>
      <c r="B38" s="2456" t="s">
        <v>2170</v>
      </c>
      <c r="C38" s="726"/>
      <c r="D38" s="2457" t="s">
        <v>2171</v>
      </c>
      <c r="E38" s="1388"/>
      <c r="F38" s="2455"/>
      <c r="G38" s="137"/>
      <c r="H38" s="137"/>
      <c r="I38" s="137"/>
    </row>
    <row r="39" spans="1:15" ht="15">
      <c r="A39" s="2428" t="s">
        <v>2172</v>
      </c>
      <c r="B39" s="2458" t="s">
        <v>2173</v>
      </c>
      <c r="C39" s="2459" t="s">
        <v>2174</v>
      </c>
      <c r="D39" s="2459" t="s">
        <v>2175</v>
      </c>
      <c r="E39" s="2460" t="s">
        <v>2176</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14" t="s">
        <v>2181</v>
      </c>
      <c r="B45" s="3215"/>
      <c r="C45" s="3216"/>
      <c r="D45" s="163">
        <f ca="1">ROUND(H101*F45,0)</f>
        <v>159589</v>
      </c>
      <c r="E45" s="164" t="s">
        <v>2182</v>
      </c>
      <c r="F45" s="165">
        <v>1</v>
      </c>
      <c r="G45" s="166" t="s">
        <v>2183</v>
      </c>
      <c r="H45" s="137"/>
      <c r="I45" s="137"/>
      <c r="J45" s="3133" t="s">
        <v>2184</v>
      </c>
      <c r="K45" s="3133"/>
      <c r="L45" s="3133"/>
      <c r="M45" s="3133"/>
      <c r="N45" s="3133"/>
      <c r="O45" s="3133"/>
    </row>
    <row r="46" spans="1:15" ht="14.25" customHeight="1">
      <c r="A46" s="3211" t="s">
        <v>2185</v>
      </c>
      <c r="B46" s="3212"/>
      <c r="C46" s="3212"/>
      <c r="D46" s="3212"/>
      <c r="E46" s="3212"/>
      <c r="F46" s="3212"/>
      <c r="G46" s="3213"/>
      <c r="H46" s="2471"/>
      <c r="I46" s="167"/>
      <c r="J46" s="1805">
        <v>1</v>
      </c>
      <c r="K46" s="3133" t="s">
        <v>2186</v>
      </c>
      <c r="L46" s="3133"/>
      <c r="M46" s="3134"/>
      <c r="N46" s="3134"/>
      <c r="O46" s="3134"/>
    </row>
    <row r="47" spans="1:15" ht="12" customHeight="1">
      <c r="A47" s="168" t="s">
        <v>2187</v>
      </c>
      <c r="B47" s="169"/>
      <c r="C47" s="170"/>
      <c r="D47" s="171" t="s">
        <v>2188</v>
      </c>
      <c r="E47" s="23" t="s">
        <v>2189</v>
      </c>
      <c r="F47" s="172" t="s">
        <v>2190</v>
      </c>
      <c r="G47" s="173" t="s">
        <v>2191</v>
      </c>
      <c r="H47" s="2471"/>
      <c r="I47" s="167"/>
      <c r="J47" s="1805">
        <v>2</v>
      </c>
      <c r="K47" s="3133" t="s">
        <v>2192</v>
      </c>
      <c r="L47" s="3133"/>
      <c r="M47" s="3135">
        <f>'数据-取费表'!B2</f>
        <v>43182</v>
      </c>
      <c r="N47" s="3135"/>
      <c r="O47" s="3135"/>
    </row>
    <row r="48" spans="1:15" ht="25.5">
      <c r="A48" s="3201" t="s">
        <v>2193</v>
      </c>
      <c r="B48" s="3202"/>
      <c r="C48" s="3202"/>
      <c r="D48" s="139">
        <f>IF(H48="情况1",0,IF(H48="情况2",D52,IF(H48="情况3",D53,IF(H48="情况4",D54))))</f>
        <v>0</v>
      </c>
      <c r="E48" s="1794" t="str">
        <f>IF(H48="情况4","(销售额-原购置价)×税（费）率","销售额×税（费）率")</f>
        <v>销售额×税（费）率</v>
      </c>
      <c r="F48" s="174" t="str">
        <f>IF(H48="情况1","免征",'数据-取费表'!B41)</f>
        <v>免征</v>
      </c>
      <c r="G48" s="2472" t="s">
        <v>2194</v>
      </c>
      <c r="H48" s="2473" t="s">
        <v>2195</v>
      </c>
      <c r="I48" s="2471"/>
      <c r="J48" s="1805">
        <v>3</v>
      </c>
      <c r="K48" s="3133" t="s">
        <v>2196</v>
      </c>
      <c r="L48" s="3133"/>
      <c r="M48" s="3136">
        <f ca="1">H101</f>
        <v>159589</v>
      </c>
      <c r="N48" s="3136"/>
      <c r="O48" s="3136"/>
    </row>
    <row r="49" spans="1:35" ht="25.5" customHeight="1">
      <c r="A49" s="175" t="s">
        <v>2197</v>
      </c>
      <c r="B49" s="3181" t="s">
        <v>2198</v>
      </c>
      <c r="C49" s="3181"/>
      <c r="D49" s="176">
        <v>0</v>
      </c>
      <c r="E49" s="22" t="s">
        <v>2199</v>
      </c>
      <c r="F49" s="27" t="s">
        <v>34</v>
      </c>
      <c r="G49" s="3162"/>
      <c r="H49" s="137"/>
      <c r="I49" s="2474"/>
      <c r="J49" s="1805">
        <v>4</v>
      </c>
      <c r="K49" s="3133" t="str">
        <f>IF(项目基本情况!E8="房地产抵押价值","房地产抵押价值","抵押担保权已注销时的房地产抵押价值")</f>
        <v>抵押担保权已注销时的房地产抵押价值</v>
      </c>
      <c r="L49" s="3133"/>
      <c r="M49" s="3136">
        <f ca="1">IF(项目基本情况!E8="房地产抵押价值",H107,H109)</f>
        <v>159589</v>
      </c>
      <c r="N49" s="3136"/>
      <c r="O49" s="3136"/>
    </row>
    <row r="50" spans="1:35" ht="25.5" customHeight="1">
      <c r="A50" s="177"/>
      <c r="B50" s="3181" t="s">
        <v>2200</v>
      </c>
      <c r="C50" s="3181"/>
      <c r="D50" s="178"/>
      <c r="E50" s="30"/>
      <c r="F50" s="179"/>
      <c r="G50" s="3163"/>
      <c r="H50" s="137"/>
      <c r="I50" s="2474"/>
      <c r="J50" s="3133" t="s">
        <v>2201</v>
      </c>
      <c r="K50" s="3133"/>
      <c r="L50" s="3133"/>
      <c r="M50" s="3133"/>
      <c r="N50" s="3133"/>
      <c r="O50" s="3133"/>
    </row>
    <row r="51" spans="1:35" ht="12" customHeight="1">
      <c r="A51" s="180"/>
      <c r="B51" s="3181" t="s">
        <v>2202</v>
      </c>
      <c r="C51" s="3181"/>
      <c r="D51" s="181"/>
      <c r="E51" s="29"/>
      <c r="F51" s="179"/>
      <c r="G51" s="3164"/>
      <c r="H51" s="137"/>
      <c r="I51" s="2474"/>
      <c r="J51" s="2475" t="s">
        <v>2203</v>
      </c>
      <c r="K51" s="3133" t="s">
        <v>2204</v>
      </c>
      <c r="L51" s="3133"/>
      <c r="M51" s="2475" t="s">
        <v>2205</v>
      </c>
      <c r="N51" s="2475" t="s">
        <v>2206</v>
      </c>
      <c r="O51" s="2475" t="s">
        <v>2207</v>
      </c>
    </row>
    <row r="52" spans="1:35" ht="24" customHeight="1">
      <c r="A52" s="182" t="s">
        <v>2208</v>
      </c>
      <c r="B52" s="3181" t="s">
        <v>2209</v>
      </c>
      <c r="C52" s="3181"/>
      <c r="D52" s="181">
        <f ca="1">ROUND(D45*'数据-取费表'!B41/(1+'数据-取费表'!C42),0)</f>
        <v>8359</v>
      </c>
      <c r="E52" s="11" t="s">
        <v>2210</v>
      </c>
      <c r="F52" s="183">
        <f>'数据-取费表'!B41</f>
        <v>5.5000000000000007E-2</v>
      </c>
      <c r="G52" s="2476"/>
      <c r="H52" s="137"/>
      <c r="I52" s="2474"/>
      <c r="J52" s="1805">
        <v>1</v>
      </c>
      <c r="K52" s="3156" t="s">
        <v>2211</v>
      </c>
      <c r="L52" s="3156"/>
      <c r="M52" s="1747">
        <f>D48</f>
        <v>0</v>
      </c>
      <c r="N52" s="1805" t="str">
        <f>E48</f>
        <v>销售额×税（费）率</v>
      </c>
      <c r="O52" s="1748" t="str">
        <f>F48</f>
        <v>免征</v>
      </c>
    </row>
    <row r="53" spans="1:35" ht="12" customHeight="1">
      <c r="A53" s="182" t="s">
        <v>2212</v>
      </c>
      <c r="B53" s="3182" t="s">
        <v>2213</v>
      </c>
      <c r="C53" s="3183"/>
      <c r="D53" s="181">
        <f ca="1">ROUND(D45*'数据-取费表'!B41/(1+'数据-取费表'!C42),0)</f>
        <v>8359</v>
      </c>
      <c r="E53" s="11" t="s">
        <v>2210</v>
      </c>
      <c r="F53" s="183">
        <f>'数据-取费表'!B41</f>
        <v>5.5000000000000007E-2</v>
      </c>
      <c r="G53" s="2476"/>
      <c r="H53" s="137"/>
      <c r="I53" s="2474"/>
      <c r="J53" s="1805">
        <v>2</v>
      </c>
      <c r="K53" s="3156" t="s">
        <v>2214</v>
      </c>
      <c r="L53" s="3156"/>
      <c r="M53" s="1747">
        <f t="shared" ref="M53:O54" ca="1" si="0">D55</f>
        <v>80</v>
      </c>
      <c r="N53" s="1805" t="str">
        <f t="shared" si="0"/>
        <v>销售额×税（费）率</v>
      </c>
      <c r="O53" s="1748">
        <f t="shared" si="0"/>
        <v>5.0000000000000001E-4</v>
      </c>
    </row>
    <row r="54" spans="1:35" ht="12" customHeight="1">
      <c r="A54" s="182" t="s">
        <v>2215</v>
      </c>
      <c r="B54" s="3182" t="s">
        <v>2216</v>
      </c>
      <c r="C54" s="3183"/>
      <c r="D54" s="181">
        <f ca="1">C68</f>
        <v>8359</v>
      </c>
      <c r="E54" s="29" t="s">
        <v>2217</v>
      </c>
      <c r="F54" s="183">
        <f>'数据-取费表'!B41</f>
        <v>5.5000000000000007E-2</v>
      </c>
      <c r="G54" s="2476"/>
      <c r="H54" s="2477"/>
      <c r="I54" s="2474"/>
      <c r="J54" s="1805">
        <v>3</v>
      </c>
      <c r="K54" s="3156" t="s">
        <v>2218</v>
      </c>
      <c r="L54" s="3156"/>
      <c r="M54" s="1747">
        <f t="shared" ca="1" si="0"/>
        <v>90472</v>
      </c>
      <c r="N54" s="1805" t="str">
        <f t="shared" si="0"/>
        <v>增值额×税（费）率</v>
      </c>
      <c r="O54" s="1749" t="str">
        <f t="shared" si="0"/>
        <v>——</v>
      </c>
    </row>
    <row r="55" spans="1:35" ht="24" customHeight="1">
      <c r="A55" s="3220" t="s">
        <v>2219</v>
      </c>
      <c r="B55" s="3202"/>
      <c r="C55" s="3202"/>
      <c r="D55" s="184">
        <f ca="1">IF(H55="个人住宅",0,ROUND(D45*I55,0))</f>
        <v>80</v>
      </c>
      <c r="E55" s="11" t="s">
        <v>2220</v>
      </c>
      <c r="F55" s="183">
        <f>IF(H55="正常",I55,"免征")</f>
        <v>5.0000000000000001E-4</v>
      </c>
      <c r="G55" s="2476"/>
      <c r="H55" s="2473" t="s">
        <v>2221</v>
      </c>
      <c r="I55" s="185">
        <f>'数据-取费表'!B49</f>
        <v>5.0000000000000001E-4</v>
      </c>
      <c r="J55" s="1805" t="str">
        <f>IF(H59="非个人房产","",4)</f>
        <v/>
      </c>
      <c r="K55" s="3156" t="str">
        <f>IF(H59="非个人房产","——","个人所得税")</f>
        <v>——</v>
      </c>
      <c r="L55" s="3156"/>
      <c r="M55" s="1750" t="str">
        <f>D59</f>
        <v>——</v>
      </c>
      <c r="N55" s="1803" t="str">
        <f>E59</f>
        <v>——</v>
      </c>
      <c r="O55" s="1751" t="str">
        <f>F59</f>
        <v>——</v>
      </c>
    </row>
    <row r="56" spans="1:35" ht="24.75">
      <c r="A56" s="3220" t="s">
        <v>2222</v>
      </c>
      <c r="B56" s="3202"/>
      <c r="C56" s="3202"/>
      <c r="D56" s="184">
        <f ca="1">IF(H56="个人住宅",D57,D58)</f>
        <v>90472</v>
      </c>
      <c r="E56" s="11" t="s">
        <v>2223</v>
      </c>
      <c r="F56" s="183" t="str">
        <f>IF(H56="正常",F58,"免征")</f>
        <v>——</v>
      </c>
      <c r="G56" s="2478" t="s">
        <v>2224</v>
      </c>
      <c r="H56" s="2479" t="s">
        <v>2221</v>
      </c>
      <c r="I56" s="2480"/>
      <c r="J56" s="1805" t="str">
        <f>IF(项目基本情况!K6="上海银行",IF(J55="",4,J55+1),"")</f>
        <v/>
      </c>
      <c r="K56" s="3139" t="str">
        <f>IF(项目基本情况!K6="上海银行","其他处置费用","")</f>
        <v/>
      </c>
      <c r="L56" s="3140"/>
      <c r="M56" s="1747" t="str">
        <f>IF(项目基本情况!K6="上海银行",M69,"")</f>
        <v/>
      </c>
      <c r="N56" s="3142" t="str">
        <f>IF(项目基本情况!K6="上海银行","包含处置中涉及的律师、诉讼、拍卖、评估等费用","")</f>
        <v/>
      </c>
      <c r="O56" s="3143"/>
    </row>
    <row r="57" spans="1:35" ht="12.75">
      <c r="A57" s="182" t="s">
        <v>2197</v>
      </c>
      <c r="B57" s="3187" t="s">
        <v>2225</v>
      </c>
      <c r="C57" s="3188"/>
      <c r="D57" s="186">
        <v>0</v>
      </c>
      <c r="E57" s="22" t="s">
        <v>2199</v>
      </c>
      <c r="F57" s="154"/>
      <c r="G57" s="2476"/>
      <c r="H57" s="2480"/>
      <c r="I57" s="2480"/>
      <c r="J57" s="3156">
        <f>IF(AND(J55="",J56=""),4,IF(项目基本情况!K6="上海银行",'结果表（办公）'!J56+1,'结果表（办公）'!J55+1))</f>
        <v>4</v>
      </c>
      <c r="K57" s="3156" t="s">
        <v>2226</v>
      </c>
      <c r="L57" s="2481" t="s">
        <v>2227</v>
      </c>
      <c r="M57" s="1752"/>
      <c r="N57" s="1753">
        <f ca="1">SUMIF(M52:M56,"&lt;9e307")</f>
        <v>90552</v>
      </c>
      <c r="O57" s="2482"/>
      <c r="P57" s="1746">
        <f ca="1">N57/M49</f>
        <v>0.5674075280877755</v>
      </c>
    </row>
    <row r="58" spans="1:35" ht="24.75">
      <c r="A58" s="182" t="s">
        <v>2208</v>
      </c>
      <c r="B58" s="3187" t="s">
        <v>2228</v>
      </c>
      <c r="C58" s="3200"/>
      <c r="D58" s="184">
        <f ca="1">IF(H58="转让取得",C81,C97)</f>
        <v>90472</v>
      </c>
      <c r="E58" s="11" t="s">
        <v>2223</v>
      </c>
      <c r="F58" s="23" t="s">
        <v>34</v>
      </c>
      <c r="G58" s="2476"/>
      <c r="H58" s="2479" t="s">
        <v>2229</v>
      </c>
      <c r="I58" s="2480"/>
      <c r="J58" s="3156"/>
      <c r="K58" s="3156"/>
      <c r="L58" s="2481" t="s">
        <v>2230</v>
      </c>
      <c r="M58" s="1754"/>
      <c r="N58" s="2483" t="str">
        <f ca="1">NUMBERSTRING(INT(N57*10000),2)&amp;"元整"</f>
        <v>玖亿零伍佰伍拾贰万元整</v>
      </c>
      <c r="O58" s="2484"/>
    </row>
    <row r="59" spans="1:35" ht="24.75" thickBot="1">
      <c r="A59" s="3160" t="s">
        <v>2231</v>
      </c>
      <c r="B59" s="3161"/>
      <c r="C59" s="3161"/>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58">
        <f>J57+1</f>
        <v>5</v>
      </c>
      <c r="K59" s="3156" t="s">
        <v>2233</v>
      </c>
      <c r="L59" s="1805" t="s">
        <v>2227</v>
      </c>
      <c r="M59" s="1755"/>
      <c r="N59" s="1756">
        <f ca="1">M49-N57</f>
        <v>69037</v>
      </c>
      <c r="O59" s="2486"/>
    </row>
    <row r="60" spans="1:35" ht="12" customHeight="1">
      <c r="A60" s="2487"/>
      <c r="B60" s="2409"/>
      <c r="C60" s="2409"/>
      <c r="D60" s="2409"/>
      <c r="E60" s="2159"/>
      <c r="F60" s="2480"/>
      <c r="G60" s="2480"/>
      <c r="H60" s="2488"/>
      <c r="I60" s="137"/>
      <c r="J60" s="3159"/>
      <c r="K60" s="3156"/>
      <c r="L60" s="2481" t="s">
        <v>2230</v>
      </c>
      <c r="M60" s="1754"/>
      <c r="N60" s="2483" t="str">
        <f ca="1">NUMBERSTRING(INT(N59*10000),2)&amp;"元整"</f>
        <v>陆亿玖仟零叁拾柒万元整</v>
      </c>
      <c r="O60" s="2484"/>
    </row>
    <row r="61" spans="1:35" ht="13.5" thickBot="1">
      <c r="A61" s="3219" t="s">
        <v>2234</v>
      </c>
      <c r="B61" s="3219"/>
      <c r="C61" s="3219"/>
      <c r="D61" s="3219"/>
      <c r="E61" s="3219"/>
      <c r="F61" s="2480"/>
      <c r="G61" s="2480"/>
      <c r="H61" s="2488"/>
      <c r="I61" s="137"/>
      <c r="J61" s="1805">
        <f>J59+1</f>
        <v>6</v>
      </c>
      <c r="K61" s="3156" t="s">
        <v>2235</v>
      </c>
      <c r="L61" s="3156"/>
      <c r="M61" s="1757"/>
      <c r="N61" s="1758">
        <f ca="1">ROUND(N59*10000/'数据-汇总表'!E3,0)</f>
        <v>14327</v>
      </c>
      <c r="O61" s="2489"/>
    </row>
    <row r="62" spans="1:35" ht="12.75">
      <c r="A62" s="3176" t="s">
        <v>2236</v>
      </c>
      <c r="B62" s="3177"/>
      <c r="C62" s="1797"/>
      <c r="D62" s="1797" t="s">
        <v>2237</v>
      </c>
      <c r="E62" s="191" t="s">
        <v>2238</v>
      </c>
      <c r="F62" s="2480"/>
      <c r="G62" s="2480"/>
      <c r="H62" s="2488"/>
      <c r="I62" s="137"/>
    </row>
    <row r="63" spans="1:35" ht="12.75">
      <c r="A63" s="202" t="s">
        <v>775</v>
      </c>
      <c r="B63" s="192" t="s">
        <v>2239</v>
      </c>
      <c r="C63" s="193">
        <f ca="1">ROUND((C64+C65)/(1+'数据-取费表'!C42),0)</f>
        <v>151990</v>
      </c>
      <c r="D63" s="194"/>
      <c r="E63" s="195"/>
      <c r="F63" s="2480"/>
      <c r="G63" s="2480"/>
      <c r="H63" s="2488"/>
      <c r="I63" s="137"/>
      <c r="J63" s="3141" t="s">
        <v>2240</v>
      </c>
      <c r="K63" s="2490" t="s">
        <v>2241</v>
      </c>
      <c r="L63" s="1745">
        <f ca="1">IF(M49&gt;10000,M49*0.5%,IF(AND(M49&gt;1000,M49&lt;=10000),M49*1%,IF(AND(M49&gt;100,M49&lt;=1000),M49*3%,IF(AND(M49&gt;10,M49&lt;=100),M49*5%,M49*8%))))</f>
        <v>797.94500000000005</v>
      </c>
      <c r="M63" s="23">
        <f ca="1">ROUND(L63,1)</f>
        <v>797.9</v>
      </c>
      <c r="Z63" s="2414"/>
      <c r="AI63" s="2415"/>
    </row>
    <row r="64" spans="1:35" ht="14.25" customHeight="1">
      <c r="A64" s="196" t="s">
        <v>770</v>
      </c>
      <c r="B64" s="197" t="s">
        <v>2242</v>
      </c>
      <c r="C64" s="198">
        <f ca="1">D45</f>
        <v>159589</v>
      </c>
      <c r="D64" s="199" t="s">
        <v>32</v>
      </c>
      <c r="E64" s="200"/>
      <c r="F64" s="2480"/>
      <c r="G64" s="2480"/>
      <c r="H64" s="2488"/>
      <c r="I64" s="137"/>
      <c r="J64" s="3141"/>
      <c r="K64" s="2490" t="s">
        <v>2243</v>
      </c>
      <c r="L64" s="1745">
        <f ca="1">IF(M49&gt;2000,M49*0.5%,IF(AND(M49&gt;1000,M49&lt;=2000),M49*0.6%,IF(AND(M49&gt;500,M49&lt;=1000),M49*0.7%,IF(AND(M49&gt;200,M49&lt;=500),M49*0.8%,IF(AND(M49&gt;100,M49&lt;=200),M49*0.9%,IF(AND(M49&gt;50,M49&lt;=100),M49*1%,IF(AND(M49&gt;20,M49&lt;=50),M49*1.5%,IF(AND(M49&gt;10,M49&lt;=20),M49*2%,IF(AND(M49&gt;1,M49&lt;=10),M49*2.5%)))))))))</f>
        <v>797.94500000000005</v>
      </c>
      <c r="M64" s="23">
        <f t="shared" ref="M64:M65" ca="1" si="1">ROUND(L64,1)</f>
        <v>797.9</v>
      </c>
      <c r="N64" s="137" t="s">
        <v>2244</v>
      </c>
      <c r="Z64" s="2414"/>
      <c r="AI64" s="2415"/>
    </row>
    <row r="65" spans="1:35" ht="14.25" customHeight="1">
      <c r="A65" s="196" t="s">
        <v>771</v>
      </c>
      <c r="B65" s="197" t="s">
        <v>2245</v>
      </c>
      <c r="C65" s="201"/>
      <c r="D65" s="199"/>
      <c r="E65" s="200"/>
      <c r="F65" s="2480"/>
      <c r="G65" s="2480"/>
      <c r="H65" s="2488"/>
      <c r="I65" s="137"/>
      <c r="J65" s="3141"/>
      <c r="K65" s="2490" t="s">
        <v>2246</v>
      </c>
      <c r="L65" s="1745">
        <f ca="1">IF(M49&gt;1000,M49*0.1%,IF(AND(M49&gt;500,M49&lt;=1000),M49*0.5%,IF(AND(M49&gt;50,M49&lt;=500),M49*1%,IF(AND(M49&gt;1,M49&lt;=50),M49*1.5%))))</f>
        <v>159.589</v>
      </c>
      <c r="M65" s="23">
        <f t="shared" ca="1" si="1"/>
        <v>159.6</v>
      </c>
      <c r="N65" s="137" t="s">
        <v>2244</v>
      </c>
      <c r="Z65" s="2414"/>
      <c r="AI65" s="2415"/>
    </row>
    <row r="66" spans="1:35" ht="14.25" customHeight="1">
      <c r="A66" s="202" t="s">
        <v>772</v>
      </c>
      <c r="B66" s="203" t="s">
        <v>2247</v>
      </c>
      <c r="C66" s="204"/>
      <c r="D66" s="205" t="s">
        <v>32</v>
      </c>
      <c r="E66" s="1769" t="s">
        <v>1371</v>
      </c>
      <c r="F66" s="2480"/>
      <c r="G66" s="2480"/>
      <c r="H66" s="2488"/>
      <c r="I66" s="137"/>
      <c r="J66" s="3141"/>
      <c r="K66" s="2490" t="s">
        <v>2248</v>
      </c>
      <c r="L66" s="1745">
        <f ca="1">M49*0.5%</f>
        <v>797.94500000000005</v>
      </c>
      <c r="M66" s="23">
        <f ca="1">IF(L66&gt;0.5,0.5,ROUND(L66,0))</f>
        <v>0.5</v>
      </c>
      <c r="N66" s="137" t="s">
        <v>2249</v>
      </c>
      <c r="Z66" s="2414"/>
      <c r="AI66" s="2415"/>
    </row>
    <row r="67" spans="1:35" ht="14.25" customHeight="1">
      <c r="A67" s="202" t="s">
        <v>773</v>
      </c>
      <c r="B67" s="203" t="s">
        <v>2250</v>
      </c>
      <c r="C67" s="206">
        <f ca="1">C63-C66</f>
        <v>151990</v>
      </c>
      <c r="D67" s="199" t="s">
        <v>32</v>
      </c>
      <c r="E67" s="200"/>
      <c r="F67" s="2480"/>
      <c r="G67" s="2480"/>
      <c r="H67" s="2488"/>
      <c r="I67" s="137"/>
      <c r="J67" s="3141"/>
      <c r="K67" s="2490" t="s">
        <v>2251</v>
      </c>
      <c r="L67" s="1745">
        <f ca="1">IF(M49&gt;=10000,(8.25+(M49-10000)*0.01%),IF(AND(M49&gt;=8000,M49&lt;10000),(7.85+(M49-8000)*0.02%),IF(AND(M49&gt;=5000,M49&lt;8000),(6.65+(M49-5000)*0.04%),IF(AND(M49&gt;=2000,M49&lt;5000),(4.25+(PM49-2000)*0.08%),IF(AND(M49&gt;=1000,M49&lt;2000),(2.75+(M49-1000)*0.15%),IF(AND(M49&gt;=100,M49&lt;1000),(0.5+(M49-100)*0.25%),IF(AND(M49&gt;0,M49&lt;100),M49*0.5%)))))))</f>
        <v>23.2089</v>
      </c>
      <c r="M67" s="23">
        <f ca="1">ROUND(L67*0.9,1)</f>
        <v>20.9</v>
      </c>
      <c r="Z67" s="2414"/>
      <c r="AI67" s="2415"/>
    </row>
    <row r="68" spans="1:35" ht="14.25" customHeight="1" thickBot="1">
      <c r="A68" s="207" t="s">
        <v>774</v>
      </c>
      <c r="B68" s="208" t="s">
        <v>2252</v>
      </c>
      <c r="C68" s="209">
        <f ca="1">IF(C67&lt;=0,0,ROUND(C67*D68,0))</f>
        <v>8359</v>
      </c>
      <c r="D68" s="210">
        <f>'数据-取费表'!B41</f>
        <v>5.5000000000000007E-2</v>
      </c>
      <c r="E68" s="211"/>
      <c r="F68" s="2480"/>
      <c r="G68" s="2480"/>
      <c r="H68" s="2488"/>
      <c r="I68" s="137"/>
      <c r="J68" s="3141"/>
      <c r="K68" s="2490" t="s">
        <v>2253</v>
      </c>
      <c r="L68" s="1745">
        <f ca="1">IF(M49&gt;10000,M49*0.5%,IF(AND(M49&gt;5000,M49&lt;=10000),M49*1%,IF(AND(M49&gt;1000,M49&lt;=5000),M49*2%,IF(AND(M49&gt;200,M49&lt;=1000),M49*3%,M49*5%))))</f>
        <v>797.94500000000005</v>
      </c>
      <c r="M68" s="23">
        <f ca="1">ROUND(L68,1)</f>
        <v>797.9</v>
      </c>
      <c r="Z68" s="2414"/>
      <c r="AI68" s="2415"/>
    </row>
    <row r="69" spans="1:35" s="2437" customFormat="1" ht="16.5" customHeight="1">
      <c r="A69" s="2491"/>
      <c r="B69" s="2492"/>
      <c r="C69" s="2493"/>
      <c r="D69" s="2494"/>
      <c r="E69" s="2495"/>
      <c r="F69" s="2159"/>
      <c r="G69" s="2159"/>
      <c r="H69" s="2158"/>
      <c r="I69" s="2409"/>
      <c r="J69" s="3141"/>
      <c r="K69" s="2490" t="s">
        <v>2254</v>
      </c>
      <c r="L69" s="2496"/>
      <c r="M69" s="23">
        <f ca="1">ROUND(SUM(M63:M68),0)</f>
        <v>2575</v>
      </c>
      <c r="N69" s="1746">
        <f ca="1">M69/M49</f>
        <v>1.6135197288033636E-2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185" t="s">
        <v>2255</v>
      </c>
      <c r="B70" s="3186"/>
      <c r="C70" s="3186"/>
      <c r="D70" s="3186"/>
      <c r="E70" s="3186"/>
      <c r="F70" s="3186"/>
      <c r="G70" s="3186"/>
      <c r="H70" s="3186"/>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76" t="s">
        <v>2236</v>
      </c>
      <c r="B71" s="3177"/>
      <c r="C71" s="1797"/>
      <c r="D71" s="179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151990</v>
      </c>
      <c r="D72" s="199" t="s">
        <v>32</v>
      </c>
      <c r="E72" s="1796"/>
      <c r="F72" s="1790"/>
      <c r="G72" s="1790"/>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760</v>
      </c>
      <c r="D73" s="199" t="s">
        <v>32</v>
      </c>
      <c r="E73" s="1796"/>
      <c r="F73" s="1790"/>
      <c r="G73" s="1790"/>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1796"/>
      <c r="F74" s="1790"/>
      <c r="G74" s="1790"/>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82" t="s">
        <v>2264</v>
      </c>
      <c r="F76" s="3181"/>
      <c r="G76" s="3181"/>
      <c r="H76" s="3184"/>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14" t="s">
        <v>2266</v>
      </c>
      <c r="F77" s="223"/>
      <c r="G77" s="2504" t="s">
        <v>2267</v>
      </c>
      <c r="H77" s="1801"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760</v>
      </c>
      <c r="D78" s="225">
        <f>'数据-取费表'!B43</f>
        <v>5.000000000000001E-3</v>
      </c>
      <c r="E78" s="3173" t="s">
        <v>2269</v>
      </c>
      <c r="F78" s="3174"/>
      <c r="G78" s="3174"/>
      <c r="H78" s="3175"/>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3" t="s">
        <v>2270</v>
      </c>
      <c r="C79" s="206">
        <f ca="1">C72-C73</f>
        <v>151230</v>
      </c>
      <c r="D79" s="199" t="s">
        <v>32</v>
      </c>
      <c r="E79" s="1796"/>
      <c r="F79" s="1790"/>
      <c r="G79" s="1790"/>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198.98684210526315</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90472</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85" t="s">
        <v>2273</v>
      </c>
      <c r="B83" s="3186"/>
      <c r="C83" s="3186"/>
      <c r="D83" s="3186"/>
      <c r="E83" s="3186"/>
      <c r="F83" s="3186"/>
      <c r="G83" s="3186"/>
      <c r="H83" s="3186"/>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76" t="s">
        <v>2236</v>
      </c>
      <c r="B84" s="3177"/>
      <c r="C84" s="1797"/>
      <c r="D84" s="179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151990</v>
      </c>
      <c r="D85" s="199" t="s">
        <v>32</v>
      </c>
      <c r="E85" s="1796"/>
      <c r="F85" s="1790"/>
      <c r="G85" s="1790"/>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760</v>
      </c>
      <c r="D86" s="234"/>
      <c r="E86" s="1796"/>
      <c r="F86" s="1790"/>
      <c r="G86" s="1790"/>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1792"/>
      <c r="F87" s="1793"/>
      <c r="G87" s="1793"/>
      <c r="H87" s="179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179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1793"/>
      <c r="G89" s="1793"/>
      <c r="H89" s="179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1793"/>
      <c r="G90" s="1793"/>
      <c r="H90" s="179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73" t="s">
        <v>2282</v>
      </c>
      <c r="F91" s="3174"/>
      <c r="G91" s="3174"/>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73" t="s">
        <v>2286</v>
      </c>
      <c r="F92" s="3174"/>
      <c r="G92" s="3174"/>
      <c r="H92" s="3175"/>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760</v>
      </c>
      <c r="D93" s="225">
        <f>'数据-取费表'!B43</f>
        <v>5.000000000000001E-3</v>
      </c>
      <c r="E93" s="3173" t="s">
        <v>2269</v>
      </c>
      <c r="F93" s="3174"/>
      <c r="G93" s="3174"/>
      <c r="H93" s="3175"/>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21" t="s">
        <v>2290</v>
      </c>
      <c r="F94" s="3222"/>
      <c r="G94" s="3222"/>
      <c r="H94" s="3223"/>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3" t="s">
        <v>2270</v>
      </c>
      <c r="C95" s="206">
        <f ca="1">ROUND(C85-C86,0)</f>
        <v>151230</v>
      </c>
      <c r="D95" s="199" t="s">
        <v>32</v>
      </c>
      <c r="E95" s="1796"/>
      <c r="F95" s="1790"/>
      <c r="G95" s="1790"/>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198.98684210526315</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90472</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25" t="s">
        <v>2292</v>
      </c>
      <c r="B100" s="3126"/>
      <c r="C100" s="3126"/>
      <c r="D100" s="3157"/>
      <c r="E100" s="3126" t="s">
        <v>2293</v>
      </c>
      <c r="F100" s="3126"/>
      <c r="G100" s="3126"/>
      <c r="H100" s="3157"/>
      <c r="I100" s="137"/>
    </row>
    <row r="101" spans="1:35" ht="18.75" customHeight="1">
      <c r="A101" s="3165" t="s">
        <v>2294</v>
      </c>
      <c r="B101" s="3166"/>
      <c r="C101" s="735" t="str">
        <f>C4</f>
        <v>成本法（办公）</v>
      </c>
      <c r="D101" s="736" t="str">
        <f>D4</f>
        <v>收益法（办公）</v>
      </c>
      <c r="E101" s="3137" t="s">
        <v>2295</v>
      </c>
      <c r="F101" s="3138"/>
      <c r="G101" s="2511" t="s">
        <v>2296</v>
      </c>
      <c r="H101" s="1041">
        <f ca="1">H118</f>
        <v>159589</v>
      </c>
      <c r="I101" s="137"/>
    </row>
    <row r="102" spans="1:35" ht="18.75" customHeight="1">
      <c r="A102" s="3167" t="s">
        <v>2297</v>
      </c>
      <c r="B102" s="2511" t="s">
        <v>2296</v>
      </c>
      <c r="C102" s="735">
        <f ca="1">C19</f>
        <v>158010</v>
      </c>
      <c r="D102" s="736">
        <f ca="1">D19</f>
        <v>161167</v>
      </c>
      <c r="E102" s="3137"/>
      <c r="F102" s="3138"/>
      <c r="G102" s="2511" t="s">
        <v>2298</v>
      </c>
      <c r="H102" s="370">
        <f ca="1">I118</f>
        <v>43657</v>
      </c>
      <c r="I102" s="137"/>
    </row>
    <row r="103" spans="1:35" ht="42.75" customHeight="1">
      <c r="A103" s="3167"/>
      <c r="B103" s="2511" t="s">
        <v>2298</v>
      </c>
      <c r="C103" s="737">
        <f ca="1">C20</f>
        <v>43225</v>
      </c>
      <c r="D103" s="738">
        <f ca="1">D20</f>
        <v>44088</v>
      </c>
      <c r="E103" s="3131" t="s">
        <v>2299</v>
      </c>
      <c r="F103" s="3132"/>
      <c r="G103" s="2512" t="s">
        <v>2300</v>
      </c>
      <c r="H103" s="1041">
        <f>IF(D36="正常操作",H104+H105+H106,H105+H106)</f>
        <v>0</v>
      </c>
      <c r="I103" s="137"/>
    </row>
    <row r="104" spans="1:35" ht="18.75" customHeight="1">
      <c r="A104" s="3167" t="s">
        <v>2301</v>
      </c>
      <c r="B104" s="2513" t="s">
        <v>2296</v>
      </c>
      <c r="C104" s="739">
        <f ca="1">H118</f>
        <v>159589</v>
      </c>
      <c r="D104" s="740"/>
      <c r="E104" s="2259" t="s">
        <v>2302</v>
      </c>
      <c r="F104" s="2251"/>
      <c r="G104" s="2512" t="s">
        <v>2300</v>
      </c>
      <c r="H104" s="1042">
        <f>IF(D36="同一抵押权人同一抵押物续贷",C36&amp;"（未扣减，详见特别提示）",C36)</f>
        <v>0</v>
      </c>
      <c r="I104" s="137"/>
    </row>
    <row r="105" spans="1:35" ht="18.75" customHeight="1" thickBot="1">
      <c r="A105" s="3179"/>
      <c r="B105" s="2514" t="s">
        <v>2298</v>
      </c>
      <c r="C105" s="741">
        <f ca="1">I118</f>
        <v>43657</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68" t="str">
        <f>IF(项目基本情况!E8="已注销","——","3.房地产抵押价值")</f>
        <v>——</v>
      </c>
      <c r="F107" s="3138"/>
      <c r="G107" s="2511" t="s">
        <v>2296</v>
      </c>
      <c r="H107" s="1041" t="str">
        <f>IF(E107="——","——",H101-H103)</f>
        <v>——</v>
      </c>
      <c r="I107" s="137"/>
    </row>
    <row r="108" spans="1:35" ht="18.75" customHeight="1">
      <c r="A108" s="137"/>
      <c r="B108" s="137"/>
      <c r="C108" s="137"/>
      <c r="D108" s="137"/>
      <c r="E108" s="3168"/>
      <c r="F108" s="3138"/>
      <c r="G108" s="2511" t="s">
        <v>2298</v>
      </c>
      <c r="H108" s="370" t="e">
        <f>ROUND(H107*10000/'数据-汇总表'!E3,0)</f>
        <v>#VALUE!</v>
      </c>
      <c r="I108" s="137"/>
    </row>
    <row r="109" spans="1:35" ht="18.75" customHeight="1">
      <c r="A109" s="137"/>
      <c r="B109" s="137"/>
      <c r="C109" s="137"/>
      <c r="D109" s="137"/>
      <c r="E109" s="3168" t="str">
        <f>IF(项目基本情况!E8="已注销及未注销","4.抵押担保权已注销时的房地产抵押价值",IF(项目基本情况!E8="已注销","3.抵押担保权已注销时的房地产抵押价值","——"))</f>
        <v>3.抵押担保权已注销时的房地产抵押价值</v>
      </c>
      <c r="F109" s="3138"/>
      <c r="G109" s="2511" t="s">
        <v>2296</v>
      </c>
      <c r="H109" s="347">
        <f ca="1">IF(E109="——","——",H101-H105-H106)</f>
        <v>159589</v>
      </c>
      <c r="I109" s="137"/>
    </row>
    <row r="110" spans="1:35" ht="18.75" customHeight="1">
      <c r="A110" s="137"/>
      <c r="B110" s="137"/>
      <c r="C110" s="137"/>
      <c r="D110" s="137"/>
      <c r="E110" s="3168"/>
      <c r="F110" s="3138"/>
      <c r="G110" s="2511" t="s">
        <v>2298</v>
      </c>
      <c r="H110" s="370">
        <f ca="1">IF(H109="——","——",ROUND(H109*10000/'数据-汇总表'!E3,0))</f>
        <v>33120</v>
      </c>
      <c r="I110" s="137"/>
    </row>
    <row r="111" spans="1:35" ht="18.75" customHeight="1">
      <c r="A111" s="137"/>
      <c r="B111" s="137"/>
      <c r="C111" s="137"/>
      <c r="D111" s="137"/>
      <c r="E111" s="3169" t="str">
        <f>IF(项目基本情况!E9="抵押净值",IF(OR(项目基本情况!E8="已注销",项目基本情况!E8="房地产抵押价值"),"4.抵押净值","5.抵押净值"),"——")</f>
        <v>——</v>
      </c>
      <c r="F111" s="3170"/>
      <c r="G111" s="2511" t="s">
        <v>2296</v>
      </c>
      <c r="H111" s="1041" t="str">
        <f>IF(E111="——","——",N59)</f>
        <v>——</v>
      </c>
      <c r="I111" s="137"/>
    </row>
    <row r="112" spans="1:35" ht="18.75" customHeight="1" thickBot="1">
      <c r="A112" s="137"/>
      <c r="B112" s="137"/>
      <c r="C112" s="137"/>
      <c r="D112" s="137"/>
      <c r="E112" s="3171"/>
      <c r="F112" s="3172"/>
      <c r="G112" s="2516" t="s">
        <v>2298</v>
      </c>
      <c r="H112" s="789" t="str">
        <f>IF(E111="——","——",N61)</f>
        <v>——</v>
      </c>
      <c r="I112" s="137"/>
    </row>
    <row r="113" spans="1:11" ht="18.75" customHeight="1">
      <c r="A113" s="137"/>
      <c r="B113" s="137"/>
      <c r="C113" s="137"/>
      <c r="D113" s="137"/>
      <c r="E113" s="3180" t="s">
        <v>2304</v>
      </c>
      <c r="F113" s="3180"/>
      <c r="G113" s="3180"/>
      <c r="H113" s="3180"/>
      <c r="I113" s="137"/>
    </row>
    <row r="114" spans="1:11" ht="3.75" customHeight="1">
      <c r="A114" s="2409"/>
      <c r="B114" s="2409"/>
      <c r="C114" s="2409"/>
      <c r="D114" s="2409"/>
      <c r="E114" s="2487"/>
      <c r="F114" s="2487"/>
      <c r="G114" s="2487"/>
      <c r="H114" s="2487"/>
      <c r="I114" s="2409"/>
    </row>
    <row r="115" spans="1:11" ht="18.75" customHeight="1">
      <c r="A115" s="3193" t="s">
        <v>2306</v>
      </c>
      <c r="B115" s="3194"/>
      <c r="C115" s="3194"/>
      <c r="D115" s="3194"/>
      <c r="E115" s="3194"/>
      <c r="F115" s="3194"/>
      <c r="G115" s="3194"/>
      <c r="H115" s="3194"/>
      <c r="I115" s="3195"/>
    </row>
    <row r="116" spans="1:11" ht="27" customHeight="1">
      <c r="A116" s="3104" t="s">
        <v>2307</v>
      </c>
      <c r="B116" s="3147" t="s">
        <v>2308</v>
      </c>
      <c r="C116" s="3147" t="s">
        <v>2309</v>
      </c>
      <c r="D116" s="3153" t="s">
        <v>2310</v>
      </c>
      <c r="E116" s="3154"/>
      <c r="F116" s="3189" t="s">
        <v>2311</v>
      </c>
      <c r="G116" s="3189"/>
      <c r="H116" s="3104" t="s">
        <v>2312</v>
      </c>
      <c r="I116" s="3104"/>
    </row>
    <row r="117" spans="1:11" ht="18.75" customHeight="1">
      <c r="A117" s="3104"/>
      <c r="B117" s="3148"/>
      <c r="C117" s="3148"/>
      <c r="D117" s="1791" t="s">
        <v>2313</v>
      </c>
      <c r="E117" s="1791" t="s">
        <v>2314</v>
      </c>
      <c r="F117" s="1791" t="s">
        <v>2313</v>
      </c>
      <c r="G117" s="1791" t="s">
        <v>2315</v>
      </c>
      <c r="H117" s="1791" t="s">
        <v>2313</v>
      </c>
      <c r="I117" s="1791" t="s">
        <v>2315</v>
      </c>
    </row>
    <row r="118" spans="1:11" ht="24.75" customHeight="1">
      <c r="A118" s="2517" t="str">
        <f>项目基本情况!S2</f>
        <v>北京市大兴区黄村镇房地产</v>
      </c>
      <c r="B118" s="1791">
        <f>M18</f>
        <v>36555.58</v>
      </c>
      <c r="C118" s="1791">
        <f>M19</f>
        <v>7298.09</v>
      </c>
      <c r="D118" s="1791">
        <f ca="1">ROUND(IF(D32="总价",C34,E118*B118/10000),0)</f>
        <v>137247</v>
      </c>
      <c r="E118" s="1791">
        <f ca="1">ROUND(IF(C33="自定义",IF(D32="楼面单价",C34,D118*10000/B118),I118-G118),0)</f>
        <v>37545</v>
      </c>
      <c r="F118" s="1791">
        <f ca="1">ROUND(IF(D32="总价",C35,G118*B118/10000),0)</f>
        <v>22342</v>
      </c>
      <c r="G118" s="1791">
        <f ca="1">ROUND(IF(D32="楼面单价",C35,F118*10000/B118),0)</f>
        <v>6112</v>
      </c>
      <c r="H118" s="1791">
        <f ca="1">ROUND(IF(D32="总价",C32,I118*B118/10000),0)</f>
        <v>159589</v>
      </c>
      <c r="I118" s="1791">
        <f ca="1">ROUND(IF(D32="楼面单价",C32,H118*10000/B118),0)</f>
        <v>43657</v>
      </c>
    </row>
    <row r="119" spans="1:11" ht="18.75" customHeight="1">
      <c r="A119" s="3104" t="s">
        <v>2316</v>
      </c>
      <c r="B119" s="3104"/>
      <c r="C119" s="3104"/>
      <c r="D119" s="3149" t="str">
        <f ca="1">NUMBERSTRING(INT(D118*10000),2)&amp;"元整"</f>
        <v>壹拾叁亿柒仟贰佰肆拾柒万元整</v>
      </c>
      <c r="E119" s="3150"/>
      <c r="F119" s="3149" t="str">
        <f ca="1">NUMBERSTRING(INT(F118*10000),2)&amp;"元整"</f>
        <v>贰亿贰仟叁佰肆拾贰万元整</v>
      </c>
      <c r="G119" s="3150"/>
      <c r="H119" s="3149" t="str">
        <f ca="1">NUMBERSTRING(INT(H118*10000),2)&amp;"元整"</f>
        <v>壹拾伍亿玖仟伍佰捌拾玖万元整</v>
      </c>
      <c r="I119" s="3150"/>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4" t="str">
        <f>IF(D120=0,"故，本次评估不存在"&amp;A120,"故，本次评估"&amp;A120&amp;"为人民币"&amp;D120&amp;"万元整。")</f>
        <v>故，本次评估不存在估价师知悉的法定优先受偿款</v>
      </c>
    </row>
    <row r="121" spans="1:11" ht="18.75" customHeight="1">
      <c r="A121" s="3190" t="s">
        <v>2316</v>
      </c>
      <c r="B121" s="3191"/>
      <c r="C121" s="3192"/>
      <c r="D121" s="3149" t="str">
        <f>IF(D120=0,"零元整",NUMBERSTRING(INT(D120*10000),2)&amp;"元整")</f>
        <v>零元整</v>
      </c>
      <c r="E121" s="3151"/>
      <c r="F121" s="3151"/>
      <c r="G121" s="3151"/>
      <c r="H121" s="3151"/>
      <c r="I121" s="3150"/>
    </row>
    <row r="122" spans="1:11" ht="18.75" customHeight="1">
      <c r="A122" s="3155" t="str">
        <f>IF(项目基本情况!B9="房地产市场价值","",MID(E107,3,LEN(E107)-2))</f>
        <v/>
      </c>
      <c r="B122" s="3155"/>
      <c r="C122" s="3155"/>
      <c r="D122" s="3144" t="str">
        <f>H107</f>
        <v>——</v>
      </c>
      <c r="E122" s="3145"/>
      <c r="F122" s="3145"/>
      <c r="G122" s="3145"/>
      <c r="H122" s="3145"/>
      <c r="I122" s="3146"/>
    </row>
    <row r="123" spans="1:11" ht="18.75" customHeight="1">
      <c r="A123" s="3104" t="s">
        <v>2316</v>
      </c>
      <c r="B123" s="3104"/>
      <c r="C123" s="3104"/>
      <c r="D123" s="3149" t="e">
        <f>NUMBERSTRING(INT(D122*10000),2)&amp;"元整"</f>
        <v>#VALUE!</v>
      </c>
      <c r="E123" s="3151"/>
      <c r="F123" s="3151"/>
      <c r="G123" s="3151"/>
      <c r="H123" s="3151"/>
      <c r="I123" s="3150"/>
    </row>
    <row r="124" spans="1:11" ht="18.75" customHeight="1">
      <c r="A124" s="3155" t="str">
        <f>IF(项目基本情况!B9="房地产市场价值","",MID(E109,3,LEN(E109)-2))</f>
        <v>抵押担保权已注销时的房地产抵押价值</v>
      </c>
      <c r="B124" s="3155"/>
      <c r="C124" s="3155"/>
      <c r="D124" s="3144">
        <f ca="1">H109</f>
        <v>159589</v>
      </c>
      <c r="E124" s="3145"/>
      <c r="F124" s="3145"/>
      <c r="G124" s="3145"/>
      <c r="H124" s="3145"/>
      <c r="I124" s="3146"/>
    </row>
    <row r="125" spans="1:11" ht="18.75" customHeight="1">
      <c r="A125" s="3104" t="s">
        <v>2316</v>
      </c>
      <c r="B125" s="3104"/>
      <c r="C125" s="3104"/>
      <c r="D125" s="3149" t="str">
        <f ca="1">NUMBERSTRING(INT(D124*10000),2)&amp;"元整"</f>
        <v>壹拾伍亿玖仟伍佰捌拾玖万元整</v>
      </c>
      <c r="E125" s="3151"/>
      <c r="F125" s="3151"/>
      <c r="G125" s="3151"/>
      <c r="H125" s="3151"/>
      <c r="I125" s="3150"/>
    </row>
    <row r="126" spans="1:11" ht="18.75" customHeight="1">
      <c r="A126" s="3155" t="str">
        <f>IF(项目基本情况!B9="房地产市场价值","",MID(E111,3,LEN(E111)-2))</f>
        <v/>
      </c>
      <c r="B126" s="3155"/>
      <c r="C126" s="3155"/>
      <c r="D126" s="3144" t="str">
        <f>H111</f>
        <v>——</v>
      </c>
      <c r="E126" s="3145"/>
      <c r="F126" s="3145"/>
      <c r="G126" s="3145"/>
      <c r="H126" s="3145"/>
      <c r="I126" s="3146"/>
    </row>
    <row r="127" spans="1:11" ht="18.75" customHeight="1">
      <c r="A127" s="3104" t="s">
        <v>2316</v>
      </c>
      <c r="B127" s="3104"/>
      <c r="C127" s="3104"/>
      <c r="D127" s="3149" t="e">
        <f>NUMBERSTRING(INT(D126*10000),2)&amp;"元整"</f>
        <v>#VALUE!</v>
      </c>
      <c r="E127" s="3151"/>
      <c r="F127" s="3151"/>
      <c r="G127" s="3151"/>
      <c r="H127" s="3151"/>
      <c r="I127" s="3150"/>
    </row>
    <row r="128" spans="1:11" ht="21.75" customHeight="1">
      <c r="A128" s="3152" t="s">
        <v>2317</v>
      </c>
      <c r="B128" s="3152"/>
      <c r="C128" s="3152"/>
      <c r="D128" s="3152"/>
      <c r="E128" s="3152"/>
      <c r="F128" s="3152"/>
      <c r="G128" s="3152"/>
      <c r="H128" s="3152"/>
      <c r="I128" s="3152"/>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3504</v>
      </c>
      <c r="C1" s="241"/>
      <c r="D1" s="241"/>
      <c r="E1" s="241"/>
      <c r="F1" s="241"/>
      <c r="G1" s="1375">
        <f>MATCH(B1,'数据-取费表'!A6:A16,0)+5</f>
        <v>6</v>
      </c>
    </row>
    <row r="2" spans="1:9" s="243" customFormat="1" ht="18" customHeight="1">
      <c r="A2" s="244" t="s">
        <v>2326</v>
      </c>
      <c r="B2" s="245">
        <f ca="1">IF(D2="——",C52,C52-E2)</f>
        <v>158010</v>
      </c>
      <c r="C2" s="242" t="s">
        <v>2327</v>
      </c>
      <c r="D2" s="2540" t="s">
        <v>70</v>
      </c>
      <c r="E2" s="1436" t="e">
        <f ca="1">SUMIF(INDIRECT("'"&amp;G2&amp;"'"&amp;"!A:A"),"承租人权益价值",INDIRECT("'"&amp;G2&amp;"'"&amp;"!c:c"))</f>
        <v>#REF!</v>
      </c>
      <c r="F2" s="2541" t="s">
        <v>2327</v>
      </c>
      <c r="G2" s="2542"/>
    </row>
    <row r="3" spans="1:9" s="243" customFormat="1" ht="18" customHeight="1" thickBot="1">
      <c r="A3" s="246" t="s">
        <v>2328</v>
      </c>
      <c r="B3" s="247">
        <f ca="1">ROUND(B2*10000/(IF(B1="",'数据-汇总表'!E3,INDIRECT("'数据-取费表'!k"&amp;$G$1))),0)</f>
        <v>43225</v>
      </c>
      <c r="C3" s="242" t="s">
        <v>2329</v>
      </c>
      <c r="D3" s="242"/>
      <c r="E3" s="242"/>
      <c r="F3" s="242"/>
      <c r="G3" s="242"/>
    </row>
    <row r="4" spans="1:9" s="251" customFormat="1" ht="15.75">
      <c r="A4" s="248" t="s">
        <v>2330</v>
      </c>
      <c r="B4" s="249"/>
      <c r="C4" s="249"/>
      <c r="D4" s="249"/>
      <c r="E4" s="249"/>
      <c r="F4" s="249"/>
      <c r="G4" s="250"/>
    </row>
    <row r="5" spans="1:9" s="257" customFormat="1" ht="13.5" customHeight="1">
      <c r="A5" s="298" t="s">
        <v>2331</v>
      </c>
      <c r="B5" s="253" t="s">
        <v>2332</v>
      </c>
      <c r="C5" s="254">
        <f>C6+C7+C8</f>
        <v>91182</v>
      </c>
      <c r="D5" s="254" t="s">
        <v>2333</v>
      </c>
      <c r="E5" s="255" t="s">
        <v>2334</v>
      </c>
      <c r="F5" s="255" t="s">
        <v>2335</v>
      </c>
      <c r="G5" s="256"/>
    </row>
    <row r="6" spans="1:9" s="257" customFormat="1" ht="13.5" customHeight="1">
      <c r="A6" s="945" t="s">
        <v>2336</v>
      </c>
      <c r="B6" s="258" t="s">
        <v>2337</v>
      </c>
      <c r="C6" s="259">
        <f>'土地比较法-住宅、综合'!F56</f>
        <v>88483</v>
      </c>
      <c r="D6" s="260"/>
      <c r="E6" s="261"/>
      <c r="F6" s="261"/>
      <c r="G6" s="262"/>
    </row>
    <row r="7" spans="1:9" s="257" customFormat="1" ht="13.5" customHeight="1">
      <c r="A7" s="945" t="s">
        <v>2338</v>
      </c>
      <c r="B7" s="258" t="s">
        <v>2339</v>
      </c>
      <c r="C7" s="263">
        <f>ROUND(C6*F7,0)</f>
        <v>2699</v>
      </c>
      <c r="D7" s="263"/>
      <c r="E7" s="261"/>
      <c r="F7" s="264">
        <f>'数据-取费表'!B48+'数据-取费表'!B49</f>
        <v>3.0499999999999999E-2</v>
      </c>
      <c r="G7" s="262"/>
    </row>
    <row r="8" spans="1:9" s="266" customFormat="1">
      <c r="A8" s="945" t="s">
        <v>2340</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731</v>
      </c>
      <c r="D10" s="1028">
        <f ca="1">IF(B1="",'数据-汇总表'!E6,IF(INDIRECT("'数据-取费表'!c"&amp;$G$1)="住宅",INDIRECT("'数据-取费表'!s"&amp;$G$1),INDIRECT("'数据-取费表'!k"&amp;$G$1)+INDIRECT("'数据-取费表'!s"&amp;$G$1)))</f>
        <v>36555.58</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2348</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2348</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36555.58</v>
      </c>
      <c r="E19" s="254">
        <f>'数据-取费表'!B31</f>
        <v>200</v>
      </c>
      <c r="F19" s="274"/>
      <c r="G19" s="2543" t="s">
        <v>3054</v>
      </c>
    </row>
    <row r="20" spans="1:7" s="257" customFormat="1" ht="13.5" customHeight="1">
      <c r="A20" s="298" t="s">
        <v>2357</v>
      </c>
      <c r="B20" s="253" t="s">
        <v>2358</v>
      </c>
      <c r="C20" s="275">
        <f>ROUND((C5+C19)*F20,0)</f>
        <v>1824</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13751</v>
      </c>
      <c r="D22" s="278">
        <f ca="1">C26</f>
        <v>1.4E-3</v>
      </c>
      <c r="E22" s="279" t="s">
        <v>2362</v>
      </c>
      <c r="F22" s="280">
        <f ca="1">'数据-取费表'!B40</f>
        <v>4.7500000000000001E-2</v>
      </c>
      <c r="G22" s="277" t="str">
        <f>IF('数据-取费表'!B22&lt;=1,"单利计息","复利计息")</f>
        <v>复利计息</v>
      </c>
    </row>
    <row r="23" spans="1:7" s="257" customFormat="1" ht="13.5" customHeight="1">
      <c r="A23" s="947" t="s">
        <v>2366</v>
      </c>
      <c r="B23" s="258" t="s">
        <v>2367</v>
      </c>
      <c r="C23" s="1351">
        <f ca="1">ROUND(IF('数据-取费表'!B22&lt;=1,C5*F22*'数据-取费表'!B23,C5*(POWER((1+F22),'数据-取费表'!B23)-1)),0)</f>
        <v>13620</v>
      </c>
      <c r="D23" s="281"/>
      <c r="E23" s="281"/>
      <c r="F23" s="282"/>
      <c r="G23" s="283" t="s">
        <v>2368</v>
      </c>
    </row>
    <row r="24" spans="1:7" s="257" customFormat="1" ht="13.5" customHeight="1">
      <c r="A24" s="947" t="s">
        <v>2369</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2372</v>
      </c>
      <c r="B25" s="258" t="s">
        <v>2373</v>
      </c>
      <c r="C25" s="1351">
        <f ca="1">ROUND(IF('数据-取费表'!B22&lt;=1,C20*F22*'数据-取费表'!B23/2,C20*(POWER((1+F22),'数据-取费表'!B23/2)-1)),0)</f>
        <v>131</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18601</v>
      </c>
      <c r="D27" s="278">
        <f ca="1">C29</f>
        <v>4.0000000000000001E-3</v>
      </c>
      <c r="E27" s="279" t="s">
        <v>2378</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18601</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135934</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16011</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14622</v>
      </c>
      <c r="D34" s="260"/>
      <c r="E34" s="263"/>
      <c r="F34" s="300">
        <f ca="1">IF('数据-取费表'!B24=0,1,IF(B1="",'数据-取费表'!N16,INDIRECT("'数据-取费表'!n"&amp;$G$1)))</f>
        <v>1</v>
      </c>
      <c r="G34" s="262" t="s">
        <v>2390</v>
      </c>
    </row>
    <row r="35" spans="1:7" ht="13.5" customHeight="1">
      <c r="A35" s="947" t="s">
        <v>796</v>
      </c>
      <c r="B35" s="258" t="s">
        <v>2391</v>
      </c>
      <c r="C35" s="263">
        <f ca="1">ROUND(C34*F35,0)</f>
        <v>439</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731</v>
      </c>
      <c r="D37" s="260">
        <f ca="1">D19</f>
        <v>36555.58</v>
      </c>
      <c r="E37" s="292">
        <f>'数据-取费表'!B35</f>
        <v>200</v>
      </c>
      <c r="F37" s="302"/>
      <c r="G37" s="304" t="s">
        <v>2396</v>
      </c>
    </row>
    <row r="38" spans="1:7" ht="13.5" customHeight="1">
      <c r="A38" s="947" t="s">
        <v>799</v>
      </c>
      <c r="B38" s="258" t="s">
        <v>2397</v>
      </c>
      <c r="C38" s="263">
        <f ca="1">ROUND(C34*F38,0)</f>
        <v>219</v>
      </c>
      <c r="D38" s="263"/>
      <c r="E38" s="263"/>
      <c r="F38" s="302">
        <f>'数据-取费表'!B36</f>
        <v>1.4999999999999999E-2</v>
      </c>
      <c r="G38" s="262" t="s">
        <v>2392</v>
      </c>
    </row>
    <row r="39" spans="1:7" s="257" customFormat="1" ht="13.5" customHeight="1">
      <c r="A39" s="298" t="s">
        <v>2398</v>
      </c>
      <c r="B39" s="253" t="s">
        <v>2399</v>
      </c>
      <c r="C39" s="275">
        <f ca="1">ROUND(C33*F20,0)</f>
        <v>320</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1177</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ROUND(IF('数据-取费表'!B22&lt;=1,C33*F22*'数据-取费表'!B21/2,C33*(POWER((1+F22),'数据-取费表'!B21/2)-1)),0)</f>
        <v>1154</v>
      </c>
      <c r="D42" s="281"/>
      <c r="E42" s="281"/>
      <c r="F42" s="282"/>
      <c r="G42" s="3224" t="s">
        <v>2408</v>
      </c>
    </row>
    <row r="43" spans="1:7" ht="13.5" customHeight="1">
      <c r="A43" s="947" t="s">
        <v>792</v>
      </c>
      <c r="B43" s="258" t="s">
        <v>2409</v>
      </c>
      <c r="C43" s="281">
        <f ca="1">ROUND(IF('数据-取费表'!B22&lt;=1,C39*F22*'数据-取费表'!B21/2,C39*(POWER((1+F22),'数据-取费表'!B21/2)-1)),0)</f>
        <v>23</v>
      </c>
      <c r="D43" s="281"/>
      <c r="E43" s="281"/>
      <c r="F43" s="282"/>
      <c r="G43" s="3225"/>
    </row>
    <row r="44" spans="1:7" ht="13.5" customHeight="1">
      <c r="A44" s="947" t="s">
        <v>793</v>
      </c>
      <c r="B44" s="258" t="s">
        <v>2410</v>
      </c>
      <c r="C44" s="281">
        <f ca="1">ROUND(IF('数据-取费表'!B22&lt;=1,C40*F22*'数据-取费表'!B21/2,C40*(POWER((1+F22),'数据-取费表'!B21/2)-1)),4)</f>
        <v>1.4E-3</v>
      </c>
      <c r="D44" s="281"/>
      <c r="E44" s="281"/>
      <c r="F44" s="282"/>
      <c r="G44" s="3226"/>
    </row>
    <row r="45" spans="1:7" s="257" customFormat="1" ht="13.5" customHeight="1">
      <c r="A45" s="298" t="s">
        <v>2411</v>
      </c>
      <c r="B45" s="287" t="s">
        <v>2377</v>
      </c>
      <c r="C45" s="288">
        <f ca="1">C46</f>
        <v>3266</v>
      </c>
      <c r="D45" s="278">
        <f ca="1">C47</f>
        <v>4.0000000000000001E-3</v>
      </c>
      <c r="E45" s="279" t="s">
        <v>2403</v>
      </c>
      <c r="F45" s="289"/>
      <c r="G45" s="290" t="s">
        <v>2412</v>
      </c>
    </row>
    <row r="46" spans="1:7" s="257" customFormat="1" ht="13.5" customHeight="1">
      <c r="A46" s="947" t="s">
        <v>791</v>
      </c>
      <c r="B46" s="291" t="s">
        <v>2413</v>
      </c>
      <c r="C46" s="292">
        <f ca="1">ROUND((C33+C39)*F27,0)</f>
        <v>3266</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22527</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22076</v>
      </c>
      <c r="D51" s="275"/>
      <c r="E51" s="275"/>
      <c r="F51" s="307"/>
      <c r="G51" s="277" t="s">
        <v>2424</v>
      </c>
    </row>
    <row r="52" spans="1:7" s="251" customFormat="1" ht="16.5" thickBot="1">
      <c r="A52" s="308" t="s">
        <v>2425</v>
      </c>
      <c r="B52" s="309"/>
      <c r="C52" s="310">
        <f ca="1">C31+C51</f>
        <v>158010</v>
      </c>
      <c r="D52" s="309"/>
      <c r="E52" s="309"/>
      <c r="F52" s="309"/>
      <c r="G52" s="311"/>
    </row>
    <row r="55" spans="1:7" ht="15">
      <c r="B55" s="313" t="s">
        <v>2426</v>
      </c>
      <c r="C55" s="314"/>
    </row>
    <row r="56" spans="1:7">
      <c r="B56" s="316" t="s">
        <v>1514</v>
      </c>
      <c r="C56" s="318">
        <f ca="1">1-C57</f>
        <v>0.86</v>
      </c>
    </row>
    <row r="57" spans="1:7">
      <c r="B57" s="316" t="s">
        <v>1515</v>
      </c>
      <c r="C57" s="317">
        <f ca="1">ROUND(C51/C52,3)</f>
        <v>0.14000000000000001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0" workbookViewId="0">
      <selection activeCell="F27" sqref="F2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2325</v>
      </c>
      <c r="B1" s="1933"/>
      <c r="C1" s="2546" t="s">
        <v>2427</v>
      </c>
      <c r="D1" s="241"/>
      <c r="E1" s="241"/>
      <c r="F1" s="241"/>
      <c r="G1" s="1375">
        <f>MATCH(B1,'数据-取费表'!A6:A16,0)+5</f>
        <v>9</v>
      </c>
      <c r="H1" s="1278" t="str">
        <f>IF(ISERROR(FIND("住宅",B1)),"非住宅","住宅")</f>
        <v>非住宅</v>
      </c>
    </row>
    <row r="2" spans="1:8" s="243" customFormat="1" ht="18" customHeight="1">
      <c r="A2" s="244" t="s">
        <v>2326</v>
      </c>
      <c r="B2" s="245">
        <f ca="1">ROUND(IF(D2="——",C52/10000,C52/10000-E2),0)</f>
        <v>35439</v>
      </c>
      <c r="C2" s="242" t="s">
        <v>2327</v>
      </c>
      <c r="D2" s="2540" t="s">
        <v>70</v>
      </c>
      <c r="E2" s="1436" t="e">
        <f ca="1">SUMIF(INDIRECT("'"&amp;G2&amp;"'"&amp;"!A:A"),"承租人权益价值",INDIRECT("'"&amp;G2&amp;"'"&amp;"!c:c"))</f>
        <v>#REF!</v>
      </c>
      <c r="F2" s="2541" t="s">
        <v>2327</v>
      </c>
      <c r="G2" s="2542"/>
    </row>
    <row r="3" spans="1:8" s="243" customFormat="1" ht="18" customHeight="1" thickBot="1">
      <c r="A3" s="246" t="s">
        <v>2328</v>
      </c>
      <c r="B3" s="247">
        <f ca="1">ROUND(B2*10000/(IF(B1="",'数据-汇总表'!E3,INDIRECT("'数据-取费表'!k"&amp;$G$1))),0)</f>
        <v>7355</v>
      </c>
      <c r="C3" s="242" t="s">
        <v>2329</v>
      </c>
      <c r="D3" s="242"/>
      <c r="E3" s="242"/>
      <c r="F3" s="242"/>
      <c r="G3" s="242"/>
    </row>
    <row r="4" spans="1:8" s="251" customFormat="1" ht="15.75">
      <c r="A4" s="248" t="s">
        <v>2330</v>
      </c>
      <c r="B4" s="249"/>
      <c r="C4" s="249"/>
      <c r="D4" s="249"/>
      <c r="E4" s="249"/>
      <c r="F4" s="249"/>
      <c r="G4" s="250"/>
    </row>
    <row r="5" spans="1:8" s="257" customFormat="1" ht="13.5" customHeight="1">
      <c r="A5" s="298" t="s">
        <v>2331</v>
      </c>
      <c r="B5" s="253" t="s">
        <v>2332</v>
      </c>
      <c r="C5" s="254">
        <f ca="1">C6+C7+C8</f>
        <v>60181200</v>
      </c>
      <c r="D5" s="254" t="s">
        <v>2333</v>
      </c>
      <c r="E5" s="255" t="s">
        <v>2334</v>
      </c>
      <c r="F5" s="255" t="s">
        <v>2335</v>
      </c>
      <c r="G5" s="256"/>
    </row>
    <row r="6" spans="1:8" s="257" customFormat="1" ht="13.5" customHeight="1">
      <c r="A6" s="945" t="s">
        <v>2336</v>
      </c>
      <c r="B6" s="258" t="s">
        <v>2337</v>
      </c>
      <c r="C6" s="259">
        <f ca="1">基准地价修正!B2*10000</f>
        <v>58400000</v>
      </c>
      <c r="D6" s="260"/>
      <c r="E6" s="261"/>
      <c r="F6" s="261"/>
      <c r="G6" s="262"/>
    </row>
    <row r="7" spans="1:8" s="257" customFormat="1" ht="13.5" customHeight="1">
      <c r="A7" s="945" t="s">
        <v>2338</v>
      </c>
      <c r="B7" s="258" t="s">
        <v>2339</v>
      </c>
      <c r="C7" s="263">
        <f ca="1">ROUND(C6*F7,0)</f>
        <v>1781200</v>
      </c>
      <c r="D7" s="263"/>
      <c r="E7" s="261"/>
      <c r="F7" s="264">
        <f>'数据-取费表'!B48+'数据-取费表'!B49</f>
        <v>3.0499999999999999E-2</v>
      </c>
      <c r="G7" s="262"/>
    </row>
    <row r="8" spans="1:8" s="266" customFormat="1">
      <c r="A8" s="945" t="s">
        <v>2340</v>
      </c>
      <c r="B8" s="258" t="s">
        <v>2341</v>
      </c>
      <c r="C8" s="263">
        <f>IF(G8="已包含在土地购买价格中",0,C9+C10)</f>
        <v>0</v>
      </c>
      <c r="D8" s="265"/>
      <c r="E8" s="263"/>
      <c r="F8" s="264"/>
      <c r="G8" s="2543" t="s">
        <v>1148</v>
      </c>
    </row>
    <row r="9" spans="1:8" s="257" customFormat="1" ht="13.5" customHeight="1">
      <c r="A9" s="946" t="s">
        <v>800</v>
      </c>
      <c r="B9" s="267" t="s">
        <v>2342</v>
      </c>
      <c r="C9" s="268">
        <f ca="1">ROUND(D9*E9,0)</f>
        <v>0</v>
      </c>
      <c r="D9" s="1028">
        <f ca="1">IF(B1="",'数据-汇总表'!E5,IF(INDIRECT("'数据-取费表'!c"&amp;$G$1)="住宅",INDIRECT("'数据-取费表'!k"&amp;$G$1),0))</f>
        <v>0</v>
      </c>
      <c r="E9" s="268">
        <f>'数据-取费表'!B27</f>
        <v>0</v>
      </c>
      <c r="F9" s="264"/>
      <c r="G9" s="269"/>
    </row>
    <row r="10" spans="1:8" s="257" customFormat="1" ht="13.5" customHeight="1">
      <c r="A10" s="946" t="s">
        <v>801</v>
      </c>
      <c r="B10" s="267" t="s">
        <v>2344</v>
      </c>
      <c r="C10" s="268">
        <f ca="1">ROUND(D10*E10,0)</f>
        <v>9637064</v>
      </c>
      <c r="D10" s="1028">
        <f ca="1">IF(B1="",'数据-汇总表'!E6,IF(INDIRECT("'数据-取费表'!c"&amp;$G$1)="住宅",INDIRECT("'数据-取费表'!s"&amp;$G$1),INDIRECT("'数据-取费表'!k"&amp;$G$1)+INDIRECT("'数据-取费表'!s"&amp;$G$1)))</f>
        <v>48185.319999999992</v>
      </c>
      <c r="E10" s="268">
        <f>'数据-取费表'!B28</f>
        <v>200</v>
      </c>
      <c r="F10" s="264"/>
      <c r="G10" s="269"/>
    </row>
    <row r="11" spans="1:8" s="257" customFormat="1" ht="13.5" hidden="1" customHeight="1">
      <c r="A11" s="270" t="s">
        <v>7</v>
      </c>
      <c r="B11" s="258" t="s">
        <v>2345</v>
      </c>
      <c r="C11" s="254"/>
      <c r="D11" s="1030"/>
      <c r="E11" s="261"/>
      <c r="F11" s="261"/>
      <c r="G11" s="262"/>
    </row>
    <row r="12" spans="1:8" s="257" customFormat="1" ht="13.5" hidden="1" customHeight="1">
      <c r="A12" s="270" t="s">
        <v>8</v>
      </c>
      <c r="B12" s="258" t="s">
        <v>2428</v>
      </c>
      <c r="C12" s="254">
        <v>0</v>
      </c>
      <c r="D12" s="1030"/>
      <c r="E12" s="271"/>
      <c r="F12" s="264">
        <v>3.0499999999999999E-2</v>
      </c>
      <c r="G12" s="262"/>
    </row>
    <row r="13" spans="1:8" s="257" customFormat="1" ht="13.5" hidden="1" customHeight="1">
      <c r="A13" s="270" t="s">
        <v>9</v>
      </c>
      <c r="B13" s="258" t="s">
        <v>2429</v>
      </c>
      <c r="C13" s="254"/>
      <c r="D13" s="1030"/>
      <c r="E13" s="261"/>
      <c r="F13" s="261"/>
      <c r="G13" s="262"/>
    </row>
    <row r="14" spans="1:8" s="257" customFormat="1" ht="13.5" hidden="1" customHeight="1">
      <c r="A14" s="270" t="s">
        <v>10</v>
      </c>
      <c r="B14" s="258" t="s">
        <v>2341</v>
      </c>
      <c r="C14" s="254"/>
      <c r="D14" s="1030"/>
      <c r="E14" s="261"/>
      <c r="F14" s="261"/>
      <c r="G14" s="262" t="s">
        <v>2430</v>
      </c>
    </row>
    <row r="15" spans="1:8" s="257" customFormat="1" ht="13.5" hidden="1" customHeight="1">
      <c r="A15" s="270" t="s">
        <v>11</v>
      </c>
      <c r="B15" s="258" t="s">
        <v>2431</v>
      </c>
      <c r="C15" s="263"/>
      <c r="D15" s="1030"/>
      <c r="E15" s="261"/>
      <c r="F15" s="261"/>
      <c r="G15" s="262" t="s">
        <v>2432</v>
      </c>
    </row>
    <row r="16" spans="1:8" s="257" customFormat="1" ht="13.5" hidden="1" customHeight="1">
      <c r="A16" s="270" t="s">
        <v>12</v>
      </c>
      <c r="B16" s="258" t="s">
        <v>2341</v>
      </c>
      <c r="C16" s="263"/>
      <c r="D16" s="1030"/>
      <c r="E16" s="261"/>
      <c r="F16" s="261"/>
      <c r="G16" s="262"/>
    </row>
    <row r="17" spans="1:7" s="257" customFormat="1" ht="13.5" hidden="1" customHeight="1">
      <c r="A17" s="270" t="s">
        <v>13</v>
      </c>
      <c r="B17" s="258" t="s">
        <v>2433</v>
      </c>
      <c r="C17" s="272"/>
      <c r="D17" s="1031"/>
      <c r="E17" s="272"/>
      <c r="F17" s="272"/>
      <c r="G17" s="262" t="s">
        <v>2432</v>
      </c>
    </row>
    <row r="18" spans="1:7" s="257" customFormat="1" ht="13.5" hidden="1" customHeight="1">
      <c r="A18" s="270" t="s">
        <v>14</v>
      </c>
      <c r="B18" s="258" t="s">
        <v>2434</v>
      </c>
      <c r="C18" s="263">
        <v>0</v>
      </c>
      <c r="D18" s="1030"/>
      <c r="E18" s="261"/>
      <c r="F18" s="264">
        <v>3.0499999999999999E-2</v>
      </c>
      <c r="G18" s="262" t="s">
        <v>2435</v>
      </c>
    </row>
    <row r="19" spans="1:7" s="266" customFormat="1" ht="13.5" customHeight="1">
      <c r="A19" s="298" t="s">
        <v>2436</v>
      </c>
      <c r="B19" s="253" t="s">
        <v>2437</v>
      </c>
      <c r="C19" s="254" t="str">
        <f>IF(G19="已包含在土地取得成本中","0",ROUND(D19*E19,0))</f>
        <v>0</v>
      </c>
      <c r="D19" s="1032">
        <f ca="1">D9+D10</f>
        <v>48185.319999999992</v>
      </c>
      <c r="E19" s="254">
        <f>'数据-取费表'!B31</f>
        <v>200</v>
      </c>
      <c r="F19" s="274"/>
      <c r="G19" s="2543" t="s">
        <v>3054</v>
      </c>
    </row>
    <row r="20" spans="1:7" s="257" customFormat="1" ht="13.5" customHeight="1">
      <c r="A20" s="298" t="s">
        <v>2438</v>
      </c>
      <c r="B20" s="253" t="s">
        <v>2439</v>
      </c>
      <c r="C20" s="275">
        <f ca="1">ROUND((C5+C19)*F20,0)</f>
        <v>1203624</v>
      </c>
      <c r="D20" s="275"/>
      <c r="E20" s="275"/>
      <c r="F20" s="276">
        <f>'数据-取费表'!B37</f>
        <v>0.02</v>
      </c>
      <c r="G20" s="277" t="s">
        <v>2440</v>
      </c>
    </row>
    <row r="21" spans="1:7" s="257" customFormat="1" ht="13.5" customHeight="1">
      <c r="A21" s="298" t="s">
        <v>2441</v>
      </c>
      <c r="B21" s="253" t="s">
        <v>2442</v>
      </c>
      <c r="C21" s="278">
        <f>F21</f>
        <v>0.02</v>
      </c>
      <c r="D21" s="279" t="s">
        <v>2443</v>
      </c>
      <c r="E21" s="275"/>
      <c r="F21" s="276">
        <f>'数据-取费表'!B38</f>
        <v>0.02</v>
      </c>
      <c r="G21" s="277" t="s">
        <v>2444</v>
      </c>
    </row>
    <row r="22" spans="1:7" s="257" customFormat="1" ht="13.5" customHeight="1">
      <c r="A22" s="298" t="s">
        <v>2445</v>
      </c>
      <c r="B22" s="253" t="s">
        <v>2446</v>
      </c>
      <c r="C22" s="1376">
        <f ca="1">ROUND(SUM(C23:C25),0)</f>
        <v>9076391</v>
      </c>
      <c r="D22" s="278">
        <f ca="1">C26</f>
        <v>1.4E-3</v>
      </c>
      <c r="E22" s="279" t="s">
        <v>2443</v>
      </c>
      <c r="F22" s="280">
        <f ca="1">'数据-取费表'!B40</f>
        <v>4.7500000000000001E-2</v>
      </c>
      <c r="G22" s="277" t="str">
        <f>IF('数据-取费表'!B22&lt;=1,"单利计息","复利计息")</f>
        <v>复利计息</v>
      </c>
    </row>
    <row r="23" spans="1:7" s="257" customFormat="1" ht="13.5" customHeight="1">
      <c r="A23" s="947" t="s">
        <v>2336</v>
      </c>
      <c r="B23" s="258" t="s">
        <v>2447</v>
      </c>
      <c r="C23" s="1377">
        <f ca="1">ROUND(IF('数据-取费表'!B22&lt;=1,C5*F22*'数据-取费表'!B22,C5*(POWER((1+F22),'数据-取费表'!B22)-1)),0)</f>
        <v>8989622</v>
      </c>
      <c r="D23" s="281"/>
      <c r="E23" s="281"/>
      <c r="F23" s="282"/>
      <c r="G23" s="283" t="s">
        <v>2448</v>
      </c>
    </row>
    <row r="24" spans="1:7" s="257" customFormat="1" ht="13.5" customHeight="1">
      <c r="A24" s="947" t="s">
        <v>2338</v>
      </c>
      <c r="B24" s="258" t="s">
        <v>2449</v>
      </c>
      <c r="C24" s="1377">
        <f ca="1">ROUND(IF('数据-取费表'!B22&lt;=1,C19*F22*('数据-取费表'!B19/2+'数据-取费表'!B20),C19*(POWER((1+F22),('数据-取费表'!B19/2+'数据-取费表'!B20))-1)),0)</f>
        <v>0</v>
      </c>
      <c r="D24" s="281"/>
      <c r="E24" s="281"/>
      <c r="F24" s="282"/>
      <c r="G24" s="283" t="s">
        <v>2450</v>
      </c>
    </row>
    <row r="25" spans="1:7" s="257" customFormat="1" ht="24">
      <c r="A25" s="947" t="s">
        <v>2340</v>
      </c>
      <c r="B25" s="258" t="s">
        <v>2451</v>
      </c>
      <c r="C25" s="1377">
        <f ca="1">ROUND(IF('数据-取费表'!B22&lt;=1,C20*F22*'数据-取费表'!B22/2,C20*(POWER((1+F22),'数据-取费表'!B22/2)-1)),0)</f>
        <v>86769</v>
      </c>
      <c r="D25" s="281"/>
      <c r="E25" s="284"/>
      <c r="F25" s="282"/>
      <c r="G25" s="285" t="s">
        <v>2452</v>
      </c>
    </row>
    <row r="26" spans="1:7" s="257" customFormat="1">
      <c r="A26" s="947" t="s">
        <v>795</v>
      </c>
      <c r="B26" s="258" t="s">
        <v>2375</v>
      </c>
      <c r="C26" s="281">
        <f ca="1">ROUND(IF('数据-取费表'!B22&lt;=1,F21*F22*'数据-取费表'!B22/2,F21*(POWER((1+F22),'数据-取费表'!B22/2)-1)),4)</f>
        <v>1.4E-3</v>
      </c>
      <c r="D26" s="281"/>
      <c r="E26" s="284"/>
      <c r="F26" s="282"/>
      <c r="G26" s="286"/>
    </row>
    <row r="27" spans="1:7" s="257" customFormat="1" ht="24.75">
      <c r="A27" s="298" t="s">
        <v>2376</v>
      </c>
      <c r="B27" s="287" t="s">
        <v>2377</v>
      </c>
      <c r="C27" s="288">
        <f ca="1">C28</f>
        <v>11049268</v>
      </c>
      <c r="D27" s="278">
        <f ca="1">C29</f>
        <v>3.5999999999999999E-3</v>
      </c>
      <c r="E27" s="279" t="s">
        <v>2378</v>
      </c>
      <c r="F27" s="289">
        <f ca="1">IF(B1="",'数据-取费表'!Q16,INDIRECT("'数据-取费表'!q"&amp;$G$1))</f>
        <v>0.18</v>
      </c>
      <c r="G27" s="290" t="s">
        <v>2379</v>
      </c>
    </row>
    <row r="28" spans="1:7" s="257" customFormat="1" ht="13.5" customHeight="1">
      <c r="A28" s="947" t="s">
        <v>791</v>
      </c>
      <c r="B28" s="291" t="s">
        <v>2380</v>
      </c>
      <c r="C28" s="292">
        <f ca="1">ROUND((C5+C19+C20)*F27,0)</f>
        <v>11049268</v>
      </c>
      <c r="D28" s="278"/>
      <c r="E28" s="279"/>
      <c r="F28" s="289"/>
      <c r="G28" s="290"/>
    </row>
    <row r="29" spans="1:7" s="257" customFormat="1" ht="13.5" customHeight="1">
      <c r="A29" s="947" t="s">
        <v>792</v>
      </c>
      <c r="B29" s="291" t="s">
        <v>2381</v>
      </c>
      <c r="C29" s="281">
        <f ca="1">ROUND(C21*F27,4)</f>
        <v>3.5999999999999999E-3</v>
      </c>
      <c r="D29" s="278"/>
      <c r="E29" s="279"/>
      <c r="F29" s="289"/>
      <c r="G29" s="290"/>
    </row>
    <row r="30" spans="1:7" s="257" customFormat="1" ht="13.5" customHeight="1">
      <c r="A30" s="298" t="s">
        <v>2382</v>
      </c>
      <c r="B30" s="253" t="s">
        <v>2383</v>
      </c>
      <c r="C30" s="278">
        <f>ROUND(F30/(1+'数据-取费表'!C42),4)</f>
        <v>5.2400000000000002E-2</v>
      </c>
      <c r="D30" s="279" t="s">
        <v>2378</v>
      </c>
      <c r="E30" s="284"/>
      <c r="F30" s="280">
        <f>'数据-取费表'!B41</f>
        <v>5.5000000000000007E-2</v>
      </c>
      <c r="G30" s="277" t="s">
        <v>2384</v>
      </c>
    </row>
    <row r="31" spans="1:7" ht="16.5" customHeight="1">
      <c r="A31" s="252">
        <v>1</v>
      </c>
      <c r="B31" s="253" t="s">
        <v>2385</v>
      </c>
      <c r="C31" s="254">
        <f ca="1">ROUND((C5+C19+C20+C22+C27)/(1-C21-D22-D27-C30),0)</f>
        <v>88348670</v>
      </c>
      <c r="D31" s="273"/>
      <c r="E31" s="254"/>
      <c r="F31" s="293"/>
      <c r="G31" s="277" t="s">
        <v>2386</v>
      </c>
    </row>
    <row r="32" spans="1:7" s="251" customFormat="1" ht="15.75">
      <c r="A32" s="295" t="s">
        <v>2453</v>
      </c>
      <c r="B32" s="296"/>
      <c r="C32" s="296"/>
      <c r="D32" s="296"/>
      <c r="E32" s="296"/>
      <c r="F32" s="296"/>
      <c r="G32" s="297"/>
    </row>
    <row r="33" spans="1:7" s="257" customFormat="1" ht="13.5" customHeight="1">
      <c r="A33" s="298" t="s">
        <v>782</v>
      </c>
      <c r="B33" s="253" t="s">
        <v>2454</v>
      </c>
      <c r="C33" s="299">
        <f ca="1">SUM(C34:C38)</f>
        <v>196114127</v>
      </c>
      <c r="D33" s="275"/>
      <c r="E33" s="255"/>
      <c r="F33" s="284"/>
      <c r="G33" s="277"/>
    </row>
    <row r="34" spans="1:7" s="301" customFormat="1" ht="13.5" customHeight="1">
      <c r="A34" s="947" t="s">
        <v>791</v>
      </c>
      <c r="B34" s="258" t="s">
        <v>2389</v>
      </c>
      <c r="C34" s="263">
        <f ca="1">ROUND(IF(B1="",SUMPRODUCT('数据-取费表'!K6:K14,'数据-取费表'!L6:L14),INDIRECT("'数据-取费表'!l"&amp;$G$1)*INDIRECT("'数据-取费表'!k"&amp;$G$1)+'数据-取费表'!L14*INDIRECT("'数据-取费表'!S"&amp;$G$1)),0)</f>
        <v>178446950</v>
      </c>
      <c r="D34" s="260"/>
      <c r="E34" s="263"/>
      <c r="F34" s="300"/>
      <c r="G34" s="262"/>
    </row>
    <row r="35" spans="1:7" ht="13.5" customHeight="1">
      <c r="A35" s="947" t="s">
        <v>796</v>
      </c>
      <c r="B35" s="258" t="s">
        <v>2391</v>
      </c>
      <c r="C35" s="263">
        <f ca="1">ROUND(C34*F35,0)</f>
        <v>5353409</v>
      </c>
      <c r="D35" s="263"/>
      <c r="E35" s="263"/>
      <c r="F35" s="302">
        <f>'数据-取费表'!B33</f>
        <v>0.03</v>
      </c>
      <c r="G35" s="262" t="s">
        <v>2392</v>
      </c>
    </row>
    <row r="36" spans="1:7" ht="24">
      <c r="A36" s="947" t="s">
        <v>797</v>
      </c>
      <c r="B36" s="258" t="s">
        <v>2393</v>
      </c>
      <c r="C36" s="263">
        <f ca="1">ROUND(IF(B1="",SUM('数据-取费表'!AP6:AP13)*F36,IF(INDIRECT("'数据-取费表'!c"&amp;$G$1)="住宅",INDIRECT("'数据-取费表'!k"&amp;$G$1)*INDIRECT("'数据-取费表'!l"&amp;$G$1)*F36,0)),0)</f>
        <v>0</v>
      </c>
      <c r="D36" s="263"/>
      <c r="E36" s="263"/>
      <c r="F36" s="302">
        <f>'数据-取费表'!B34</f>
        <v>0</v>
      </c>
      <c r="G36" s="303" t="s">
        <v>2394</v>
      </c>
    </row>
    <row r="37" spans="1:7" s="301" customFormat="1" ht="13.5" customHeight="1">
      <c r="A37" s="947" t="s">
        <v>798</v>
      </c>
      <c r="B37" s="258" t="s">
        <v>2395</v>
      </c>
      <c r="C37" s="292">
        <f ca="1">ROUND(E37*D37,0)</f>
        <v>9637064</v>
      </c>
      <c r="D37" s="260">
        <f ca="1">D19</f>
        <v>48185.319999999992</v>
      </c>
      <c r="E37" s="292">
        <f>'数据-取费表'!B35</f>
        <v>200</v>
      </c>
      <c r="F37" s="302"/>
      <c r="G37" s="304"/>
    </row>
    <row r="38" spans="1:7" ht="13.5" customHeight="1">
      <c r="A38" s="947" t="s">
        <v>799</v>
      </c>
      <c r="B38" s="258" t="s">
        <v>2397</v>
      </c>
      <c r="C38" s="263">
        <f ca="1">ROUND(C34*F38,0)</f>
        <v>2676704</v>
      </c>
      <c r="D38" s="263"/>
      <c r="E38" s="263"/>
      <c r="F38" s="302">
        <f>'数据-取费表'!B36</f>
        <v>1.4999999999999999E-2</v>
      </c>
      <c r="G38" s="262" t="s">
        <v>2392</v>
      </c>
    </row>
    <row r="39" spans="1:7" s="257" customFormat="1" ht="13.5" customHeight="1">
      <c r="A39" s="298" t="s">
        <v>2398</v>
      </c>
      <c r="B39" s="253" t="s">
        <v>2399</v>
      </c>
      <c r="C39" s="275">
        <f ca="1">ROUND(C33*F20,0)</f>
        <v>3922283</v>
      </c>
      <c r="D39" s="275"/>
      <c r="E39" s="275"/>
      <c r="F39" s="276"/>
      <c r="G39" s="277" t="s">
        <v>2400</v>
      </c>
    </row>
    <row r="40" spans="1:7" s="257" customFormat="1" ht="13.5" customHeight="1">
      <c r="A40" s="298" t="s">
        <v>2401</v>
      </c>
      <c r="B40" s="253" t="s">
        <v>2402</v>
      </c>
      <c r="C40" s="1724">
        <f>F21</f>
        <v>0.02</v>
      </c>
      <c r="D40" s="279" t="s">
        <v>2403</v>
      </c>
      <c r="E40" s="275"/>
      <c r="F40" s="276"/>
      <c r="G40" s="277" t="s">
        <v>2404</v>
      </c>
    </row>
    <row r="41" spans="1:7" s="257" customFormat="1" ht="13.5" customHeight="1">
      <c r="A41" s="298" t="s">
        <v>2405</v>
      </c>
      <c r="B41" s="253" t="s">
        <v>2406</v>
      </c>
      <c r="C41" s="275">
        <f ca="1">ROUND(SUM(C42:C43),0)</f>
        <v>14420527</v>
      </c>
      <c r="D41" s="278">
        <f ca="1">C44</f>
        <v>1.4E-3</v>
      </c>
      <c r="E41" s="279" t="s">
        <v>2403</v>
      </c>
      <c r="F41" s="280"/>
      <c r="G41" s="277" t="str">
        <f>IF('数据-取费表'!B22&lt;=1,"单利计息","复利计息")</f>
        <v>复利计息</v>
      </c>
    </row>
    <row r="42" spans="1:7" ht="13.5" customHeight="1">
      <c r="A42" s="947" t="s">
        <v>791</v>
      </c>
      <c r="B42" s="258" t="s">
        <v>2407</v>
      </c>
      <c r="C42" s="281">
        <f ca="1">ROUND(IF('数据-取费表'!B22&lt;=1,C33*F22*'数据-取费表'!B20/2,C33*(POWER((1+F22),'数据-取费表'!B20/2)-1)),0)</f>
        <v>14137772</v>
      </c>
      <c r="D42" s="281"/>
      <c r="E42" s="281"/>
      <c r="F42" s="282"/>
      <c r="G42" s="3224" t="s">
        <v>2455</v>
      </c>
    </row>
    <row r="43" spans="1:7" ht="13.5" customHeight="1">
      <c r="A43" s="947" t="s">
        <v>792</v>
      </c>
      <c r="B43" s="258" t="s">
        <v>2409</v>
      </c>
      <c r="C43" s="281">
        <f ca="1">ROUND(IF('数据-取费表'!B22&lt;=1,C39*F22*'数据-取费表'!B20/2,C39*(POWER((1+F22),'数据-取费表'!B20/2)-1)),0)</f>
        <v>282755</v>
      </c>
      <c r="D43" s="281"/>
      <c r="E43" s="281"/>
      <c r="F43" s="282"/>
      <c r="G43" s="3225"/>
    </row>
    <row r="44" spans="1:7" ht="13.5" customHeight="1">
      <c r="A44" s="947" t="s">
        <v>793</v>
      </c>
      <c r="B44" s="258" t="s">
        <v>2410</v>
      </c>
      <c r="C44" s="281">
        <f ca="1">ROUND(IF('数据-取费表'!B22&lt;=1,C40*F22*'数据-取费表'!B20/2,C40*(POWER((1+F22),'数据-取费表'!B20/2)-1)),4)</f>
        <v>1.4E-3</v>
      </c>
      <c r="D44" s="281"/>
      <c r="E44" s="281"/>
      <c r="F44" s="282"/>
      <c r="G44" s="3226"/>
    </row>
    <row r="45" spans="1:7" s="257" customFormat="1" ht="13.5" customHeight="1">
      <c r="A45" s="298" t="s">
        <v>2411</v>
      </c>
      <c r="B45" s="287" t="s">
        <v>2377</v>
      </c>
      <c r="C45" s="288">
        <f ca="1">C46</f>
        <v>36006554</v>
      </c>
      <c r="D45" s="278">
        <f ca="1">C47</f>
        <v>3.5999999999999999E-3</v>
      </c>
      <c r="E45" s="279" t="s">
        <v>2403</v>
      </c>
      <c r="F45" s="289"/>
      <c r="G45" s="290" t="s">
        <v>2412</v>
      </c>
    </row>
    <row r="46" spans="1:7" s="257" customFormat="1" ht="13.5" customHeight="1">
      <c r="A46" s="947" t="s">
        <v>791</v>
      </c>
      <c r="B46" s="291" t="s">
        <v>2413</v>
      </c>
      <c r="C46" s="292">
        <f ca="1">ROUND((C33+C39)*F27,0)</f>
        <v>36006554</v>
      </c>
      <c r="D46" s="306"/>
      <c r="E46" s="279"/>
      <c r="F46" s="289"/>
      <c r="G46" s="290"/>
    </row>
    <row r="47" spans="1:7" s="257" customFormat="1" ht="13.5" customHeight="1">
      <c r="A47" s="947" t="s">
        <v>792</v>
      </c>
      <c r="B47" s="291" t="s">
        <v>2414</v>
      </c>
      <c r="C47" s="281">
        <f ca="1">ROUND(C40*F27,4)</f>
        <v>3.5999999999999999E-3</v>
      </c>
      <c r="D47" s="306"/>
      <c r="E47" s="279"/>
      <c r="F47" s="289"/>
      <c r="G47" s="290"/>
    </row>
    <row r="48" spans="1:7" s="257" customFormat="1" ht="13.5" customHeight="1">
      <c r="A48" s="298" t="s">
        <v>2376</v>
      </c>
      <c r="B48" s="253" t="s">
        <v>2415</v>
      </c>
      <c r="C48" s="305">
        <f>ROUND(F30/(1+'数据-取费表'!C42),4)</f>
        <v>5.2400000000000002E-2</v>
      </c>
      <c r="D48" s="279" t="s">
        <v>2403</v>
      </c>
      <c r="E48" s="275"/>
      <c r="F48" s="280"/>
      <c r="G48" s="277" t="s">
        <v>2416</v>
      </c>
    </row>
    <row r="49" spans="1:7" ht="16.5" customHeight="1">
      <c r="A49" s="298" t="s">
        <v>2382</v>
      </c>
      <c r="B49" s="253" t="s">
        <v>2456</v>
      </c>
      <c r="C49" s="275">
        <f ca="1">ROUND((C33+C39+C41+C45)/(1-C40-D41-D45-C48),0)</f>
        <v>271475711</v>
      </c>
      <c r="D49" s="275"/>
      <c r="E49" s="275"/>
      <c r="F49" s="307"/>
      <c r="G49" s="277" t="s">
        <v>2418</v>
      </c>
    </row>
    <row r="50" spans="1:7" s="301" customFormat="1">
      <c r="A50" s="298" t="s">
        <v>2419</v>
      </c>
      <c r="B50" s="253" t="s">
        <v>2420</v>
      </c>
      <c r="C50" s="275"/>
      <c r="D50" s="275"/>
      <c r="E50" s="275"/>
      <c r="F50" s="307">
        <f>IF('数据-取费表'!B24=0,'数据-取费表'!N16,1)</f>
        <v>0.98</v>
      </c>
      <c r="G50" s="290"/>
    </row>
    <row r="51" spans="1:7" ht="16.5" customHeight="1">
      <c r="A51" s="298" t="s">
        <v>2422</v>
      </c>
      <c r="B51" s="253" t="s">
        <v>2457</v>
      </c>
      <c r="C51" s="275">
        <f ca="1">ROUND(C49*F50,0)</f>
        <v>266046197</v>
      </c>
      <c r="D51" s="275"/>
      <c r="E51" s="275"/>
      <c r="F51" s="307"/>
      <c r="G51" s="277" t="s">
        <v>2424</v>
      </c>
    </row>
    <row r="52" spans="1:7" s="251" customFormat="1" ht="16.5" thickBot="1">
      <c r="A52" s="308" t="s">
        <v>2425</v>
      </c>
      <c r="B52" s="309"/>
      <c r="C52" s="310">
        <f ca="1">C31+C51</f>
        <v>354394867</v>
      </c>
      <c r="D52" s="309"/>
      <c r="E52" s="309"/>
      <c r="F52" s="309"/>
      <c r="G52" s="311"/>
    </row>
    <row r="55" spans="1:7" ht="15">
      <c r="B55" s="313" t="s">
        <v>2426</v>
      </c>
      <c r="C55" s="314"/>
    </row>
    <row r="56" spans="1:7">
      <c r="B56" s="316" t="s">
        <v>1514</v>
      </c>
      <c r="C56" s="318">
        <f ca="1">1-C57</f>
        <v>0.249</v>
      </c>
    </row>
    <row r="57" spans="1:7">
      <c r="B57" s="316" t="s">
        <v>1515</v>
      </c>
      <c r="C57" s="317">
        <f ca="1">ROUND(C51/C52,3)</f>
        <v>0.751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48" customWidth="1"/>
    <col min="3" max="3" width="10.375" style="991" customWidth="1"/>
    <col min="4" max="4" width="9.875" style="948" customWidth="1"/>
    <col min="5" max="5" width="9.5" style="797"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2458</v>
      </c>
      <c r="B1" s="1577"/>
      <c r="C1" s="1578"/>
      <c r="D1" s="1576"/>
      <c r="E1" s="319"/>
      <c r="F1" s="319"/>
      <c r="G1" s="1577"/>
      <c r="H1" s="319"/>
      <c r="I1" s="319"/>
      <c r="J1" s="319"/>
      <c r="K1" s="319">
        <f>MATCH(C1,'数据-取费表'!A6:A16,0)+5</f>
        <v>9</v>
      </c>
    </row>
    <row r="2" spans="1:33" ht="18" customHeight="1">
      <c r="A2" s="244" t="s">
        <v>2326</v>
      </c>
      <c r="B2" s="247">
        <f ca="1">C32</f>
        <v>-1127</v>
      </c>
      <c r="C2" s="319" t="s">
        <v>2459</v>
      </c>
      <c r="D2" s="319"/>
      <c r="E2" s="319"/>
      <c r="F2" s="319"/>
      <c r="G2" s="319"/>
      <c r="H2" s="319"/>
      <c r="I2" s="319"/>
      <c r="J2" s="319"/>
      <c r="K2" s="319"/>
    </row>
    <row r="3" spans="1:33" ht="18" customHeight="1" thickBot="1">
      <c r="A3" s="246" t="s">
        <v>2328</v>
      </c>
      <c r="B3" s="247">
        <f ca="1">ROUND(B2*10000/IF(C1="",'数据-汇总表'!E3,INDIRECT("'数据-取费表'!K"&amp;$K$1)),0)</f>
        <v>-234</v>
      </c>
      <c r="C3" s="319" t="s">
        <v>2460</v>
      </c>
      <c r="D3" s="319"/>
      <c r="E3" s="319"/>
      <c r="F3" s="319"/>
      <c r="G3" s="319"/>
      <c r="H3" s="319"/>
      <c r="I3" s="319"/>
      <c r="J3" s="319"/>
      <c r="K3" s="319"/>
    </row>
    <row r="4" spans="1:33" s="952" customFormat="1" ht="16.5" customHeight="1">
      <c r="A4" s="949" t="s">
        <v>2461</v>
      </c>
      <c r="B4" s="950"/>
      <c r="C4" s="992">
        <f>SUM(C8:K8)</f>
        <v>0</v>
      </c>
      <c r="D4" s="950"/>
      <c r="E4" s="950"/>
      <c r="F4" s="950"/>
      <c r="G4" s="950"/>
      <c r="H4" s="950"/>
      <c r="I4" s="950"/>
      <c r="J4" s="950"/>
      <c r="K4" s="951"/>
    </row>
    <row r="5" spans="1:33" s="956" customFormat="1" ht="24.75">
      <c r="A5" s="953" t="s">
        <v>2462</v>
      </c>
      <c r="B5" s="954" t="s">
        <v>2463</v>
      </c>
      <c r="C5" s="2547" t="s">
        <v>2464</v>
      </c>
      <c r="D5" s="2547" t="s">
        <v>2465</v>
      </c>
      <c r="E5" s="2547" t="s">
        <v>2466</v>
      </c>
      <c r="F5" s="2547"/>
      <c r="G5" s="2547"/>
      <c r="H5" s="2547"/>
      <c r="I5" s="2547"/>
      <c r="J5" s="2547"/>
      <c r="K5" s="2547"/>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2467</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2468</v>
      </c>
      <c r="B7" s="139" t="s">
        <v>2469</v>
      </c>
      <c r="C7" s="320">
        <f>SUMIF('数据-汇总表'!$C19:$C33,假设开发法!C5,'数据-汇总表'!$E19:$E33)</f>
        <v>0</v>
      </c>
      <c r="D7" s="320">
        <f>SUMIF('数据-汇总表'!$C19:$C33,假设开发法!D5,'数据-汇总表'!$E19:$E33)</f>
        <v>0</v>
      </c>
      <c r="E7" s="320">
        <f>SUMIF('数据-汇总表'!$C19:$C33,假设开发法!E5,'数据-汇总表'!$E19:$E33)</f>
        <v>8479.4599999999919</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8" t="s">
        <v>2470</v>
      </c>
      <c r="B8" s="176" t="s">
        <v>2471</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2472</v>
      </c>
      <c r="B9" s="950"/>
      <c r="C9" s="950"/>
      <c r="D9" s="950"/>
      <c r="E9" s="950"/>
      <c r="F9" s="950"/>
      <c r="G9" s="950"/>
      <c r="H9" s="950"/>
      <c r="I9" s="950"/>
      <c r="J9" s="950"/>
      <c r="K9" s="951"/>
    </row>
    <row r="10" spans="1:33" s="966" customFormat="1" ht="13.5" customHeight="1">
      <c r="A10" s="953" t="s">
        <v>2473</v>
      </c>
      <c r="B10" s="8" t="s">
        <v>2474</v>
      </c>
      <c r="C10" s="962" t="s">
        <v>2475</v>
      </c>
      <c r="D10" s="963" t="s">
        <v>2476</v>
      </c>
      <c r="E10" s="963" t="s">
        <v>2477</v>
      </c>
      <c r="F10" s="963" t="s">
        <v>2478</v>
      </c>
      <c r="G10" s="8"/>
      <c r="H10" s="964"/>
      <c r="I10" s="964"/>
      <c r="J10" s="964"/>
      <c r="K10" s="965"/>
    </row>
    <row r="11" spans="1:33" s="971" customFormat="1" ht="13.5" customHeight="1">
      <c r="A11" s="967" t="s">
        <v>1334</v>
      </c>
      <c r="B11" s="968" t="s">
        <v>2479</v>
      </c>
      <c r="C11" s="322">
        <f ca="1">IF(C1="",'数据-取费表'!P16,INDIRECT("'数据-取费表'!p"&amp;$K$1)+INDIRECT("'数据-取费表'!ar"&amp;$K$1))</f>
        <v>0</v>
      </c>
      <c r="D11" s="969"/>
      <c r="E11" s="374"/>
      <c r="F11" s="970">
        <f ca="1">1-IF('数据-取费表'!B24=0,1,IF(C1="",'数据-取费表'!N16,INDIRECT("'数据-取费表'!n"&amp;$K$1)))</f>
        <v>0</v>
      </c>
      <c r="G11" s="8"/>
      <c r="H11" s="964"/>
      <c r="I11" s="964"/>
      <c r="J11" s="964"/>
      <c r="K11" s="965"/>
    </row>
    <row r="12" spans="1:33" s="971" customFormat="1" ht="13.5" customHeight="1">
      <c r="A12" s="967" t="s">
        <v>1335</v>
      </c>
      <c r="B12" s="968" t="s">
        <v>2480</v>
      </c>
      <c r="C12" s="23">
        <f ca="1">ROUND(C11*F12,0)</f>
        <v>0</v>
      </c>
      <c r="D12" s="969"/>
      <c r="E12" s="374"/>
      <c r="F12" s="972">
        <f>'数据-取费表'!B33</f>
        <v>0.03</v>
      </c>
      <c r="G12" s="8" t="s">
        <v>2481</v>
      </c>
      <c r="H12" s="964"/>
      <c r="I12" s="964"/>
      <c r="J12" s="964"/>
      <c r="K12" s="965"/>
    </row>
    <row r="13" spans="1:33" s="971" customFormat="1" ht="13.5" customHeight="1">
      <c r="A13" s="967" t="s">
        <v>1336</v>
      </c>
      <c r="B13" s="968" t="s">
        <v>2482</v>
      </c>
      <c r="C13" s="23">
        <f ca="1">ROUND(IF(C1="",SUMIF('数据-取费表'!C:C,"住宅",'数据-取费表'!P:P)*F13,IF(INDIRECT("'数据-取费表'!c"&amp;$K$1)="住宅",INDIRECT("'数据-取费表'!P"&amp;$K$1)*F13,0)),0)</f>
        <v>0</v>
      </c>
      <c r="D13" s="1029"/>
      <c r="E13" s="374"/>
      <c r="F13" s="972">
        <f>'数据-取费表'!B34</f>
        <v>0</v>
      </c>
      <c r="G13" s="8" t="s">
        <v>2483</v>
      </c>
      <c r="H13" s="964"/>
      <c r="I13" s="964"/>
      <c r="J13" s="964"/>
      <c r="K13" s="965"/>
    </row>
    <row r="14" spans="1:33" s="973" customFormat="1" ht="13.5" customHeight="1">
      <c r="A14" s="967" t="s">
        <v>1337</v>
      </c>
      <c r="B14" s="968" t="s">
        <v>2484</v>
      </c>
      <c r="C14" s="23">
        <f ca="1">ROUND(D14*E14*F11/10000,0)</f>
        <v>0</v>
      </c>
      <c r="D14" s="1029">
        <f ca="1">IF(C1="",'数据-汇总表'!E3,INDIRECT("'数据-取费表'!K"&amp;$K$1)+INDIRECT("'数据-取费表'!S"&amp;$K$1))</f>
        <v>48185.319999999992</v>
      </c>
      <c r="E14" s="23">
        <f>'数据-取费表'!B35</f>
        <v>200</v>
      </c>
      <c r="F14" s="972"/>
      <c r="G14" s="8" t="s">
        <v>2485</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2486</v>
      </c>
      <c r="C15" s="979">
        <f ca="1">ROUND(C11*F15,0)</f>
        <v>0</v>
      </c>
      <c r="D15" s="974"/>
      <c r="E15" s="979"/>
      <c r="F15" s="980">
        <f>'数据-取费表'!B36</f>
        <v>1.4999999999999999E-2</v>
      </c>
      <c r="G15" s="139" t="s">
        <v>2487</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2488</v>
      </c>
      <c r="C16" s="979">
        <f ca="1">SUM(C11:C15)</f>
        <v>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2489</v>
      </c>
      <c r="C17" s="23">
        <f ca="1">ROUND(D17*E17/10000,0)</f>
        <v>0</v>
      </c>
      <c r="D17" s="1029">
        <f ca="1">D14</f>
        <v>48185.319999999992</v>
      </c>
      <c r="E17" s="23">
        <f>'数据-取费表'!B32</f>
        <v>0</v>
      </c>
      <c r="F17" s="974"/>
      <c r="G17" s="139" t="s">
        <v>2490</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2491</v>
      </c>
      <c r="C18" s="23">
        <f ca="1">C19+C20-IF(C1="",'数据-取费表'!B29,IF(G18="已全部缴纳",C19+C20,H18))</f>
        <v>964</v>
      </c>
      <c r="D18" s="1029"/>
      <c r="E18" s="23"/>
      <c r="F18" s="972"/>
      <c r="G18" s="2549"/>
      <c r="H18" s="1573"/>
      <c r="I18" s="2550" t="s">
        <v>2492</v>
      </c>
      <c r="J18" s="975"/>
      <c r="K18" s="976"/>
    </row>
    <row r="19" spans="1:33" s="971" customFormat="1" ht="13.5" customHeight="1">
      <c r="A19" s="967" t="s">
        <v>805</v>
      </c>
      <c r="B19" s="968" t="s">
        <v>2493</v>
      </c>
      <c r="C19" s="23">
        <f ca="1">ROUND(D19*E19/10000,0)</f>
        <v>0</v>
      </c>
      <c r="D19" s="1029">
        <f ca="1">IF(C1="",'数据-汇总表'!E5,IF(INDIRECT("'数据-取费表'!c"&amp;$K$1)="住宅",INDIRECT("'数据-取费表'!k"&amp;$K$1),0))</f>
        <v>0</v>
      </c>
      <c r="E19" s="23">
        <f>'数据-取费表'!B27</f>
        <v>0</v>
      </c>
      <c r="F19" s="972"/>
      <c r="G19" s="14"/>
      <c r="H19" s="1575"/>
      <c r="I19" s="977"/>
      <c r="J19" s="977"/>
      <c r="K19" s="978"/>
    </row>
    <row r="20" spans="1:33" s="971" customFormat="1" ht="13.5" customHeight="1">
      <c r="A20" s="967" t="s">
        <v>806</v>
      </c>
      <c r="B20" s="968" t="s">
        <v>2494</v>
      </c>
      <c r="C20" s="23">
        <f ca="1">ROUND(D20*E20/10000,0)</f>
        <v>964</v>
      </c>
      <c r="D20" s="1029">
        <f ca="1">IF(C1="",'数据-汇总表'!E6,IF(INDIRECT("'数据-取费表'!c"&amp;$K$1)="住宅",INDIRECT("'数据-取费表'!s"&amp;$K$1),INDIRECT("'数据-取费表'!k"&amp;$K$1)+INDIRECT("'数据-取费表'!s"&amp;$K$1)))</f>
        <v>48185.319999999992</v>
      </c>
      <c r="E20" s="23">
        <f>'数据-取费表'!B28</f>
        <v>200</v>
      </c>
      <c r="F20" s="972"/>
      <c r="G20" s="14"/>
      <c r="H20" s="977"/>
      <c r="I20" s="977"/>
      <c r="J20" s="977"/>
      <c r="K20" s="978"/>
    </row>
    <row r="21" spans="1:33" s="971" customFormat="1" ht="13.5" customHeight="1">
      <c r="A21" s="957" t="s">
        <v>802</v>
      </c>
      <c r="B21" s="981" t="s">
        <v>2495</v>
      </c>
      <c r="C21" s="982">
        <f ca="1">C16+C17+C18</f>
        <v>964</v>
      </c>
      <c r="D21" s="983"/>
      <c r="E21" s="324"/>
      <c r="F21" s="324"/>
      <c r="G21" s="139" t="s">
        <v>2496</v>
      </c>
      <c r="H21" s="975"/>
      <c r="I21" s="975"/>
      <c r="J21" s="975"/>
      <c r="K21" s="976"/>
    </row>
    <row r="22" spans="1:33" s="971" customFormat="1" ht="13.5" customHeight="1">
      <c r="A22" s="957" t="s">
        <v>2468</v>
      </c>
      <c r="B22" s="981" t="s">
        <v>2497</v>
      </c>
      <c r="C22" s="982">
        <f ca="1">ROUND(C21*F22,0)</f>
        <v>19</v>
      </c>
      <c r="D22" s="324"/>
      <c r="E22" s="324"/>
      <c r="F22" s="984">
        <f>'数据-取费表'!B37</f>
        <v>0.02</v>
      </c>
      <c r="G22" s="8" t="s">
        <v>2498</v>
      </c>
      <c r="H22" s="964"/>
      <c r="I22" s="964"/>
      <c r="J22" s="964"/>
      <c r="K22" s="965"/>
    </row>
    <row r="23" spans="1:33" s="971" customFormat="1" ht="13.5" customHeight="1">
      <c r="A23" s="957" t="s">
        <v>2470</v>
      </c>
      <c r="B23" s="981" t="s">
        <v>2499</v>
      </c>
      <c r="C23" s="982">
        <f ca="1">ROUND(C4*F23*F11,0)</f>
        <v>0</v>
      </c>
      <c r="D23" s="324"/>
      <c r="E23" s="324"/>
      <c r="F23" s="984">
        <f>'数据-取费表'!B38</f>
        <v>0.02</v>
      </c>
      <c r="G23" s="8" t="s">
        <v>2500</v>
      </c>
      <c r="H23" s="964"/>
      <c r="I23" s="964"/>
      <c r="J23" s="964"/>
      <c r="K23" s="965"/>
    </row>
    <row r="24" spans="1:33" s="971" customFormat="1" ht="13.5" customHeight="1">
      <c r="A24" s="957" t="s">
        <v>2501</v>
      </c>
      <c r="B24" s="981" t="s">
        <v>2502</v>
      </c>
      <c r="C24" s="323">
        <f>ROUND(F24/(1+'数据-取费表'!C42),4)</f>
        <v>2.9000000000000001E-2</v>
      </c>
      <c r="D24" s="324" t="s">
        <v>15</v>
      </c>
      <c r="E24" s="324"/>
      <c r="F24" s="984">
        <f>'数据-取费表'!B48+'数据-取费表'!B49</f>
        <v>3.0499999999999999E-2</v>
      </c>
      <c r="G24" s="8" t="s">
        <v>2503</v>
      </c>
      <c r="H24" s="986"/>
      <c r="I24" s="986"/>
      <c r="J24" s="986"/>
      <c r="K24" s="987"/>
    </row>
    <row r="25" spans="1:33" s="971" customFormat="1" ht="13.5" customHeight="1">
      <c r="A25" s="957" t="s">
        <v>2504</v>
      </c>
      <c r="B25" s="983" t="s">
        <v>2505</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2506</v>
      </c>
      <c r="C26" s="1353">
        <f ca="1">ROUND(IF('数据-取费表'!B22&lt;=1,(1+C24)*F25*'数据-取费表'!B24,(1+C24)*(POWER((1+F25),'数据-取费表'!B24)-1)),4)</f>
        <v>0</v>
      </c>
      <c r="D26" s="327"/>
      <c r="E26" s="328"/>
      <c r="F26" s="329"/>
      <c r="G26" s="2551"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2507</v>
      </c>
      <c r="C27" s="1354">
        <f ca="1">ROUND(IF('数据-取费表'!B22&lt;=1,(C21+C22+C23)*F25*'数据-取费表'!B24/2,(C21+C22+C23)*(POWER((1+F25),'数据-取费表'!B24/2)-1)),0)</f>
        <v>0</v>
      </c>
      <c r="D27" s="327"/>
      <c r="E27" s="328"/>
      <c r="F27" s="329"/>
      <c r="G27" s="2551" t="str">
        <f>IF('数据-取费表'!B22&lt;=1,"（1）-（3）项×年利率×建设期÷2","（1）-（3）项×((1+年利率)^(建设期÷2)-1)")</f>
        <v>（1）-（3）项×((1+年利率)^(建设期÷2)-1)</v>
      </c>
      <c r="H27" s="975"/>
      <c r="I27" s="975"/>
      <c r="J27" s="975"/>
      <c r="K27" s="976"/>
    </row>
    <row r="28" spans="1:33" s="332" customFormat="1" ht="13.5" customHeight="1">
      <c r="A28" s="957" t="s">
        <v>2508</v>
      </c>
      <c r="B28" s="2552" t="s">
        <v>2509</v>
      </c>
      <c r="C28" s="330">
        <f ca="1">C30</f>
        <v>177</v>
      </c>
      <c r="D28" s="323">
        <f ca="1">C29</f>
        <v>0</v>
      </c>
      <c r="E28" s="325" t="s">
        <v>15</v>
      </c>
      <c r="F28" s="331">
        <f ca="1">IF(C1="",'数据-取费表'!Q16,INDIRECT("'数据-取费表'!q"&amp;$K$1))</f>
        <v>0.18</v>
      </c>
      <c r="G28" s="985"/>
      <c r="H28" s="986"/>
      <c r="I28" s="986"/>
      <c r="J28" s="986"/>
      <c r="K28" s="987"/>
    </row>
    <row r="29" spans="1:33" s="334" customFormat="1" ht="13.5" customHeight="1">
      <c r="A29" s="967" t="s">
        <v>803</v>
      </c>
      <c r="B29" s="990" t="s">
        <v>2510</v>
      </c>
      <c r="C29" s="327">
        <f ca="1">ROUND((1+C24)*F28*'数据-取费表'!B24/'数据-取费表'!B20,4)</f>
        <v>0</v>
      </c>
      <c r="D29" s="327"/>
      <c r="E29" s="328"/>
      <c r="F29" s="333"/>
      <c r="G29" s="139" t="s">
        <v>2511</v>
      </c>
      <c r="H29" s="975"/>
      <c r="I29" s="975"/>
      <c r="J29" s="975"/>
      <c r="K29" s="976"/>
    </row>
    <row r="30" spans="1:33" s="334" customFormat="1" ht="13.5" customHeight="1">
      <c r="A30" s="967" t="s">
        <v>804</v>
      </c>
      <c r="B30" s="990" t="s">
        <v>2512</v>
      </c>
      <c r="C30" s="335">
        <f ca="1">ROUND((C21+C22+C23)*F28,0)</f>
        <v>177</v>
      </c>
      <c r="D30" s="327"/>
      <c r="E30" s="328"/>
      <c r="F30" s="333"/>
      <c r="G30" s="139"/>
      <c r="H30" s="975"/>
      <c r="I30" s="975"/>
      <c r="J30" s="975"/>
      <c r="K30" s="976"/>
    </row>
    <row r="31" spans="1:33" s="971" customFormat="1" ht="13.5" customHeight="1" thickBot="1">
      <c r="A31" s="2553" t="s">
        <v>2513</v>
      </c>
      <c r="B31" s="1001" t="s">
        <v>2514</v>
      </c>
      <c r="C31" s="1002">
        <f>ROUND(C4*F31/(1+'数据-取费表'!C42),0)</f>
        <v>0</v>
      </c>
      <c r="D31" s="1003"/>
      <c r="E31" s="1004"/>
      <c r="F31" s="1005">
        <f>'数据-取费表'!B41</f>
        <v>5.5000000000000007E-2</v>
      </c>
      <c r="G31" s="1006" t="s">
        <v>2515</v>
      </c>
      <c r="H31" s="1007"/>
      <c r="I31" s="1007"/>
      <c r="J31" s="1007"/>
      <c r="K31" s="1008"/>
    </row>
    <row r="32" spans="1:33" s="966" customFormat="1" ht="13.5" customHeight="1" thickBot="1">
      <c r="A32" s="996" t="s">
        <v>2516</v>
      </c>
      <c r="B32" s="997"/>
      <c r="C32" s="998">
        <f ca="1">ROUND((C4-C21-C22-C23-C25-C28-C31)/(1+C24+D25+D28),0)</f>
        <v>-1127</v>
      </c>
      <c r="D32" s="997"/>
      <c r="E32" s="997"/>
      <c r="F32" s="997"/>
      <c r="G32" s="999" t="s">
        <v>2517</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39" sqref="E39"/>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3504</v>
      </c>
      <c r="D1" s="1816" t="s">
        <v>70</v>
      </c>
      <c r="E1" s="1817" t="s">
        <v>1387</v>
      </c>
      <c r="F1" s="1279">
        <f ca="1">J53</f>
        <v>46.2</v>
      </c>
      <c r="G1" s="1832">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161167</v>
      </c>
      <c r="C2" s="1841" t="s">
        <v>1517</v>
      </c>
      <c r="D2" s="1841"/>
      <c r="E2" s="1842"/>
      <c r="F2" s="1843"/>
      <c r="G2" s="1844"/>
      <c r="H2" s="1836"/>
      <c r="I2" s="1836"/>
      <c r="J2" s="1836"/>
      <c r="K2" s="1837"/>
      <c r="L2" s="1836"/>
      <c r="M2" s="1836"/>
    </row>
    <row r="3" spans="1:37" ht="18" customHeight="1" thickBot="1">
      <c r="A3" s="1845" t="s">
        <v>1518</v>
      </c>
      <c r="B3" s="1846">
        <f ca="1">IF(ISERROR(B2*10000/F43),0,ROUND(B2*10000/F43,0))</f>
        <v>44088</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7215</v>
      </c>
      <c r="D5" s="1818" t="s">
        <v>1402</v>
      </c>
      <c r="E5" s="1289"/>
      <c r="F5" s="1290"/>
      <c r="G5" s="1847"/>
      <c r="H5" s="343">
        <v>1</v>
      </c>
      <c r="I5" s="344" t="s">
        <v>1401</v>
      </c>
      <c r="J5" s="1288">
        <f ca="1">J6+J10+J12</f>
        <v>0</v>
      </c>
      <c r="K5" s="1818" t="s">
        <v>1402</v>
      </c>
      <c r="L5" s="1289"/>
      <c r="M5" s="1290"/>
    </row>
    <row r="6" spans="1:37" ht="18" customHeight="1">
      <c r="A6" s="1287" t="s">
        <v>1035</v>
      </c>
      <c r="B6" s="3229" t="s">
        <v>1403</v>
      </c>
      <c r="C6" s="1292">
        <f ca="1">ROUND(F6*F8*F7*(1-F9)/10000,0)</f>
        <v>7205</v>
      </c>
      <c r="D6" s="163" t="s">
        <v>3034</v>
      </c>
      <c r="E6" s="346" t="s">
        <v>1405</v>
      </c>
      <c r="F6" s="347">
        <f ca="1">INDIRECT("'数据-取费表'!u"&amp;$G$1)</f>
        <v>6</v>
      </c>
      <c r="G6" s="1847"/>
      <c r="H6" s="1287" t="s">
        <v>1035</v>
      </c>
      <c r="I6" s="3229" t="s">
        <v>1403</v>
      </c>
      <c r="J6" s="345">
        <f ca="1">ROUND(M6*M8*M7*(1-M9)/10000,0)</f>
        <v>0</v>
      </c>
      <c r="K6" s="163" t="s">
        <v>3033</v>
      </c>
      <c r="L6" s="346" t="s">
        <v>1405</v>
      </c>
      <c r="M6" s="347">
        <f ca="1">INDIRECT("'数据-取费表'!z"&amp;$G$1)</f>
        <v>0</v>
      </c>
    </row>
    <row r="7" spans="1:37" ht="18" customHeight="1">
      <c r="A7" s="1291"/>
      <c r="B7" s="3230"/>
      <c r="C7" s="1293"/>
      <c r="D7" s="351"/>
      <c r="E7" s="1294" t="s">
        <v>1406</v>
      </c>
      <c r="F7" s="347">
        <f ca="1">IF(INDIRECT("'数据-取费表'!ah"&amp;$G$1)="",INDIRECT("'数据-取费表'!k"&amp;$G$1),INDIRECT("'数据-取费表'!ah"&amp;$G$1))</f>
        <v>36555.58</v>
      </c>
      <c r="G7" s="1847"/>
      <c r="H7" s="348"/>
      <c r="I7" s="3230"/>
      <c r="J7" s="350"/>
      <c r="K7" s="351"/>
      <c r="L7" s="346" t="s">
        <v>1406</v>
      </c>
      <c r="M7" s="347">
        <f ca="1">F7</f>
        <v>36555.58</v>
      </c>
    </row>
    <row r="8" spans="1:37" ht="18" customHeight="1">
      <c r="A8" s="348"/>
      <c r="B8" s="3230"/>
      <c r="C8" s="350"/>
      <c r="D8" s="351"/>
      <c r="E8" s="346" t="s">
        <v>1407</v>
      </c>
      <c r="F8" s="347">
        <f ca="1">INDIRECT("'数据-取费表'!ai"&amp;$G$1)</f>
        <v>365</v>
      </c>
      <c r="G8" s="1847"/>
      <c r="H8" s="348"/>
      <c r="I8" s="3230"/>
      <c r="J8" s="350"/>
      <c r="K8" s="351"/>
      <c r="L8" s="346" t="s">
        <v>1407</v>
      </c>
      <c r="M8" s="347">
        <f ca="1">INDIRECT("'数据-取费表'!ai"&amp;$G$1)</f>
        <v>365</v>
      </c>
    </row>
    <row r="9" spans="1:37" ht="18" customHeight="1">
      <c r="A9" s="348"/>
      <c r="B9" s="3231"/>
      <c r="C9" s="350"/>
      <c r="D9" s="351"/>
      <c r="E9" s="346" t="s">
        <v>1408</v>
      </c>
      <c r="F9" s="356">
        <f ca="1">INDIRECT("'数据-取费表'!w"&amp;$G$1)</f>
        <v>0.1</v>
      </c>
      <c r="G9" s="1847"/>
      <c r="H9" s="348"/>
      <c r="I9" s="3231"/>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10</v>
      </c>
      <c r="D10" s="1820" t="s">
        <v>3035</v>
      </c>
      <c r="E10" s="357" t="s">
        <v>1411</v>
      </c>
      <c r="F10" s="1362" t="s">
        <v>3569</v>
      </c>
      <c r="G10" s="1847"/>
      <c r="H10" s="1287" t="s">
        <v>1039</v>
      </c>
      <c r="I10" s="1819" t="s">
        <v>1409</v>
      </c>
      <c r="J10" s="345">
        <f ca="1">ROUND(IF(M10="押一",M6*M8*M7/12*M11,IF(M10="押二",M6*M8*M7/12*2*M11,IF(M10="押三",M6*M8*M7/12*3*M11,J11*M11)))/10000,0)</f>
        <v>0</v>
      </c>
      <c r="K10" s="1820" t="s">
        <v>3036</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22076</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14622</v>
      </c>
      <c r="D14" s="1796" t="s">
        <v>1419</v>
      </c>
      <c r="E14" s="1790"/>
      <c r="F14" s="363"/>
      <c r="G14" s="1847"/>
      <c r="H14" s="1197" t="s">
        <v>1035</v>
      </c>
      <c r="I14" s="346" t="s">
        <v>1420</v>
      </c>
      <c r="J14" s="23">
        <f ca="1">C29</f>
        <v>22527</v>
      </c>
      <c r="K14" s="14"/>
      <c r="L14" s="975"/>
      <c r="M14" s="976"/>
    </row>
    <row r="15" spans="1:37" s="1854" customFormat="1" ht="18" customHeight="1" thickBot="1">
      <c r="A15" s="1197" t="s">
        <v>1036</v>
      </c>
      <c r="B15" s="346" t="s">
        <v>1421</v>
      </c>
      <c r="C15" s="23">
        <f ca="1">ROUND(C14*F15,0)</f>
        <v>439</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641</v>
      </c>
      <c r="K16" s="1333" t="s">
        <v>1426</v>
      </c>
      <c r="L16" s="1334"/>
      <c r="M16" s="1290"/>
    </row>
    <row r="17" spans="1:37" s="1854" customFormat="1" ht="18" customHeight="1">
      <c r="A17" s="1197" t="s">
        <v>1390</v>
      </c>
      <c r="B17" s="346" t="s">
        <v>1427</v>
      </c>
      <c r="C17" s="23">
        <f ca="1">ROUND(F17*(F43+INDIRECT("'数据-取费表'!S"&amp;$G$1))/10000,0)</f>
        <v>731</v>
      </c>
      <c r="D17" s="346" t="s">
        <v>1428</v>
      </c>
      <c r="E17" s="346" t="s">
        <v>1429</v>
      </c>
      <c r="F17" s="25">
        <f>'数据-取费表'!B35</f>
        <v>200</v>
      </c>
      <c r="G17" s="1850"/>
      <c r="H17" s="1197" t="s">
        <v>1035</v>
      </c>
      <c r="I17" s="346" t="s">
        <v>1430</v>
      </c>
      <c r="J17" s="23">
        <f ca="1">ROUND(IF(项目基本情况!B11="自然人",J5*M17,J18+J19+J20),1)</f>
        <v>190.3</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219</v>
      </c>
      <c r="D18" s="346" t="s">
        <v>1422</v>
      </c>
      <c r="E18" s="346" t="s">
        <v>1423</v>
      </c>
      <c r="F18" s="366">
        <f>'数据-取费表'!B36</f>
        <v>1.4999999999999999E-2</v>
      </c>
      <c r="G18" s="1850"/>
      <c r="H18" s="1197" t="s">
        <v>1034</v>
      </c>
      <c r="I18" s="346" t="s">
        <v>1434</v>
      </c>
      <c r="J18" s="23">
        <f ca="1">ROUND(J5*M18/(1+'数据-取费表'!C42),2)</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16011</v>
      </c>
      <c r="D19" s="139" t="s">
        <v>1437</v>
      </c>
      <c r="E19" s="1814"/>
      <c r="F19" s="25"/>
      <c r="G19" s="1847"/>
      <c r="H19" s="1197" t="s">
        <v>1036</v>
      </c>
      <c r="I19" s="346" t="s">
        <v>1438</v>
      </c>
      <c r="J19" s="23">
        <f ca="1">IF(K19="按租金收入计税",ROUND(J5*M19,2),ROUND(C29*M19*0.7,2))</f>
        <v>189.23</v>
      </c>
      <c r="K19" s="1824" t="s">
        <v>1439</v>
      </c>
      <c r="L19" s="346" t="s">
        <v>1423</v>
      </c>
      <c r="M19" s="366">
        <f>IF(K19="按租金收入计税",'数据-取费表'!B51,'数据-取费表'!B50)</f>
        <v>1.2E-2</v>
      </c>
    </row>
    <row r="20" spans="1:37" s="1854" customFormat="1" ht="18" customHeight="1">
      <c r="A20" s="1197" t="s">
        <v>1039</v>
      </c>
      <c r="B20" s="346" t="s">
        <v>1440</v>
      </c>
      <c r="C20" s="23">
        <f ca="1">ROUND(C19*F20,0)</f>
        <v>320</v>
      </c>
      <c r="D20" s="368" t="s">
        <v>1441</v>
      </c>
      <c r="E20" s="346" t="s">
        <v>1423</v>
      </c>
      <c r="F20" s="366">
        <f>'数据-取费表'!B37</f>
        <v>0.02</v>
      </c>
      <c r="G20" s="1850"/>
      <c r="H20" s="1197" t="s">
        <v>1389</v>
      </c>
      <c r="I20" s="163" t="s">
        <v>1442</v>
      </c>
      <c r="J20" s="24">
        <f ca="1">ROUND(M20*M21/10000,2)</f>
        <v>1.0900000000000001</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7298.09</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ROUND(J14*M22,1)</f>
        <v>450.5</v>
      </c>
      <c r="K22" s="179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1177</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1794" t="s">
        <v>1455</v>
      </c>
      <c r="L23" s="346" t="s">
        <v>1456</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ROUND(J5*M24,1)</f>
        <v>0</v>
      </c>
      <c r="K24" s="1338" t="s">
        <v>1460</v>
      </c>
      <c r="L24" s="1336" t="s">
        <v>1456</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1814"/>
      <c r="F25" s="25"/>
      <c r="G25" s="1847"/>
      <c r="H25" s="1325" t="s">
        <v>1031</v>
      </c>
      <c r="I25" s="1340" t="s">
        <v>1464</v>
      </c>
      <c r="J25" s="354">
        <f ca="1">J5-J16</f>
        <v>-641</v>
      </c>
      <c r="K25" s="1341" t="s">
        <v>1465</v>
      </c>
      <c r="L25" s="1342"/>
      <c r="M25" s="1343"/>
    </row>
    <row r="26" spans="1:37">
      <c r="A26" s="1197" t="s">
        <v>1034</v>
      </c>
      <c r="B26" s="346" t="s">
        <v>1466</v>
      </c>
      <c r="C26" s="23">
        <f ca="1">ROUND((C19+C20)*F26,0)</f>
        <v>3266</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5.5E-2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22527</v>
      </c>
      <c r="D29" s="1338"/>
      <c r="E29" s="1336"/>
      <c r="F29" s="1339"/>
      <c r="G29" s="1850"/>
      <c r="H29" s="379" t="s">
        <v>1033</v>
      </c>
      <c r="I29" s="380" t="s">
        <v>1480</v>
      </c>
      <c r="J29" s="381">
        <f ca="1">ROUND(J26/(1+F40)^F41,0)</f>
        <v>0</v>
      </c>
      <c r="K29" s="382" t="s">
        <v>1481</v>
      </c>
      <c r="L29" s="383"/>
      <c r="M29" s="384">
        <f ca="1">INDIRECT("'数据-取费表'!k"&amp;$G$1)</f>
        <v>36555.58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1207</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ROUND(IF(项目基本情况!B11="自然人",C5*F31,C32+C33+C34),1)</f>
        <v>568.29999999999995</v>
      </c>
      <c r="D31" s="1796" t="s">
        <v>1431</v>
      </c>
      <c r="E31" s="179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377.93</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189.23</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1.0900000000000001</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7298.09</v>
      </c>
      <c r="G35" s="1847"/>
      <c r="H35" s="744"/>
      <c r="I35" s="1856"/>
      <c r="J35" s="1857"/>
      <c r="K35" s="1858"/>
      <c r="L35" s="1855"/>
      <c r="M35" s="1855"/>
    </row>
    <row r="36" spans="1:18" ht="18" customHeight="1">
      <c r="A36" s="1348" t="s">
        <v>1039</v>
      </c>
      <c r="B36" s="346" t="s">
        <v>1450</v>
      </c>
      <c r="C36" s="23">
        <f ca="1">ROUND(C29*F36,1)</f>
        <v>450.5</v>
      </c>
      <c r="D36" s="179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44.2</v>
      </c>
      <c r="D37" s="1794" t="s">
        <v>1455</v>
      </c>
      <c r="E37" s="346" t="s">
        <v>1456</v>
      </c>
      <c r="F37" s="375">
        <f ca="1">INDIRECT("'数据-取费表'!Al"&amp;$G$1)</f>
        <v>2E-3</v>
      </c>
      <c r="G37" s="1847"/>
      <c r="H37" s="1855"/>
      <c r="I37" s="1856"/>
      <c r="J37" s="1857"/>
      <c r="K37" s="750"/>
      <c r="L37" s="1855"/>
      <c r="M37" s="1855"/>
    </row>
    <row r="38" spans="1:18" ht="18" customHeight="1" thickBot="1">
      <c r="A38" s="1335" t="s">
        <v>1393</v>
      </c>
      <c r="B38" s="1336" t="s">
        <v>1440</v>
      </c>
      <c r="C38" s="1337">
        <f ca="1">ROUND(C5*F38,1)</f>
        <v>144.30000000000001</v>
      </c>
      <c r="D38" s="1338" t="s">
        <v>1460</v>
      </c>
      <c r="E38" s="1336" t="s">
        <v>1456</v>
      </c>
      <c r="F38" s="1332">
        <f ca="1">INDIRECT("'数据-取费表'!Am"&amp;$G$1)</f>
        <v>0.02</v>
      </c>
      <c r="G38" s="1847"/>
      <c r="H38" s="1855"/>
      <c r="I38" s="1856"/>
      <c r="J38" s="1857"/>
      <c r="K38" s="1861"/>
      <c r="L38" s="1855"/>
      <c r="M38" s="1855"/>
    </row>
    <row r="39" spans="1:18" ht="24.6" customHeight="1" thickTop="1">
      <c r="A39" s="1325" t="s">
        <v>1031</v>
      </c>
      <c r="B39" s="1340" t="s">
        <v>1484</v>
      </c>
      <c r="C39" s="354">
        <f ca="1">C5-C30</f>
        <v>6008</v>
      </c>
      <c r="D39" s="1341" t="s">
        <v>1485</v>
      </c>
      <c r="E39" s="1342"/>
      <c r="F39" s="1343"/>
      <c r="G39" s="1847"/>
      <c r="H39" s="1855"/>
      <c r="I39" s="1856"/>
      <c r="J39" s="1857"/>
      <c r="K39" s="1861"/>
      <c r="L39" s="1855"/>
      <c r="M39" s="1855"/>
    </row>
    <row r="40" spans="1:18" ht="18" customHeight="1">
      <c r="A40" s="343" t="s">
        <v>1032</v>
      </c>
      <c r="B40" s="344" t="s">
        <v>1486</v>
      </c>
      <c r="C40" s="345">
        <f ca="1">ROUND(C39*(1-((1+F42)/(1+F40))^F41)/(F40-F42),0)</f>
        <v>160959</v>
      </c>
      <c r="D40" s="369" t="s">
        <v>1470</v>
      </c>
      <c r="E40" s="346" t="s">
        <v>1471</v>
      </c>
      <c r="F40" s="356">
        <f ca="1">INDIRECT("'数据-取费表'!I"&amp;$G$1)</f>
        <v>5.5E-2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44031</v>
      </c>
      <c r="D43" s="382" t="s">
        <v>1489</v>
      </c>
      <c r="E43" s="383" t="s">
        <v>1490</v>
      </c>
      <c r="F43" s="384">
        <f ca="1">INDIRECT("'数据-取费表'!k"&amp;$G$1)</f>
        <v>36555.58</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-172364</v>
      </c>
      <c r="D46" s="1868" t="str">
        <f>C2</f>
        <v>万元</v>
      </c>
      <c r="E46" s="1862"/>
      <c r="F46" s="1862"/>
      <c r="I46" s="1869" t="s">
        <v>1522</v>
      </c>
      <c r="J46" s="1870"/>
      <c r="K46" s="1871"/>
      <c r="L46" s="1872">
        <f ca="1">IF(M47="住宅",0,IF(L48&gt;J51,L60,J60))</f>
        <v>208</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50</v>
      </c>
      <c r="M47" s="1834" t="str">
        <f>IF(ISNUMBER(FIND("住宅",C1)),"住宅","非住宅")</f>
        <v>非住宅</v>
      </c>
      <c r="O47" s="1880" t="s">
        <v>1040</v>
      </c>
      <c r="P47" s="1881" t="s">
        <v>1529</v>
      </c>
      <c r="Q47" s="1882">
        <f ca="1">C40+J29</f>
        <v>160959</v>
      </c>
      <c r="R47" s="1882" t="s">
        <v>1530</v>
      </c>
    </row>
    <row r="48" spans="1:18" s="1838" customFormat="1" ht="28.5" thickBot="1">
      <c r="A48" s="1356" t="s">
        <v>1135</v>
      </c>
      <c r="B48" s="344" t="s">
        <v>1401</v>
      </c>
      <c r="C48" s="1813">
        <f ca="1">C49+C53+C55</f>
        <v>0</v>
      </c>
      <c r="D48" s="1358"/>
      <c r="E48" s="1359"/>
      <c r="F48" s="1177"/>
      <c r="G48" s="791"/>
      <c r="H48" s="792"/>
      <c r="I48" s="1883" t="s">
        <v>1531</v>
      </c>
      <c r="J48" s="1884" t="s">
        <v>3570</v>
      </c>
      <c r="K48" s="1885" t="s">
        <v>1532</v>
      </c>
      <c r="L48" s="1886">
        <f ca="1">INDIRECT("'数据-取费表'!f"&amp;$G$1)</f>
        <v>46.2</v>
      </c>
      <c r="O48" s="1880" t="s">
        <v>1041</v>
      </c>
      <c r="P48" s="1881" t="s">
        <v>1533</v>
      </c>
      <c r="Q48" s="1882">
        <f ca="1">J60</f>
        <v>208</v>
      </c>
      <c r="R48" s="1882" t="s">
        <v>1534</v>
      </c>
    </row>
    <row r="49" spans="1:18" s="1838" customFormat="1" ht="13.5" thickBot="1">
      <c r="A49" s="1190" t="s">
        <v>1136</v>
      </c>
      <c r="B49" s="1825" t="s">
        <v>1491</v>
      </c>
      <c r="C49" s="1360">
        <f ca="1">ROUND(F49*F51*F50*(1-F52)/10000,0)</f>
        <v>0</v>
      </c>
      <c r="D49" s="1272" t="s">
        <v>3037</v>
      </c>
      <c r="E49" s="1826" t="s">
        <v>1492</v>
      </c>
      <c r="F49" s="1277"/>
      <c r="G49" s="1887"/>
      <c r="H49" s="792"/>
      <c r="I49" s="1883" t="s">
        <v>1535</v>
      </c>
      <c r="J49" s="3015">
        <v>2018</v>
      </c>
      <c r="K49" s="1885" t="s">
        <v>1536</v>
      </c>
      <c r="L49" s="1889"/>
      <c r="O49" s="1890" t="s">
        <v>1042</v>
      </c>
      <c r="P49" s="1881" t="s">
        <v>1537</v>
      </c>
      <c r="Q49" s="1882">
        <f ca="1">C29</f>
        <v>22527</v>
      </c>
      <c r="R49" s="1882" t="s">
        <v>1530</v>
      </c>
    </row>
    <row r="50" spans="1:18" s="1838" customFormat="1" ht="13.5" thickBot="1">
      <c r="A50" s="1191"/>
      <c r="B50" s="1194"/>
      <c r="C50" s="1364"/>
      <c r="D50" s="1168"/>
      <c r="E50" s="1273" t="s">
        <v>1406</v>
      </c>
      <c r="F50" s="1274">
        <f ca="1">F7</f>
        <v>36555.58</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73957</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3035</v>
      </c>
      <c r="E53" s="357" t="s">
        <v>1411</v>
      </c>
      <c r="F53" s="1362"/>
      <c r="I53" s="1901" t="s">
        <v>1548</v>
      </c>
      <c r="J53" s="1902">
        <f ca="1">IF(M47="住宅",J51,IF(D1="——",MIN(J51,L48),IF(D1="在建（套用方法）",MIN(J51,L48-'数据-取费表'!B24),IF(D1="土地（套用方法）",MIN(J51,L48-'数据-取费表'!B20)))))</f>
        <v>46.2</v>
      </c>
      <c r="K53" s="3227" t="s">
        <v>1549</v>
      </c>
      <c r="L53" s="3228"/>
      <c r="O53" s="1880" t="s">
        <v>1046</v>
      </c>
      <c r="P53" s="1881" t="s">
        <v>1550</v>
      </c>
      <c r="Q53" s="1882">
        <f ca="1">Q47+Q48</f>
        <v>161167</v>
      </c>
      <c r="R53" s="1882" t="s">
        <v>1047</v>
      </c>
    </row>
    <row r="54" spans="1:18" s="1838" customFormat="1" ht="13.5" thickBot="1">
      <c r="A54" s="1402"/>
      <c r="B54" s="1821" t="s">
        <v>1388</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f ca="1">ROUND(IF(J47="钢混",J57/J50,1-(1-2%)*(J50-J57)/J50),3)</f>
        <v>0.23</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22076</v>
      </c>
      <c r="D56" s="1910"/>
      <c r="E56" s="1911"/>
      <c r="F56" s="1903"/>
      <c r="I56" s="1912" t="s">
        <v>1554</v>
      </c>
      <c r="J56" s="1913" t="s">
        <v>3571</v>
      </c>
      <c r="K56" s="1883" t="s">
        <v>1555</v>
      </c>
      <c r="L56" s="1886" t="str">
        <f ca="1">IF(L48&lt;J51,"——",L48-J53)</f>
        <v>——</v>
      </c>
      <c r="O56" s="1880" t="s">
        <v>1040</v>
      </c>
      <c r="P56" s="1881" t="s">
        <v>1529</v>
      </c>
      <c r="Q56" s="1882">
        <f ca="1">C40+J29</f>
        <v>160959</v>
      </c>
      <c r="R56" s="1882" t="s">
        <v>1530</v>
      </c>
    </row>
    <row r="57" spans="1:18" s="1838" customFormat="1" ht="24.75" thickBot="1">
      <c r="A57" s="1914"/>
      <c r="B57" s="1165" t="s">
        <v>1479</v>
      </c>
      <c r="C57" s="281">
        <f ca="1">C29</f>
        <v>22527</v>
      </c>
      <c r="D57" s="1915"/>
      <c r="E57" s="1916"/>
      <c r="F57" s="1917"/>
      <c r="I57" s="1918" t="s">
        <v>1556</v>
      </c>
      <c r="J57" s="1919">
        <f ca="1">IF(OR(M47="住宅",J51&lt;L48,J56="是"),"——",J51-L48)</f>
        <v>13.799999999999997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685</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190.3</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9011</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208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IF(项目基本情况!B11="自然人","——",IF(D61="按租金收入计税",ROUND(C48*F61,2),IF(D61="按房产原值计税",ROUND(C57*F61*0.7,2),INDIRECT("'数据-取费表'!Aj"&amp;$G$1))))</f>
        <v>189.23</v>
      </c>
      <c r="D61" s="1824" t="s">
        <v>1439</v>
      </c>
      <c r="E61" s="1165" t="s">
        <v>1495</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1497</v>
      </c>
      <c r="C62" s="24">
        <f ca="1">IF(项目基本情况!B11="自然人","——",ROUND(F62*F63/10000,2))</f>
        <v>1.0900000000000001</v>
      </c>
      <c r="D62" s="1180" t="s">
        <v>1498</v>
      </c>
      <c r="E62" s="1165" t="s">
        <v>1499</v>
      </c>
      <c r="F62" s="370">
        <f t="shared" si="0"/>
        <v>1.5</v>
      </c>
      <c r="I62" s="1925" t="s">
        <v>1570</v>
      </c>
      <c r="J62" s="1926" t="s">
        <v>1571</v>
      </c>
      <c r="K62" s="1926" t="s">
        <v>1572</v>
      </c>
      <c r="L62" s="1926" t="s">
        <v>1573</v>
      </c>
      <c r="M62" s="1927" t="s">
        <v>1574</v>
      </c>
      <c r="O62" s="1880" t="s">
        <v>1046</v>
      </c>
      <c r="P62" s="1881" t="s">
        <v>1575</v>
      </c>
      <c r="Q62" s="1882">
        <f ca="1">Q56+Q57</f>
        <v>160959</v>
      </c>
      <c r="R62" s="1882" t="s">
        <v>1047</v>
      </c>
    </row>
    <row r="63" spans="1:18" s="1838" customFormat="1" ht="13.5" thickBot="1">
      <c r="A63" s="371"/>
      <c r="B63" s="1171"/>
      <c r="C63" s="28"/>
      <c r="D63" s="1181"/>
      <c r="E63" s="1165" t="s">
        <v>1500</v>
      </c>
      <c r="F63" s="347">
        <f t="shared" ca="1" si="0"/>
        <v>7298.09</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ROUND(C57*F64,1)</f>
        <v>450.5</v>
      </c>
      <c r="D64" s="1179" t="s">
        <v>1503</v>
      </c>
      <c r="E64" s="1165" t="s">
        <v>1495</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44.2</v>
      </c>
      <c r="D65" s="1179" t="s">
        <v>1455</v>
      </c>
      <c r="E65" s="1165" t="s">
        <v>1456</v>
      </c>
      <c r="F65" s="375">
        <f t="shared" ca="1" si="0"/>
        <v>2E-3</v>
      </c>
      <c r="I65" s="1925" t="s">
        <v>1579</v>
      </c>
      <c r="J65" s="1926">
        <v>40</v>
      </c>
      <c r="K65" s="1926">
        <v>30</v>
      </c>
      <c r="L65" s="1926">
        <v>50</v>
      </c>
      <c r="M65" s="1928">
        <v>0.02</v>
      </c>
      <c r="O65" s="1880" t="s">
        <v>1040</v>
      </c>
      <c r="P65" s="1881" t="s">
        <v>1580</v>
      </c>
      <c r="Q65" s="1882">
        <f ca="1">C40+J29</f>
        <v>160959</v>
      </c>
      <c r="R65" s="1882" t="s">
        <v>1530</v>
      </c>
    </row>
    <row r="66" spans="1:18" s="1838" customFormat="1" ht="16.5" thickBot="1">
      <c r="A66" s="1197" t="s">
        <v>1505</v>
      </c>
      <c r="B66" s="1165" t="s">
        <v>1440</v>
      </c>
      <c r="C66" s="23">
        <f ca="1">ROUND(C48*F66,1)</f>
        <v>0</v>
      </c>
      <c r="D66" s="1179" t="s">
        <v>1506</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-685</v>
      </c>
      <c r="D67" s="1178" t="s">
        <v>1465</v>
      </c>
      <c r="E67" s="1183"/>
      <c r="F67" s="1184"/>
      <c r="O67" s="1890" t="s">
        <v>1042</v>
      </c>
      <c r="P67" s="1881" t="s">
        <v>1562</v>
      </c>
      <c r="Q67" s="1929">
        <f ca="1">L51</f>
        <v>73957</v>
      </c>
      <c r="R67" s="1882" t="s">
        <v>1582</v>
      </c>
    </row>
    <row r="68" spans="1:18" s="1838" customFormat="1" ht="16.5" thickBot="1">
      <c r="A68" s="1162" t="s">
        <v>1032</v>
      </c>
      <c r="B68" s="1163" t="s">
        <v>1486</v>
      </c>
      <c r="C68" s="345">
        <f ca="1">ROUND(C67*(1-((1+F70)/(1+F68))^F69)/(F68-F70),0)</f>
        <v>-11405</v>
      </c>
      <c r="D68" s="1180" t="s">
        <v>1470</v>
      </c>
      <c r="E68" s="1165" t="s">
        <v>1471</v>
      </c>
      <c r="F68" s="356">
        <f ca="1">F40</f>
        <v>5.5E-2</v>
      </c>
      <c r="O68" s="1890" t="s">
        <v>1043</v>
      </c>
      <c r="P68" s="1930" t="s">
        <v>1583</v>
      </c>
      <c r="Q68" s="1882">
        <f ca="1">ROUND(Q69-Q70*Q71,0)</f>
        <v>4132</v>
      </c>
      <c r="R68" s="1882" t="s">
        <v>1051</v>
      </c>
    </row>
    <row r="69" spans="1:18" s="1838" customFormat="1" ht="13.5" thickBot="1">
      <c r="A69" s="1166"/>
      <c r="B69" s="1167"/>
      <c r="C69" s="350"/>
      <c r="D69" s="1185" t="s">
        <v>1474</v>
      </c>
      <c r="E69" s="1165" t="s">
        <v>1475</v>
      </c>
      <c r="F69" s="378">
        <f ca="1">F41</f>
        <v>46.2</v>
      </c>
      <c r="O69" s="1890" t="s">
        <v>1048</v>
      </c>
      <c r="P69" s="1930" t="s">
        <v>1584</v>
      </c>
      <c r="Q69" s="1882">
        <f ca="1">C39</f>
        <v>6008</v>
      </c>
      <c r="R69" s="1882" t="s">
        <v>1530</v>
      </c>
    </row>
    <row r="70" spans="1:18" s="1838" customFormat="1" ht="13.5" thickBot="1">
      <c r="A70" s="1169"/>
      <c r="B70" s="1170"/>
      <c r="C70" s="354"/>
      <c r="D70" s="1181"/>
      <c r="E70" s="1165" t="s">
        <v>1478</v>
      </c>
      <c r="F70" s="1271"/>
      <c r="O70" s="1890" t="s">
        <v>1049</v>
      </c>
      <c r="P70" s="1930" t="s">
        <v>1585</v>
      </c>
      <c r="Q70" s="1882">
        <f ca="1">C13</f>
        <v>22076</v>
      </c>
      <c r="R70" s="1882" t="s">
        <v>1530</v>
      </c>
    </row>
    <row r="71" spans="1:18" s="1838" customFormat="1" ht="13.5" thickBot="1">
      <c r="A71" s="1186" t="s">
        <v>1033</v>
      </c>
      <c r="B71" s="1187" t="s">
        <v>1488</v>
      </c>
      <c r="C71" s="381">
        <f ca="1">ROUND(C68*10000/F71,0)</f>
        <v>-3120</v>
      </c>
      <c r="D71" s="1188" t="s">
        <v>1489</v>
      </c>
      <c r="E71" s="1189" t="s">
        <v>1490</v>
      </c>
      <c r="F71" s="384">
        <f ca="1">F43</f>
        <v>36555.58</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1876</v>
      </c>
      <c r="D75" s="1838"/>
      <c r="E75" s="1838"/>
      <c r="F75" s="1838"/>
      <c r="K75" s="1864"/>
      <c r="L75" s="1838"/>
      <c r="O75" s="1880" t="s">
        <v>1046</v>
      </c>
      <c r="P75" s="1881" t="s">
        <v>1550</v>
      </c>
      <c r="Q75" s="1882">
        <f ca="1">Q65+Q66</f>
        <v>160959</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0.68799999999999994</v>
      </c>
    </row>
    <row r="80" spans="1:18">
      <c r="B80" s="385" t="s">
        <v>1512</v>
      </c>
      <c r="C80" s="317">
        <f ca="1">ROUND(C75/C39,3)</f>
        <v>0.312</v>
      </c>
    </row>
    <row r="81" spans="2:3">
      <c r="B81" s="313" t="s">
        <v>1513</v>
      </c>
      <c r="C81" s="281"/>
    </row>
    <row r="82" spans="2:3">
      <c r="B82" s="316" t="s">
        <v>1514</v>
      </c>
      <c r="C82" s="318">
        <f ca="1">1-C83</f>
        <v>0.86299999999999999</v>
      </c>
    </row>
    <row r="83" spans="2:3">
      <c r="B83" s="316" t="s">
        <v>1515</v>
      </c>
      <c r="C83" s="317">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3" priority="56">
      <formula>$L$48&gt;$J$51</formula>
    </cfRule>
  </conditionalFormatting>
  <conditionalFormatting sqref="I55 I60">
    <cfRule type="expression" dxfId="162" priority="57">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D128" sqref="D12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2685</v>
      </c>
      <c r="C1" s="1616" t="s">
        <v>2529</v>
      </c>
      <c r="D1" s="1617" t="s">
        <v>3504</v>
      </c>
      <c r="E1" s="1626"/>
      <c r="F1" s="2577" t="s">
        <v>3505</v>
      </c>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f>IF(C2="——",ROUND(C50*D3/10000,0),ROUND(C50*D3/10000,0)-D2)</f>
        <v>22</v>
      </c>
      <c r="C2" s="2579" t="s">
        <v>70</v>
      </c>
      <c r="D2" s="1361"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f>IF(C2="——",C50,ROUND(B2*10000/D3,0))</f>
        <v>6</v>
      </c>
      <c r="C3" s="399" t="s">
        <v>2643</v>
      </c>
      <c r="D3" s="398">
        <f>IF(D1="",'数据-汇总表'!E3,SUMIF('数据-汇总表'!$C19:$C33,D1,'数据-汇总表'!$E19:$E33))</f>
        <v>36555.58</v>
      </c>
      <c r="E3" s="2656"/>
      <c r="F3" s="1122"/>
      <c r="G3" s="1121"/>
      <c r="H3" s="1121"/>
      <c r="I3" s="1121"/>
      <c r="J3" s="1121"/>
      <c r="K3" s="1123"/>
      <c r="L3" s="1124"/>
      <c r="M3" s="1125"/>
      <c r="N3" s="1125"/>
      <c r="O3" s="1125"/>
      <c r="P3" s="767"/>
      <c r="Q3" s="767"/>
      <c r="R3" s="767"/>
      <c r="S3" s="767"/>
      <c r="T3" s="767"/>
      <c r="U3" s="767"/>
      <c r="V3" s="767"/>
      <c r="W3" s="767"/>
      <c r="X3" s="767"/>
      <c r="Y3" s="767"/>
      <c r="Z3" s="767"/>
      <c r="AA3" s="767"/>
      <c r="AB3" s="767"/>
      <c r="AC3" s="768"/>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58" t="s">
        <v>2650</v>
      </c>
      <c r="Q4" s="3259"/>
      <c r="R4" s="3237" t="s">
        <v>2646</v>
      </c>
      <c r="S4" s="3238"/>
      <c r="T4" s="3237" t="s">
        <v>2647</v>
      </c>
      <c r="U4" s="3238"/>
      <c r="V4" s="3266" t="s">
        <v>2648</v>
      </c>
      <c r="W4" s="3266"/>
      <c r="X4" s="2663"/>
      <c r="Y4" s="3237" t="s">
        <v>2650</v>
      </c>
      <c r="Z4" s="3238"/>
      <c r="AA4" s="3232" t="s">
        <v>2646</v>
      </c>
      <c r="AB4" s="3232" t="s">
        <v>2647</v>
      </c>
      <c r="AC4" s="3251" t="s">
        <v>2648</v>
      </c>
    </row>
    <row r="5" spans="1:29" ht="15">
      <c r="A5" s="403"/>
      <c r="B5" s="404"/>
      <c r="C5" s="3243" t="s">
        <v>2541</v>
      </c>
      <c r="D5" s="3244"/>
      <c r="E5" s="3241" t="s">
        <v>3506</v>
      </c>
      <c r="F5" s="3242"/>
      <c r="G5" s="3247" t="s">
        <v>3555</v>
      </c>
      <c r="H5" s="3244"/>
      <c r="I5" s="3247" t="s">
        <v>3556</v>
      </c>
      <c r="J5" s="3244"/>
      <c r="K5" s="609"/>
      <c r="L5" s="1126"/>
      <c r="M5" s="1127"/>
      <c r="N5" s="1127"/>
      <c r="O5" s="1127"/>
      <c r="P5" s="3260"/>
      <c r="Q5" s="3261"/>
      <c r="R5" s="3239"/>
      <c r="S5" s="3240"/>
      <c r="T5" s="3239"/>
      <c r="U5" s="3240"/>
      <c r="V5" s="3267"/>
      <c r="W5" s="3267"/>
      <c r="X5" s="1809"/>
      <c r="Y5" s="3239"/>
      <c r="Z5" s="3240"/>
      <c r="AA5" s="3233"/>
      <c r="AB5" s="3233"/>
      <c r="AC5" s="3252"/>
    </row>
    <row r="6" spans="1:29" ht="15.75" thickBot="1">
      <c r="A6" s="405"/>
      <c r="B6" s="406"/>
      <c r="C6" s="3245" t="s">
        <v>2545</v>
      </c>
      <c r="D6" s="3246"/>
      <c r="E6" s="3248" t="s">
        <v>2545</v>
      </c>
      <c r="F6" s="3249"/>
      <c r="G6" s="3245" t="s">
        <v>2545</v>
      </c>
      <c r="H6" s="3246"/>
      <c r="I6" s="3245" t="s">
        <v>2545</v>
      </c>
      <c r="J6" s="3246"/>
      <c r="K6" s="609" t="s">
        <v>2546</v>
      </c>
      <c r="L6" s="1126"/>
      <c r="M6" s="1127"/>
      <c r="N6" s="1127"/>
      <c r="O6" s="1127"/>
      <c r="P6" s="3262"/>
      <c r="Q6" s="3263"/>
      <c r="R6" s="3239"/>
      <c r="S6" s="3240"/>
      <c r="T6" s="3264"/>
      <c r="U6" s="3265"/>
      <c r="V6" s="3267"/>
      <c r="W6" s="3267"/>
      <c r="X6" s="1809"/>
      <c r="Y6" s="3264"/>
      <c r="Z6" s="3265"/>
      <c r="AA6" s="3234"/>
      <c r="AB6" s="3234"/>
      <c r="AC6" s="3253"/>
    </row>
    <row r="7" spans="1:29" s="116" customFormat="1" ht="15.75" thickBot="1">
      <c r="A7" s="407" t="s">
        <v>2547</v>
      </c>
      <c r="B7" s="408"/>
      <c r="C7" s="409">
        <f>'数据-取费表'!B2</f>
        <v>43182</v>
      </c>
      <c r="D7" s="410">
        <v>100</v>
      </c>
      <c r="E7" s="3006">
        <f>C7</f>
        <v>43182</v>
      </c>
      <c r="F7" s="412">
        <f>SUMIF(59:59,YEAR(E7)&amp;"-"&amp;MONTH(E7),60:60)</f>
        <v>100</v>
      </c>
      <c r="G7" s="3006">
        <f>C7</f>
        <v>43182</v>
      </c>
      <c r="H7" s="410">
        <f>SUMIF(59:59,YEAR(G7)&amp;"-"&amp;MONTH(G7),60:60)</f>
        <v>100</v>
      </c>
      <c r="I7" s="3006">
        <f>C7</f>
        <v>43182</v>
      </c>
      <c r="J7" s="410">
        <f>SUMIF(59:59,YEAR(I7)&amp;"-"&amp;MONTH(I7),60:60)</f>
        <v>100</v>
      </c>
      <c r="K7" s="610"/>
      <c r="L7" s="1128"/>
      <c r="M7" s="1129"/>
      <c r="N7" s="1129"/>
      <c r="O7" s="1129"/>
      <c r="P7" s="3268" t="s">
        <v>2548</v>
      </c>
      <c r="Q7" s="3269"/>
      <c r="R7" s="769" t="s">
        <v>17</v>
      </c>
      <c r="S7" s="770">
        <f t="shared" ref="S7:S15" si="0">F7</f>
        <v>100</v>
      </c>
      <c r="T7" s="769" t="s">
        <v>17</v>
      </c>
      <c r="U7" s="770">
        <f t="shared" ref="U7:U15" si="1">H7</f>
        <v>100</v>
      </c>
      <c r="V7" s="769" t="s">
        <v>17</v>
      </c>
      <c r="W7" s="770">
        <f t="shared" ref="W7:W15" si="2">J7</f>
        <v>100</v>
      </c>
      <c r="X7" s="771"/>
      <c r="Y7" s="3235" t="s">
        <v>2548</v>
      </c>
      <c r="Z7" s="3236"/>
      <c r="AA7" s="772">
        <f>D7/F7</f>
        <v>1</v>
      </c>
      <c r="AB7" s="772">
        <f>D7/H7</f>
        <v>1</v>
      </c>
      <c r="AC7" s="2664">
        <f>D7/J7</f>
        <v>1</v>
      </c>
    </row>
    <row r="8" spans="1:29" s="116" customFormat="1" ht="15.75" thickBot="1">
      <c r="A8" s="407" t="s">
        <v>2549</v>
      </c>
      <c r="B8" s="408"/>
      <c r="C8" s="413" t="s">
        <v>2651</v>
      </c>
      <c r="D8" s="410">
        <v>100</v>
      </c>
      <c r="E8" s="413" t="s">
        <v>2586</v>
      </c>
      <c r="F8" s="412">
        <f>SUMIF(62:62,E8,63:63)-SUMIF(62:62,C8,63:63)+100</f>
        <v>100</v>
      </c>
      <c r="G8" s="413" t="s">
        <v>2586</v>
      </c>
      <c r="H8" s="410">
        <f>SUMIF(62:62,G8,63:63)-SUMIF(62:62,C8,63:63)+100</f>
        <v>100</v>
      </c>
      <c r="I8" s="413" t="s">
        <v>2586</v>
      </c>
      <c r="J8" s="410">
        <f>SUMIF(62:62,I8,63:63)-SUMIF(62:62,C8,63:63)+100</f>
        <v>100</v>
      </c>
      <c r="K8" s="610"/>
      <c r="L8" s="1128"/>
      <c r="M8" s="1129"/>
      <c r="N8" s="1129"/>
      <c r="O8" s="1129"/>
      <c r="P8" s="3268" t="s">
        <v>2551</v>
      </c>
      <c r="Q8" s="3236"/>
      <c r="R8" s="769" t="s">
        <v>17</v>
      </c>
      <c r="S8" s="770">
        <f t="shared" si="0"/>
        <v>100</v>
      </c>
      <c r="T8" s="769" t="s">
        <v>17</v>
      </c>
      <c r="U8" s="770">
        <f t="shared" si="1"/>
        <v>100</v>
      </c>
      <c r="V8" s="769" t="s">
        <v>17</v>
      </c>
      <c r="W8" s="770">
        <f t="shared" si="2"/>
        <v>100</v>
      </c>
      <c r="X8" s="771"/>
      <c r="Y8" s="3235" t="s">
        <v>2551</v>
      </c>
      <c r="Z8" s="3236"/>
      <c r="AA8" s="772">
        <f t="shared" ref="AA8:AA47" si="3">D8/F8</f>
        <v>1</v>
      </c>
      <c r="AB8" s="772">
        <f t="shared" ref="AB8:AB47" si="4">D8/H8</f>
        <v>1</v>
      </c>
      <c r="AC8" s="2664">
        <f t="shared" ref="AC8:AC47" si="5">D8/J8</f>
        <v>1</v>
      </c>
    </row>
    <row r="9" spans="1:29" s="116" customFormat="1">
      <c r="A9" s="414" t="s">
        <v>2552</v>
      </c>
      <c r="B9" s="70" t="s">
        <v>2553</v>
      </c>
      <c r="C9" s="3008" t="s">
        <v>3508</v>
      </c>
      <c r="D9" s="134">
        <v>100</v>
      </c>
      <c r="E9" s="3008" t="s">
        <v>3508</v>
      </c>
      <c r="F9" s="134">
        <f>SUMIF(64:64,E9,65:65)-SUMIF(64:64,C9,65:65)+100</f>
        <v>100</v>
      </c>
      <c r="G9" s="3008" t="s">
        <v>3508</v>
      </c>
      <c r="H9" s="134">
        <f>SUMIF(64:64,G9,65:65)-SUMIF(64:64,C9,65:65)+100</f>
        <v>100</v>
      </c>
      <c r="I9" s="3008" t="s">
        <v>3508</v>
      </c>
      <c r="J9" s="134">
        <f>SUMIF(64:64,I9,65:65)-SUMIF(64:64,C9,65:65)+100</f>
        <v>100</v>
      </c>
      <c r="K9" s="610"/>
      <c r="L9" s="1128"/>
      <c r="M9" s="1129"/>
      <c r="N9" s="1129"/>
      <c r="O9" s="1129"/>
      <c r="P9" s="3250"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2664">
        <f t="shared" si="5"/>
        <v>1</v>
      </c>
    </row>
    <row r="10" spans="1:29" s="426" customFormat="1" ht="27">
      <c r="A10" s="420"/>
      <c r="B10" s="421" t="s">
        <v>2556</v>
      </c>
      <c r="C10" s="3007" t="s">
        <v>3507</v>
      </c>
      <c r="D10" s="135">
        <v>100</v>
      </c>
      <c r="E10" s="422" t="s">
        <v>3507</v>
      </c>
      <c r="F10" s="135">
        <f>SUMIF(66:66,E10,67:67)-SUMIF(66:66,C10,67:67)+100</f>
        <v>100</v>
      </c>
      <c r="G10" s="3007" t="s">
        <v>3507</v>
      </c>
      <c r="H10" s="135">
        <f>SUMIF(66:66,G10,67:67)-SUMIF(66:66,C10,67:67)+100</f>
        <v>100</v>
      </c>
      <c r="I10" s="3007" t="s">
        <v>3507</v>
      </c>
      <c r="J10" s="135">
        <f>SUMIF(66:66,I10,67:67)-SUMIF(66:66,C10,67:67)+100</f>
        <v>100</v>
      </c>
      <c r="K10" s="611"/>
      <c r="L10" s="1131"/>
      <c r="M10" s="1132"/>
      <c r="N10" s="1132"/>
      <c r="O10" s="1132"/>
      <c r="P10" s="3250"/>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2664">
        <f t="shared" si="5"/>
        <v>1</v>
      </c>
    </row>
    <row r="11" spans="1:29" ht="15">
      <c r="A11" s="427"/>
      <c r="B11" s="421" t="s">
        <v>2557</v>
      </c>
      <c r="C11" s="428">
        <v>2</v>
      </c>
      <c r="D11" s="135">
        <v>100</v>
      </c>
      <c r="E11" s="428">
        <v>2</v>
      </c>
      <c r="F11" s="135">
        <f>LOOKUP(E11,69:69,70:70)-LOOKUP(C11,69:69,70:70)+100</f>
        <v>100</v>
      </c>
      <c r="G11" s="429">
        <v>2</v>
      </c>
      <c r="H11" s="135">
        <f>LOOKUP(G11,69:69,70:70)-LOOKUP(C11,69:69,70:70)+100</f>
        <v>100</v>
      </c>
      <c r="I11" s="428">
        <v>2</v>
      </c>
      <c r="J11" s="135">
        <f>LOOKUP(I11,69:69,70:70)-LOOKUP(C11,69:69,70:70)+100</f>
        <v>100</v>
      </c>
      <c r="K11" s="611">
        <v>1</v>
      </c>
      <c r="L11" s="1134"/>
      <c r="M11" s="1127"/>
      <c r="N11" s="1127"/>
      <c r="O11" s="1127"/>
      <c r="P11" s="3250"/>
      <c r="Q11" s="1791" t="str">
        <f t="shared" si="6"/>
        <v>容积率</v>
      </c>
      <c r="R11" s="769" t="s">
        <v>17</v>
      </c>
      <c r="S11" s="770">
        <f t="shared" si="0"/>
        <v>100</v>
      </c>
      <c r="T11" s="769" t="s">
        <v>17</v>
      </c>
      <c r="U11" s="770">
        <f t="shared" si="1"/>
        <v>100</v>
      </c>
      <c r="V11" s="769" t="s">
        <v>17</v>
      </c>
      <c r="W11" s="770">
        <f t="shared" si="2"/>
        <v>100</v>
      </c>
      <c r="X11" s="771"/>
      <c r="Y11" s="3104"/>
      <c r="Z11" s="54" t="str">
        <f t="shared" si="7"/>
        <v>容积率</v>
      </c>
      <c r="AA11" s="772">
        <f t="shared" si="3"/>
        <v>1</v>
      </c>
      <c r="AB11" s="772">
        <f t="shared" si="4"/>
        <v>1</v>
      </c>
      <c r="AC11" s="2664">
        <f t="shared" si="5"/>
        <v>1</v>
      </c>
    </row>
    <row r="12" spans="1:29" s="116" customFormat="1" ht="15">
      <c r="A12" s="430"/>
      <c r="B12" s="2593">
        <v>111</v>
      </c>
      <c r="C12" s="431"/>
      <c r="D12" s="432">
        <v>100</v>
      </c>
      <c r="E12" s="431"/>
      <c r="F12" s="135">
        <f>SUMIF(71:71,E12,72:72)-SUMIF(71:71,C12,72:72)+100</f>
        <v>100</v>
      </c>
      <c r="G12" s="2665"/>
      <c r="H12" s="135">
        <f>SUMIF(71:71,G12,72:72)-SUMIF(71:71,C12,72:72)+100</f>
        <v>100</v>
      </c>
      <c r="I12" s="431"/>
      <c r="J12" s="135">
        <f>SUMIF(71:71,I12,72:72)-SUMIF(71:71,C12,72:72)+100</f>
        <v>100</v>
      </c>
      <c r="K12" s="612"/>
      <c r="L12" s="1128"/>
      <c r="M12" s="1129"/>
      <c r="N12" s="1129"/>
      <c r="O12" s="1129"/>
      <c r="P12" s="3250"/>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2664">
        <f>D12/J12</f>
        <v>1</v>
      </c>
    </row>
    <row r="13" spans="1:29" ht="15">
      <c r="A13" s="427"/>
      <c r="B13" s="2593">
        <v>111</v>
      </c>
      <c r="C13" s="433"/>
      <c r="D13" s="434">
        <v>100</v>
      </c>
      <c r="E13" s="431"/>
      <c r="F13" s="135">
        <f>SUMIF(73:73,E13,74:74)-SUMIF(73:73,C13,74:74)+100</f>
        <v>100</v>
      </c>
      <c r="G13" s="2665"/>
      <c r="H13" s="434">
        <f>SUMIF(73:73,G13,74:74)-SUMIF(73:73,C13,74:74)+100</f>
        <v>100</v>
      </c>
      <c r="I13" s="431"/>
      <c r="J13" s="434">
        <f>SUMIF(73:73,I13,74:74)-SUMIF(73:73,C13,74:74)+100</f>
        <v>100</v>
      </c>
      <c r="K13" s="612"/>
      <c r="L13" s="1136"/>
      <c r="M13" s="1127"/>
      <c r="N13" s="1127"/>
      <c r="O13" s="1127"/>
      <c r="P13" s="3250"/>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2664">
        <f t="shared" si="5"/>
        <v>1</v>
      </c>
    </row>
    <row r="14" spans="1:29" ht="15.75" thickBot="1">
      <c r="A14" s="435"/>
      <c r="B14" s="2595">
        <v>111</v>
      </c>
      <c r="C14" s="436"/>
      <c r="D14" s="437">
        <v>100</v>
      </c>
      <c r="E14" s="627"/>
      <c r="F14" s="437">
        <f>SUMIF(75:75,E14,76:76)-SUMIF(75:75,C14,76:76)+100</f>
        <v>100</v>
      </c>
      <c r="G14" s="2665"/>
      <c r="H14" s="437">
        <f>SUMIF(75:75,G14,76:76)-SUMIF(75:75,C14,76:76)+100</f>
        <v>100</v>
      </c>
      <c r="I14" s="431"/>
      <c r="J14" s="437">
        <f>SUMIF(75:75,I14,76:76)-SUMIF(75:75,C14,76:76)+100</f>
        <v>100</v>
      </c>
      <c r="K14" s="612"/>
      <c r="L14" s="1136"/>
      <c r="M14" s="1127"/>
      <c r="N14" s="1127"/>
      <c r="O14" s="1127"/>
      <c r="P14" s="3250"/>
      <c r="Q14" s="1791">
        <f t="shared" si="6"/>
        <v>111</v>
      </c>
      <c r="R14" s="769" t="s">
        <v>17</v>
      </c>
      <c r="S14" s="770">
        <f t="shared" si="0"/>
        <v>100</v>
      </c>
      <c r="T14" s="769" t="s">
        <v>17</v>
      </c>
      <c r="U14" s="770">
        <f t="shared" si="1"/>
        <v>100</v>
      </c>
      <c r="V14" s="769" t="s">
        <v>17</v>
      </c>
      <c r="W14" s="770">
        <f t="shared" si="2"/>
        <v>100</v>
      </c>
      <c r="X14" s="771"/>
      <c r="Y14" s="3104"/>
      <c r="Z14" s="54">
        <f t="shared" si="7"/>
        <v>111</v>
      </c>
      <c r="AA14" s="772">
        <f t="shared" si="3"/>
        <v>1</v>
      </c>
      <c r="AB14" s="772">
        <f t="shared" si="4"/>
        <v>1</v>
      </c>
      <c r="AC14" s="2664">
        <f t="shared" si="5"/>
        <v>1</v>
      </c>
    </row>
    <row r="15" spans="1:29" ht="71.25">
      <c r="A15" s="439" t="s">
        <v>2558</v>
      </c>
      <c r="B15" s="628" t="s">
        <v>2686</v>
      </c>
      <c r="C15" s="2666" t="str">
        <f>估价对象房地状况!C5</f>
        <v>区域内分布有盈润大厦、绿地中央广场，写字楼规模一般，综合考虑办公集聚程度一般。</v>
      </c>
      <c r="D15" s="440">
        <v>100</v>
      </c>
      <c r="E15" s="443"/>
      <c r="F15" s="440">
        <f>SUMIF(77:77,E16,78:78)-SUMIF(77:77,C16,78:78)+100</f>
        <v>100</v>
      </c>
      <c r="G15" s="441"/>
      <c r="H15" s="440">
        <f>SUMIF(77:77,G16,78:78)-SUMIF(77:77,C16,78:78)+100</f>
        <v>100</v>
      </c>
      <c r="I15" s="441"/>
      <c r="J15" s="440">
        <f>SUMIF(77:77,I16,78:78)-SUMIF(77:77,C16,78:78)+100</f>
        <v>100</v>
      </c>
      <c r="K15" s="613">
        <v>2</v>
      </c>
      <c r="L15" s="1136"/>
      <c r="M15" s="1127"/>
      <c r="N15" s="1127"/>
      <c r="O15" s="1127"/>
      <c r="P15" s="3270" t="s">
        <v>2559</v>
      </c>
      <c r="Q15" s="1806" t="str">
        <f t="shared" si="6"/>
        <v>办公集聚程度</v>
      </c>
      <c r="R15" s="773" t="s">
        <v>17</v>
      </c>
      <c r="S15" s="774">
        <f t="shared" si="0"/>
        <v>100</v>
      </c>
      <c r="T15" s="773" t="s">
        <v>17</v>
      </c>
      <c r="U15" s="774">
        <f t="shared" si="1"/>
        <v>100</v>
      </c>
      <c r="V15" s="773" t="s">
        <v>17</v>
      </c>
      <c r="W15" s="774">
        <f t="shared" si="2"/>
        <v>100</v>
      </c>
      <c r="X15" s="1809"/>
      <c r="Y15" s="3272" t="s">
        <v>2559</v>
      </c>
      <c r="Z15" s="1810" t="str">
        <f t="shared" si="7"/>
        <v>办公集聚程度</v>
      </c>
      <c r="AA15" s="1807">
        <f t="shared" si="3"/>
        <v>1</v>
      </c>
      <c r="AB15" s="1807">
        <f t="shared" si="4"/>
        <v>1</v>
      </c>
      <c r="AC15" s="2667">
        <f t="shared" si="5"/>
        <v>1</v>
      </c>
    </row>
    <row r="16" spans="1:29" ht="15">
      <c r="A16" s="427"/>
      <c r="B16" s="629"/>
      <c r="C16" s="2604" t="s">
        <v>3472</v>
      </c>
      <c r="D16" s="447"/>
      <c r="E16" s="2604" t="s">
        <v>3472</v>
      </c>
      <c r="F16" s="447"/>
      <c r="G16" s="2604" t="s">
        <v>3472</v>
      </c>
      <c r="H16" s="449"/>
      <c r="I16" s="2604" t="s">
        <v>3472</v>
      </c>
      <c r="J16" s="447"/>
      <c r="K16" s="614"/>
      <c r="L16" s="1136"/>
      <c r="M16" s="1127"/>
      <c r="N16" s="1127"/>
      <c r="O16" s="1127"/>
      <c r="P16" s="3271"/>
      <c r="Q16" s="1806"/>
      <c r="R16" s="773"/>
      <c r="S16" s="774"/>
      <c r="T16" s="773"/>
      <c r="U16" s="774"/>
      <c r="V16" s="773"/>
      <c r="W16" s="774"/>
      <c r="X16" s="1809"/>
      <c r="Y16" s="3273"/>
      <c r="Z16" s="1810"/>
      <c r="AA16" s="1807">
        <v>1</v>
      </c>
      <c r="AB16" s="1807">
        <v>1</v>
      </c>
      <c r="AC16" s="2667">
        <v>1</v>
      </c>
    </row>
    <row r="17" spans="1:29" ht="213.75">
      <c r="A17" s="427"/>
      <c r="B17" s="630" t="s">
        <v>2096</v>
      </c>
      <c r="C17" s="2668"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SUMIF(79:79,E18,80:80)-SUMIF(79:79,C18,80:80)+100</f>
        <v>100</v>
      </c>
      <c r="G17" s="451"/>
      <c r="H17" s="454">
        <f>SUMIF(79:79,G18,80:80)-SUMIF(79:79,C18,80:80)+100</f>
        <v>100</v>
      </c>
      <c r="I17" s="451"/>
      <c r="J17" s="454">
        <f>SUMIF(79:79,I18,80:80)-SUMIF(79:79,C18,80:80)+100</f>
        <v>100</v>
      </c>
      <c r="K17" s="613">
        <v>2</v>
      </c>
      <c r="L17" s="1136"/>
      <c r="M17" s="1127"/>
      <c r="N17" s="1127"/>
      <c r="O17" s="1127"/>
      <c r="P17" s="3271"/>
      <c r="Q17" s="1806" t="str">
        <f>B17</f>
        <v>交通便捷度</v>
      </c>
      <c r="R17" s="773" t="s">
        <v>17</v>
      </c>
      <c r="S17" s="774">
        <f>F17</f>
        <v>100</v>
      </c>
      <c r="T17" s="773" t="s">
        <v>17</v>
      </c>
      <c r="U17" s="774">
        <f>H17</f>
        <v>100</v>
      </c>
      <c r="V17" s="773" t="s">
        <v>17</v>
      </c>
      <c r="W17" s="774">
        <f>J17</f>
        <v>100</v>
      </c>
      <c r="X17" s="1809"/>
      <c r="Y17" s="3273"/>
      <c r="Z17" s="1810" t="str">
        <f>Q17</f>
        <v>交通便捷度</v>
      </c>
      <c r="AA17" s="1807">
        <f t="shared" si="3"/>
        <v>1</v>
      </c>
      <c r="AB17" s="1807">
        <f t="shared" si="4"/>
        <v>1</v>
      </c>
      <c r="AC17" s="2667">
        <f t="shared" si="5"/>
        <v>1</v>
      </c>
    </row>
    <row r="18" spans="1:29" ht="15">
      <c r="A18" s="427"/>
      <c r="B18" s="631"/>
      <c r="C18" s="2669" t="s">
        <v>3052</v>
      </c>
      <c r="D18" s="449"/>
      <c r="E18" s="2669" t="s">
        <v>3052</v>
      </c>
      <c r="F18" s="449"/>
      <c r="G18" s="2669" t="s">
        <v>3052</v>
      </c>
      <c r="H18" s="447"/>
      <c r="I18" s="2669" t="s">
        <v>3052</v>
      </c>
      <c r="J18" s="447"/>
      <c r="K18" s="614"/>
      <c r="L18" s="1136"/>
      <c r="M18" s="1127"/>
      <c r="N18" s="1127"/>
      <c r="O18" s="1127"/>
      <c r="P18" s="3271"/>
      <c r="Q18" s="1806"/>
      <c r="R18" s="773"/>
      <c r="S18" s="774"/>
      <c r="T18" s="773"/>
      <c r="U18" s="774"/>
      <c r="V18" s="773"/>
      <c r="W18" s="774"/>
      <c r="X18" s="1809"/>
      <c r="Y18" s="3273"/>
      <c r="Z18" s="1810"/>
      <c r="AA18" s="1807">
        <v>1</v>
      </c>
      <c r="AB18" s="1807">
        <v>1</v>
      </c>
      <c r="AC18" s="2667">
        <v>1</v>
      </c>
    </row>
    <row r="19" spans="1:29" ht="42.75">
      <c r="A19" s="427"/>
      <c r="B19" s="630" t="s">
        <v>2687</v>
      </c>
      <c r="C19" s="2668" t="str">
        <f>估价对象房地状况!C7</f>
        <v>估价对象所在区域公共配套设施齐备度一般</v>
      </c>
      <c r="D19" s="454">
        <v>100</v>
      </c>
      <c r="E19" s="458"/>
      <c r="F19" s="454">
        <f>SUMIF(81:81,E20,82:82)-SUMIF(81:81,C20,82:82)+100</f>
        <v>100</v>
      </c>
      <c r="G19" s="456"/>
      <c r="H19" s="449">
        <f>SUMIF(81:81,G20,82:82)-SUMIF(81:81,C20,82:82)+100</f>
        <v>100</v>
      </c>
      <c r="I19" s="456"/>
      <c r="J19" s="449">
        <f>SUMIF(81:81,I20,82:82)-SUMIF(81:81,C20,82:82)+100</f>
        <v>100</v>
      </c>
      <c r="K19" s="613">
        <v>2</v>
      </c>
      <c r="L19" s="1136"/>
      <c r="M19" s="1127"/>
      <c r="N19" s="1127"/>
      <c r="O19" s="1127"/>
      <c r="P19" s="3271"/>
      <c r="Q19" s="1806" t="str">
        <f>B19</f>
        <v>公共配套设施</v>
      </c>
      <c r="R19" s="773" t="s">
        <v>17</v>
      </c>
      <c r="S19" s="774">
        <f>F19</f>
        <v>100</v>
      </c>
      <c r="T19" s="773" t="s">
        <v>17</v>
      </c>
      <c r="U19" s="774">
        <f>H19</f>
        <v>100</v>
      </c>
      <c r="V19" s="773" t="s">
        <v>17</v>
      </c>
      <c r="W19" s="774">
        <f>J19</f>
        <v>100</v>
      </c>
      <c r="X19" s="1809"/>
      <c r="Y19" s="3273"/>
      <c r="Z19" s="1810" t="str">
        <f>Q19</f>
        <v>公共配套设施</v>
      </c>
      <c r="AA19" s="1807">
        <f t="shared" si="3"/>
        <v>1</v>
      </c>
      <c r="AB19" s="1807">
        <f t="shared" si="4"/>
        <v>1</v>
      </c>
      <c r="AC19" s="2667">
        <f t="shared" si="5"/>
        <v>1</v>
      </c>
    </row>
    <row r="20" spans="1:29" ht="15">
      <c r="A20" s="427"/>
      <c r="B20" s="631"/>
      <c r="C20" s="2604" t="s">
        <v>3472</v>
      </c>
      <c r="D20" s="447"/>
      <c r="E20" s="2604" t="s">
        <v>3472</v>
      </c>
      <c r="F20" s="447"/>
      <c r="G20" s="2604" t="s">
        <v>3472</v>
      </c>
      <c r="H20" s="447"/>
      <c r="I20" s="2604" t="s">
        <v>3472</v>
      </c>
      <c r="J20" s="447"/>
      <c r="K20" s="614"/>
      <c r="L20" s="1136"/>
      <c r="M20" s="1127"/>
      <c r="N20" s="1127"/>
      <c r="O20" s="1127"/>
      <c r="P20" s="3271"/>
      <c r="Q20" s="1806"/>
      <c r="R20" s="773"/>
      <c r="S20" s="774"/>
      <c r="T20" s="773"/>
      <c r="U20" s="774"/>
      <c r="V20" s="773"/>
      <c r="W20" s="774"/>
      <c r="X20" s="1809"/>
      <c r="Y20" s="3273"/>
      <c r="Z20" s="1810"/>
      <c r="AA20" s="1807">
        <v>1</v>
      </c>
      <c r="AB20" s="1807">
        <v>1</v>
      </c>
      <c r="AC20" s="2667">
        <v>1</v>
      </c>
    </row>
    <row r="21" spans="1:29" ht="28.5">
      <c r="A21" s="427"/>
      <c r="B21" s="632" t="s">
        <v>2688</v>
      </c>
      <c r="C21" s="2668" t="str">
        <f>估价对象房地状况!C8</f>
        <v>估价对象所在区域基础设施水平七通</v>
      </c>
      <c r="D21" s="449">
        <v>100</v>
      </c>
      <c r="E21" s="458"/>
      <c r="F21" s="454">
        <f>SUMIF(83:83,E22,84:84)-SUMIF(83:83,C22,84:84)+100</f>
        <v>100</v>
      </c>
      <c r="G21" s="456"/>
      <c r="H21" s="449">
        <f>SUMIF(83:83,G22,84:84)-SUMIF(83:83,C22,84:84)+100</f>
        <v>100</v>
      </c>
      <c r="I21" s="456"/>
      <c r="J21" s="449">
        <f>SUMIF(83:83,I22,84:84)-SUMIF(83:83,C22,84:84)+100</f>
        <v>100</v>
      </c>
      <c r="K21" s="613">
        <v>1</v>
      </c>
      <c r="L21" s="1136"/>
      <c r="M21" s="1127"/>
      <c r="N21" s="1127"/>
      <c r="O21" s="1127"/>
      <c r="P21" s="3271"/>
      <c r="Q21" s="1806" t="str">
        <f>B21</f>
        <v>基础设施水平</v>
      </c>
      <c r="R21" s="773" t="s">
        <v>17</v>
      </c>
      <c r="S21" s="774">
        <f>F21</f>
        <v>100</v>
      </c>
      <c r="T21" s="773" t="s">
        <v>17</v>
      </c>
      <c r="U21" s="774">
        <f>H21</f>
        <v>100</v>
      </c>
      <c r="V21" s="773" t="s">
        <v>17</v>
      </c>
      <c r="W21" s="774">
        <f>J21</f>
        <v>100</v>
      </c>
      <c r="X21" s="1809"/>
      <c r="Y21" s="3273"/>
      <c r="Z21" s="1810" t="str">
        <f>Q21</f>
        <v>基础设施水平</v>
      </c>
      <c r="AA21" s="1807">
        <f t="shared" ref="AA21" si="8">D21/F21</f>
        <v>1</v>
      </c>
      <c r="AB21" s="1807">
        <f t="shared" ref="AB21" si="9">D21/H21</f>
        <v>1</v>
      </c>
      <c r="AC21" s="2667">
        <f t="shared" ref="AC21" si="10">D21/J21</f>
        <v>1</v>
      </c>
    </row>
    <row r="22" spans="1:29" ht="15">
      <c r="A22" s="427"/>
      <c r="B22" s="632"/>
      <c r="C22" s="2669" t="s">
        <v>3473</v>
      </c>
      <c r="D22" s="447"/>
      <c r="E22" s="2669" t="s">
        <v>3473</v>
      </c>
      <c r="F22" s="447"/>
      <c r="G22" s="2669" t="s">
        <v>3473</v>
      </c>
      <c r="H22" s="447"/>
      <c r="I22" s="2669" t="s">
        <v>3473</v>
      </c>
      <c r="J22" s="447"/>
      <c r="K22" s="1379"/>
      <c r="L22" s="1136"/>
      <c r="M22" s="1127"/>
      <c r="N22" s="1127"/>
      <c r="O22" s="1127"/>
      <c r="P22" s="3271"/>
      <c r="Q22" s="1806"/>
      <c r="R22" s="773"/>
      <c r="S22" s="774"/>
      <c r="T22" s="773"/>
      <c r="U22" s="774"/>
      <c r="V22" s="773"/>
      <c r="W22" s="774"/>
      <c r="X22" s="1809"/>
      <c r="Y22" s="3273"/>
      <c r="Z22" s="1810"/>
      <c r="AA22" s="1807">
        <v>1</v>
      </c>
      <c r="AB22" s="1807">
        <v>1</v>
      </c>
      <c r="AC22" s="2667">
        <v>1</v>
      </c>
    </row>
    <row r="23" spans="1:29" ht="128.25">
      <c r="A23" s="427"/>
      <c r="B23" s="630" t="s">
        <v>2689</v>
      </c>
      <c r="C23" s="2668"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SUMIF(85:85,E24,86:86)-SUMIF(85:85,C24,86:86)+100</f>
        <v>100</v>
      </c>
      <c r="G23" s="451"/>
      <c r="H23" s="449">
        <f>SUMIF(85:85,G24,86:86)-SUMIF(85:85,C24,86:86)+100</f>
        <v>100</v>
      </c>
      <c r="I23" s="451"/>
      <c r="J23" s="449">
        <f>SUMIF(85:85,I24,86:86)-SUMIF(85:85,C24,86:86)+100</f>
        <v>100</v>
      </c>
      <c r="K23" s="613">
        <v>1</v>
      </c>
      <c r="L23" s="1136"/>
      <c r="M23" s="1127"/>
      <c r="N23" s="1127"/>
      <c r="O23" s="1127"/>
      <c r="P23" s="3271"/>
      <c r="Q23" s="1806" t="str">
        <f>B23</f>
        <v>环境质量</v>
      </c>
      <c r="R23" s="773" t="s">
        <v>17</v>
      </c>
      <c r="S23" s="774">
        <f>F23</f>
        <v>100</v>
      </c>
      <c r="T23" s="773" t="s">
        <v>17</v>
      </c>
      <c r="U23" s="774">
        <f>H23</f>
        <v>100</v>
      </c>
      <c r="V23" s="773" t="s">
        <v>17</v>
      </c>
      <c r="W23" s="774">
        <f>J23</f>
        <v>100</v>
      </c>
      <c r="X23" s="1809"/>
      <c r="Y23" s="3273"/>
      <c r="Z23" s="1810" t="str">
        <f>Q23</f>
        <v>环境质量</v>
      </c>
      <c r="AA23" s="1807">
        <f t="shared" si="3"/>
        <v>1</v>
      </c>
      <c r="AB23" s="1807">
        <f t="shared" si="4"/>
        <v>1</v>
      </c>
      <c r="AC23" s="2667">
        <f t="shared" si="5"/>
        <v>1</v>
      </c>
    </row>
    <row r="24" spans="1:29" ht="15">
      <c r="A24" s="427"/>
      <c r="B24" s="632"/>
      <c r="C24" s="2604" t="s">
        <v>3472</v>
      </c>
      <c r="D24" s="447"/>
      <c r="E24" s="2604" t="s">
        <v>3472</v>
      </c>
      <c r="F24" s="447"/>
      <c r="G24" s="2604" t="s">
        <v>3472</v>
      </c>
      <c r="H24" s="447"/>
      <c r="I24" s="2604" t="s">
        <v>3472</v>
      </c>
      <c r="J24" s="447"/>
      <c r="K24" s="614"/>
      <c r="L24" s="1136"/>
      <c r="M24" s="1127"/>
      <c r="N24" s="1127"/>
      <c r="O24" s="1127"/>
      <c r="P24" s="3271"/>
      <c r="Q24" s="1806"/>
      <c r="R24" s="773"/>
      <c r="S24" s="774"/>
      <c r="T24" s="773"/>
      <c r="U24" s="774"/>
      <c r="V24" s="773"/>
      <c r="W24" s="774"/>
      <c r="X24" s="1809"/>
      <c r="Y24" s="3273"/>
      <c r="Z24" s="1810"/>
      <c r="AA24" s="1807">
        <v>1</v>
      </c>
      <c r="AB24" s="1807">
        <v>1</v>
      </c>
      <c r="AC24" s="2667">
        <v>1</v>
      </c>
    </row>
    <row r="25" spans="1:29" ht="27">
      <c r="A25" s="403"/>
      <c r="B25" s="630" t="s">
        <v>2690</v>
      </c>
      <c r="C25" s="2608"/>
      <c r="D25" s="434">
        <v>100</v>
      </c>
      <c r="E25" s="433"/>
      <c r="F25" s="434">
        <f>SUMIF(87:87,E26,88:88)-SUMIF(87:87,C26,88:88)+100</f>
        <v>99</v>
      </c>
      <c r="G25" s="2608"/>
      <c r="H25" s="434">
        <f>SUMIF(87:87,G26,88:88)-SUMIF(87:87,C26,88:88)+100</f>
        <v>100</v>
      </c>
      <c r="I25" s="433"/>
      <c r="J25" s="434">
        <f>SUMIF(87:87,I26,88:88)-SUMIF(87:87,C26,88:88)+100</f>
        <v>99</v>
      </c>
      <c r="K25" s="613">
        <v>1</v>
      </c>
      <c r="L25" s="1136"/>
      <c r="M25" s="1127"/>
      <c r="N25" s="1127"/>
      <c r="O25" s="1127"/>
      <c r="P25" s="3271"/>
      <c r="Q25" s="1806" t="str">
        <f>B25</f>
        <v>毗邻道路的类型与等级</v>
      </c>
      <c r="R25" s="773" t="s">
        <v>17</v>
      </c>
      <c r="S25" s="774">
        <f>F25</f>
        <v>99</v>
      </c>
      <c r="T25" s="773" t="s">
        <v>17</v>
      </c>
      <c r="U25" s="774">
        <f>H25</f>
        <v>100</v>
      </c>
      <c r="V25" s="773" t="s">
        <v>17</v>
      </c>
      <c r="W25" s="774">
        <f>J25</f>
        <v>99</v>
      </c>
      <c r="X25" s="1809"/>
      <c r="Y25" s="3273"/>
      <c r="Z25" s="1810" t="str">
        <f>Q25</f>
        <v>毗邻道路的类型与等级</v>
      </c>
      <c r="AA25" s="1807">
        <f t="shared" si="3"/>
        <v>1.0101010101010102</v>
      </c>
      <c r="AB25" s="1807">
        <f t="shared" si="4"/>
        <v>1</v>
      </c>
      <c r="AC25" s="2667">
        <f t="shared" si="5"/>
        <v>1.0101010101010102</v>
      </c>
    </row>
    <row r="26" spans="1:29" ht="15">
      <c r="A26" s="403"/>
      <c r="B26" s="631"/>
      <c r="C26" s="633" t="s">
        <v>3475</v>
      </c>
      <c r="D26" s="434"/>
      <c r="E26" s="615" t="s">
        <v>3514</v>
      </c>
      <c r="F26" s="434"/>
      <c r="G26" s="633" t="s">
        <v>3475</v>
      </c>
      <c r="H26" s="434"/>
      <c r="I26" s="615" t="s">
        <v>3514</v>
      </c>
      <c r="J26" s="434"/>
      <c r="K26" s="614"/>
      <c r="L26" s="1136"/>
      <c r="M26" s="1127"/>
      <c r="N26" s="1127"/>
      <c r="O26" s="1127"/>
      <c r="P26" s="3271"/>
      <c r="Q26" s="1806"/>
      <c r="R26" s="773"/>
      <c r="S26" s="774"/>
      <c r="T26" s="773"/>
      <c r="U26" s="774"/>
      <c r="V26" s="773"/>
      <c r="W26" s="774"/>
      <c r="X26" s="1809"/>
      <c r="Y26" s="3273"/>
      <c r="Z26" s="1810"/>
      <c r="AA26" s="1807">
        <v>1</v>
      </c>
      <c r="AB26" s="1807">
        <v>1</v>
      </c>
      <c r="AC26" s="2667">
        <v>1</v>
      </c>
    </row>
    <row r="27" spans="1:29" ht="15">
      <c r="A27" s="427"/>
      <c r="B27" s="631" t="s">
        <v>2658</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271"/>
      <c r="Q27" s="1806" t="str">
        <f t="shared" ref="Q27:Q47" si="11">B27</f>
        <v>楼层</v>
      </c>
      <c r="R27" s="773" t="s">
        <v>17</v>
      </c>
      <c r="S27" s="774">
        <f>F27</f>
        <v>100</v>
      </c>
      <c r="T27" s="773" t="s">
        <v>17</v>
      </c>
      <c r="U27" s="774">
        <f>H27</f>
        <v>100</v>
      </c>
      <c r="V27" s="773" t="s">
        <v>17</v>
      </c>
      <c r="W27" s="774">
        <f>J27</f>
        <v>100</v>
      </c>
      <c r="X27" s="1809"/>
      <c r="Y27" s="3273"/>
      <c r="Z27" s="1810" t="str">
        <f>Q27</f>
        <v>楼层</v>
      </c>
      <c r="AA27" s="1807">
        <f t="shared" si="3"/>
        <v>1</v>
      </c>
      <c r="AB27" s="1807">
        <f t="shared" si="4"/>
        <v>1</v>
      </c>
      <c r="AC27" s="2667">
        <f t="shared" si="5"/>
        <v>1</v>
      </c>
    </row>
    <row r="28" spans="1:29" s="116" customFormat="1" ht="15">
      <c r="A28" s="430"/>
      <c r="B28" s="630" t="s">
        <v>2691</v>
      </c>
      <c r="C28" s="2670"/>
      <c r="D28" s="461">
        <v>100</v>
      </c>
      <c r="E28" s="2658"/>
      <c r="F28" s="461">
        <f>SUMIF(91:91,E28,92:92)-SUMIF(91:91,C28,92:92)+100</f>
        <v>100</v>
      </c>
      <c r="G28" s="2670"/>
      <c r="H28" s="461">
        <f>SUMIF(91:91,G28,92:92)-SUMIF(91:91,C28,92:92)+100</f>
        <v>100</v>
      </c>
      <c r="I28" s="2658"/>
      <c r="J28" s="461">
        <f>SUMIF(91:91,I28,92:92)-SUMIF(91:91,C28,92:92)+100</f>
        <v>100</v>
      </c>
      <c r="K28" s="611"/>
      <c r="L28" s="1128"/>
      <c r="M28" s="1129"/>
      <c r="N28" s="1129"/>
      <c r="O28" s="1129"/>
      <c r="P28" s="3271"/>
      <c r="Q28" s="1791" t="str">
        <f t="shared" si="11"/>
        <v>朝向</v>
      </c>
      <c r="R28" s="769" t="s">
        <v>17</v>
      </c>
      <c r="S28" s="770">
        <f>F28</f>
        <v>100</v>
      </c>
      <c r="T28" s="769" t="s">
        <v>17</v>
      </c>
      <c r="U28" s="770">
        <f>H28</f>
        <v>100</v>
      </c>
      <c r="V28" s="769" t="s">
        <v>17</v>
      </c>
      <c r="W28" s="770">
        <f>J28</f>
        <v>100</v>
      </c>
      <c r="X28" s="771"/>
      <c r="Y28" s="3273"/>
      <c r="Z28" s="54" t="str">
        <f>Q28</f>
        <v>朝向</v>
      </c>
      <c r="AA28" s="1807">
        <f>D28/F28</f>
        <v>1</v>
      </c>
      <c r="AB28" s="1807">
        <f>D28/H28</f>
        <v>1</v>
      </c>
      <c r="AC28" s="2667">
        <f>D28/J28</f>
        <v>1</v>
      </c>
    </row>
    <row r="29" spans="1:29" ht="15">
      <c r="A29" s="427"/>
      <c r="B29" s="2671">
        <v>111</v>
      </c>
      <c r="C29" s="2608"/>
      <c r="D29" s="434">
        <v>100</v>
      </c>
      <c r="E29" s="431"/>
      <c r="F29" s="434">
        <f>SUMIF(93:93,E29,94:94)-SUMIF(93:93,C29,94:94)+100</f>
        <v>100</v>
      </c>
      <c r="G29" s="2665"/>
      <c r="H29" s="434">
        <f>SUMIF(93:93,G29,94:94)-SUMIF(93:93,C29,94:94)+100</f>
        <v>100</v>
      </c>
      <c r="I29" s="431"/>
      <c r="J29" s="434">
        <f>SUMIF(93:93,I29,94:94)-SUMIF(93:93,C29,94:94)+100</f>
        <v>100</v>
      </c>
      <c r="K29" s="612"/>
      <c r="L29" s="1136"/>
      <c r="M29" s="1127"/>
      <c r="N29" s="1127"/>
      <c r="O29" s="1127"/>
      <c r="P29" s="3271"/>
      <c r="Q29" s="1806">
        <f t="shared" si="11"/>
        <v>111</v>
      </c>
      <c r="R29" s="773" t="s">
        <v>17</v>
      </c>
      <c r="S29" s="774">
        <f t="shared" ref="S29:S47" si="12">F29</f>
        <v>100</v>
      </c>
      <c r="T29" s="773" t="s">
        <v>17</v>
      </c>
      <c r="U29" s="774">
        <f t="shared" ref="U29:U47" si="13">H29</f>
        <v>100</v>
      </c>
      <c r="V29" s="773" t="s">
        <v>17</v>
      </c>
      <c r="W29" s="774">
        <f t="shared" ref="W29:W47" si="14">J29</f>
        <v>100</v>
      </c>
      <c r="X29" s="1809"/>
      <c r="Y29" s="3273"/>
      <c r="Z29" s="1810">
        <f t="shared" ref="Z29:Z47" si="15">Q29</f>
        <v>111</v>
      </c>
      <c r="AA29" s="1807">
        <f t="shared" si="3"/>
        <v>1</v>
      </c>
      <c r="AB29" s="1807">
        <f t="shared" si="4"/>
        <v>1</v>
      </c>
      <c r="AC29" s="2667">
        <f t="shared" si="5"/>
        <v>1</v>
      </c>
    </row>
    <row r="30" spans="1:29" ht="15">
      <c r="A30" s="427"/>
      <c r="B30" s="2671">
        <v>111</v>
      </c>
      <c r="C30" s="2608"/>
      <c r="D30" s="434">
        <v>100</v>
      </c>
      <c r="E30" s="431"/>
      <c r="F30" s="434">
        <f>SUMIF(95:95,E30,96:96)-SUMIF(95:95,C30,96:96)+100</f>
        <v>100</v>
      </c>
      <c r="G30" s="2665"/>
      <c r="H30" s="434">
        <f>SUMIF(95:95,G30,96:96)-SUMIF(95:95,C30,96:96)+100</f>
        <v>100</v>
      </c>
      <c r="I30" s="431"/>
      <c r="J30" s="434">
        <f>SUMIF(95:95,I30,96:96)-SUMIF(95:95,C30,96:96)+100</f>
        <v>100</v>
      </c>
      <c r="K30" s="612"/>
      <c r="L30" s="1136"/>
      <c r="M30" s="1127"/>
      <c r="N30" s="1127"/>
      <c r="O30" s="1127"/>
      <c r="P30" s="3271"/>
      <c r="Q30" s="1806">
        <f t="shared" si="11"/>
        <v>111</v>
      </c>
      <c r="R30" s="773" t="s">
        <v>17</v>
      </c>
      <c r="S30" s="774">
        <f t="shared" si="12"/>
        <v>100</v>
      </c>
      <c r="T30" s="773" t="s">
        <v>17</v>
      </c>
      <c r="U30" s="774">
        <f t="shared" si="13"/>
        <v>100</v>
      </c>
      <c r="V30" s="773" t="s">
        <v>17</v>
      </c>
      <c r="W30" s="774">
        <f t="shared" si="14"/>
        <v>100</v>
      </c>
      <c r="X30" s="1809"/>
      <c r="Y30" s="3273"/>
      <c r="Z30" s="1810">
        <f t="shared" si="15"/>
        <v>111</v>
      </c>
      <c r="AA30" s="1807">
        <f t="shared" si="3"/>
        <v>1</v>
      </c>
      <c r="AB30" s="1807">
        <f t="shared" si="4"/>
        <v>1</v>
      </c>
      <c r="AC30" s="2667">
        <f t="shared" si="5"/>
        <v>1</v>
      </c>
    </row>
    <row r="31" spans="1:29" ht="15">
      <c r="A31" s="427"/>
      <c r="B31" s="2671">
        <v>111</v>
      </c>
      <c r="C31" s="2608"/>
      <c r="D31" s="434">
        <v>100</v>
      </c>
      <c r="E31" s="431"/>
      <c r="F31" s="434">
        <f>SUMIF(97:97,E31,98:98)-SUMIF(97:97,C31,98:98)+100</f>
        <v>100</v>
      </c>
      <c r="G31" s="2665"/>
      <c r="H31" s="434">
        <f>SUMIF(97:97,G31,98:98)-SUMIF(97:97,C31,98:98)+100</f>
        <v>100</v>
      </c>
      <c r="I31" s="431"/>
      <c r="J31" s="434">
        <f>SUMIF(97:97,I31,98:98)-SUMIF(97:97,C31,98:98)+100</f>
        <v>100</v>
      </c>
      <c r="K31" s="612"/>
      <c r="L31" s="1136"/>
      <c r="M31" s="1127"/>
      <c r="N31" s="1127"/>
      <c r="O31" s="1127"/>
      <c r="P31" s="3271"/>
      <c r="Q31" s="1806">
        <f t="shared" si="11"/>
        <v>111</v>
      </c>
      <c r="R31" s="773" t="s">
        <v>17</v>
      </c>
      <c r="S31" s="774">
        <f t="shared" si="12"/>
        <v>100</v>
      </c>
      <c r="T31" s="773" t="s">
        <v>17</v>
      </c>
      <c r="U31" s="774">
        <f t="shared" si="13"/>
        <v>100</v>
      </c>
      <c r="V31" s="773" t="s">
        <v>17</v>
      </c>
      <c r="W31" s="774">
        <f t="shared" si="14"/>
        <v>100</v>
      </c>
      <c r="X31" s="1809"/>
      <c r="Y31" s="3273"/>
      <c r="Z31" s="1810">
        <f t="shared" si="15"/>
        <v>111</v>
      </c>
      <c r="AA31" s="1807">
        <f t="shared" si="3"/>
        <v>1</v>
      </c>
      <c r="AB31" s="1807">
        <f t="shared" si="4"/>
        <v>1</v>
      </c>
      <c r="AC31" s="2667">
        <f t="shared" si="5"/>
        <v>1</v>
      </c>
    </row>
    <row r="32" spans="1:29" ht="15.75" thickBot="1">
      <c r="A32" s="435"/>
      <c r="B32" s="634">
        <v>111</v>
      </c>
      <c r="C32" s="2609"/>
      <c r="D32" s="437">
        <v>100</v>
      </c>
      <c r="E32" s="627"/>
      <c r="F32" s="437">
        <f>SUMIF(99:99,E32,100:100)-SUMIF(99:99,C32,100:100)+100</f>
        <v>100</v>
      </c>
      <c r="G32" s="2665"/>
      <c r="H32" s="437">
        <f>SUMIF(99:99,G32,100:100)-SUMIF(99:99,C32,100:100)+100</f>
        <v>100</v>
      </c>
      <c r="I32" s="431"/>
      <c r="J32" s="437">
        <f>SUMIF(99:99,I32,100:100)-SUMIF(99:99,C32,100:100)+100</f>
        <v>100</v>
      </c>
      <c r="K32" s="612"/>
      <c r="L32" s="1136"/>
      <c r="M32" s="1127"/>
      <c r="N32" s="1127"/>
      <c r="O32" s="1127"/>
      <c r="P32" s="3271"/>
      <c r="Q32" s="1806">
        <f t="shared" si="11"/>
        <v>111</v>
      </c>
      <c r="R32" s="773" t="s">
        <v>17</v>
      </c>
      <c r="S32" s="774">
        <f t="shared" si="12"/>
        <v>100</v>
      </c>
      <c r="T32" s="773" t="s">
        <v>17</v>
      </c>
      <c r="U32" s="774">
        <f t="shared" si="13"/>
        <v>100</v>
      </c>
      <c r="V32" s="773" t="s">
        <v>17</v>
      </c>
      <c r="W32" s="774">
        <f t="shared" si="14"/>
        <v>100</v>
      </c>
      <c r="X32" s="1809"/>
      <c r="Y32" s="3273"/>
      <c r="Z32" s="1810">
        <f t="shared" si="15"/>
        <v>111</v>
      </c>
      <c r="AA32" s="1807">
        <f t="shared" si="3"/>
        <v>1</v>
      </c>
      <c r="AB32" s="1807">
        <f t="shared" si="4"/>
        <v>1</v>
      </c>
      <c r="AC32" s="2667">
        <f t="shared" si="5"/>
        <v>1</v>
      </c>
    </row>
    <row r="33" spans="1:29" ht="15">
      <c r="A33" s="439" t="s">
        <v>2562</v>
      </c>
      <c r="B33" s="70" t="s">
        <v>2692</v>
      </c>
      <c r="C33" s="2672" t="s">
        <v>3544</v>
      </c>
      <c r="D33" s="466">
        <v>100</v>
      </c>
      <c r="E33" s="2672" t="s">
        <v>3544</v>
      </c>
      <c r="F33" s="460">
        <f>SUMIF(101:101,E33,102:102)-SUMIF(101:101,C33,102:102)+100</f>
        <v>100</v>
      </c>
      <c r="G33" s="2672" t="s">
        <v>3544</v>
      </c>
      <c r="H33" s="434">
        <f>SUMIF(101:101,G33,102:102)-SUMIF(101:101,C33,102:102)+100</f>
        <v>100</v>
      </c>
      <c r="I33" s="2672" t="s">
        <v>3544</v>
      </c>
      <c r="J33" s="466">
        <f>SUMIF(101:101,I33,102:102)-SUMIF(101:101,C33,102:102)+100</f>
        <v>100</v>
      </c>
      <c r="K33" s="611">
        <v>1</v>
      </c>
      <c r="L33" s="1136"/>
      <c r="M33" s="1127"/>
      <c r="N33" s="1127"/>
      <c r="O33" s="1127"/>
      <c r="P33" s="3274" t="s">
        <v>2564</v>
      </c>
      <c r="Q33" s="1806" t="str">
        <f t="shared" si="11"/>
        <v>建筑类型</v>
      </c>
      <c r="R33" s="773" t="s">
        <v>17</v>
      </c>
      <c r="S33" s="774">
        <f t="shared" si="12"/>
        <v>100</v>
      </c>
      <c r="T33" s="773" t="s">
        <v>17</v>
      </c>
      <c r="U33" s="774">
        <f t="shared" si="13"/>
        <v>100</v>
      </c>
      <c r="V33" s="773" t="s">
        <v>17</v>
      </c>
      <c r="W33" s="774">
        <f t="shared" si="14"/>
        <v>100</v>
      </c>
      <c r="X33" s="1809"/>
      <c r="Y33" s="3277" t="s">
        <v>2564</v>
      </c>
      <c r="Z33" s="1810" t="str">
        <f t="shared" si="15"/>
        <v>建筑类型</v>
      </c>
      <c r="AA33" s="1807">
        <f t="shared" si="3"/>
        <v>1</v>
      </c>
      <c r="AB33" s="1807">
        <f t="shared" si="4"/>
        <v>1</v>
      </c>
      <c r="AC33" s="2667">
        <f t="shared" si="5"/>
        <v>1</v>
      </c>
    </row>
    <row r="34" spans="1:29" s="470" customFormat="1" ht="15">
      <c r="A34" s="467"/>
      <c r="B34" s="421" t="s">
        <v>2565</v>
      </c>
      <c r="C34" s="468">
        <v>10000</v>
      </c>
      <c r="D34" s="135">
        <v>100</v>
      </c>
      <c r="E34" s="468">
        <v>10000</v>
      </c>
      <c r="F34" s="424">
        <f>LOOKUP(E34,104:104,105:105)-LOOKUP(C34,104:104,105:105)+100</f>
        <v>100</v>
      </c>
      <c r="G34" s="468">
        <v>10000</v>
      </c>
      <c r="H34" s="135">
        <f>LOOKUP(G34,104:104,105:105)-LOOKUP(C34,104:104,105:105)+100</f>
        <v>100</v>
      </c>
      <c r="I34" s="468">
        <v>10000</v>
      </c>
      <c r="J34" s="135">
        <f>LOOKUP(I34,104:104,105:105)-LOOKUP(C34,104:104,105:105)+100</f>
        <v>100</v>
      </c>
      <c r="K34" s="612"/>
      <c r="L34" s="1134"/>
      <c r="M34" s="1137"/>
      <c r="N34" s="1137"/>
      <c r="O34" s="1137"/>
      <c r="P34" s="3275"/>
      <c r="Q34" s="775" t="str">
        <f t="shared" si="11"/>
        <v>项目建筑规模</v>
      </c>
      <c r="R34" s="776" t="s">
        <v>17</v>
      </c>
      <c r="S34" s="777">
        <f t="shared" si="12"/>
        <v>100</v>
      </c>
      <c r="T34" s="776" t="s">
        <v>17</v>
      </c>
      <c r="U34" s="777">
        <f t="shared" si="13"/>
        <v>100</v>
      </c>
      <c r="V34" s="776" t="s">
        <v>17</v>
      </c>
      <c r="W34" s="777">
        <f t="shared" si="14"/>
        <v>100</v>
      </c>
      <c r="X34" s="778"/>
      <c r="Y34" s="3277"/>
      <c r="Z34" s="779" t="str">
        <f t="shared" si="15"/>
        <v>项目建筑规模</v>
      </c>
      <c r="AA34" s="1807">
        <f t="shared" si="3"/>
        <v>1</v>
      </c>
      <c r="AB34" s="1807">
        <f t="shared" si="4"/>
        <v>1</v>
      </c>
      <c r="AC34" s="2667">
        <f t="shared" si="5"/>
        <v>1</v>
      </c>
    </row>
    <row r="35" spans="1:29" ht="15">
      <c r="A35" s="471"/>
      <c r="B35" s="421" t="s">
        <v>2566</v>
      </c>
      <c r="C35" s="459" t="s">
        <v>3545</v>
      </c>
      <c r="D35" s="434">
        <v>100</v>
      </c>
      <c r="E35" s="459" t="s">
        <v>3545</v>
      </c>
      <c r="F35" s="460">
        <f>SUMIF(106:106,E35,107:107)-SUMIF(106:106,C35,107:107)+100</f>
        <v>100</v>
      </c>
      <c r="G35" s="459" t="s">
        <v>3545</v>
      </c>
      <c r="H35" s="434">
        <f>SUMIF(106:106,G35,107:107)-SUMIF(106:106,C35,107:107)+100</f>
        <v>100</v>
      </c>
      <c r="I35" s="459" t="s">
        <v>3545</v>
      </c>
      <c r="J35" s="434">
        <f>SUMIF(106:106,I35,107:107)-SUMIF(106:106,C35,107:107)+100</f>
        <v>100</v>
      </c>
      <c r="K35" s="611"/>
      <c r="L35" s="1136"/>
      <c r="M35" s="1127"/>
      <c r="N35" s="1127"/>
      <c r="O35" s="1127"/>
      <c r="P35" s="3275"/>
      <c r="Q35" s="1806" t="str">
        <f t="shared" si="11"/>
        <v>建筑结构</v>
      </c>
      <c r="R35" s="773" t="s">
        <v>17</v>
      </c>
      <c r="S35" s="774">
        <f t="shared" si="12"/>
        <v>100</v>
      </c>
      <c r="T35" s="773" t="s">
        <v>17</v>
      </c>
      <c r="U35" s="774">
        <f t="shared" si="13"/>
        <v>100</v>
      </c>
      <c r="V35" s="773" t="s">
        <v>17</v>
      </c>
      <c r="W35" s="774">
        <f t="shared" si="14"/>
        <v>100</v>
      </c>
      <c r="X35" s="1809"/>
      <c r="Y35" s="3277"/>
      <c r="Z35" s="1810" t="str">
        <f t="shared" si="15"/>
        <v>建筑结构</v>
      </c>
      <c r="AA35" s="1807">
        <f t="shared" si="3"/>
        <v>1</v>
      </c>
      <c r="AB35" s="1807">
        <f t="shared" si="4"/>
        <v>1</v>
      </c>
      <c r="AC35" s="2667">
        <f t="shared" si="5"/>
        <v>1</v>
      </c>
    </row>
    <row r="36" spans="1:29" ht="15">
      <c r="A36" s="471"/>
      <c r="B36" s="421" t="s">
        <v>2660</v>
      </c>
      <c r="C36" s="459" t="s">
        <v>3546</v>
      </c>
      <c r="D36" s="434">
        <v>100</v>
      </c>
      <c r="E36" s="459" t="s">
        <v>3546</v>
      </c>
      <c r="F36" s="460">
        <f>SUMIF(108:108,E36,109:109)-SUMIF(108:108,C36,109:109)+100</f>
        <v>100</v>
      </c>
      <c r="G36" s="459" t="s">
        <v>3546</v>
      </c>
      <c r="H36" s="434">
        <f>SUMIF(108:108,G36,109:109)-SUMIF(108:108,C36,109:109)+100</f>
        <v>100</v>
      </c>
      <c r="I36" s="459" t="s">
        <v>3546</v>
      </c>
      <c r="J36" s="434">
        <f>SUMIF(108:108,I36,109:109)-SUMIF(108:108,C36,109:109)+100</f>
        <v>100</v>
      </c>
      <c r="K36" s="611"/>
      <c r="L36" s="1136"/>
      <c r="M36" s="1127"/>
      <c r="N36" s="1127"/>
      <c r="O36" s="1127"/>
      <c r="P36" s="3275"/>
      <c r="Q36" s="1806" t="str">
        <f t="shared" si="11"/>
        <v>公共部分装修</v>
      </c>
      <c r="R36" s="773" t="s">
        <v>17</v>
      </c>
      <c r="S36" s="774">
        <f t="shared" si="12"/>
        <v>100</v>
      </c>
      <c r="T36" s="773" t="s">
        <v>17</v>
      </c>
      <c r="U36" s="774">
        <f t="shared" si="13"/>
        <v>100</v>
      </c>
      <c r="V36" s="773" t="s">
        <v>17</v>
      </c>
      <c r="W36" s="774">
        <f t="shared" si="14"/>
        <v>100</v>
      </c>
      <c r="X36" s="1809"/>
      <c r="Y36" s="3277"/>
      <c r="Z36" s="1810" t="str">
        <f t="shared" si="15"/>
        <v>公共部分装修</v>
      </c>
      <c r="AA36" s="1807">
        <f t="shared" si="3"/>
        <v>1</v>
      </c>
      <c r="AB36" s="1807">
        <f t="shared" si="4"/>
        <v>1</v>
      </c>
      <c r="AC36" s="2667">
        <f t="shared" si="5"/>
        <v>1</v>
      </c>
    </row>
    <row r="37" spans="1:29" ht="15">
      <c r="A37" s="471"/>
      <c r="B37" s="421" t="s">
        <v>2661</v>
      </c>
      <c r="C37" s="473">
        <v>1</v>
      </c>
      <c r="D37" s="434">
        <v>100</v>
      </c>
      <c r="E37" s="473">
        <v>0.9</v>
      </c>
      <c r="F37" s="460">
        <f>LOOKUP(E37,111:111,112:112)-LOOKUP(C37,111:111,112:112)+100</f>
        <v>100</v>
      </c>
      <c r="G37" s="473">
        <v>0.9</v>
      </c>
      <c r="H37" s="460">
        <f>LOOKUP(G37,111:111,112:112)-LOOKUP(C37,111:111,112:112)+100</f>
        <v>100</v>
      </c>
      <c r="I37" s="473">
        <v>0.9</v>
      </c>
      <c r="J37" s="434">
        <f>LOOKUP(I37,111:111,112:112)-LOOKUP(C37,111:111,112:112)+100</f>
        <v>100</v>
      </c>
      <c r="K37" s="611">
        <v>1</v>
      </c>
      <c r="L37" s="1136"/>
      <c r="M37" s="1127"/>
      <c r="N37" s="1127"/>
      <c r="O37" s="1127"/>
      <c r="P37" s="3275"/>
      <c r="Q37" s="1806" t="str">
        <f t="shared" si="11"/>
        <v>成新度</v>
      </c>
      <c r="R37" s="773" t="s">
        <v>17</v>
      </c>
      <c r="S37" s="774">
        <f t="shared" si="12"/>
        <v>100</v>
      </c>
      <c r="T37" s="773" t="s">
        <v>17</v>
      </c>
      <c r="U37" s="774">
        <f t="shared" si="13"/>
        <v>100</v>
      </c>
      <c r="V37" s="773" t="s">
        <v>17</v>
      </c>
      <c r="W37" s="774">
        <f t="shared" si="14"/>
        <v>100</v>
      </c>
      <c r="X37" s="1809"/>
      <c r="Y37" s="3277"/>
      <c r="Z37" s="1810" t="str">
        <f t="shared" si="15"/>
        <v>成新度</v>
      </c>
      <c r="AA37" s="1807">
        <f t="shared" si="3"/>
        <v>1</v>
      </c>
      <c r="AB37" s="1807">
        <f t="shared" si="4"/>
        <v>1</v>
      </c>
      <c r="AC37" s="2667">
        <f t="shared" si="5"/>
        <v>1</v>
      </c>
    </row>
    <row r="38" spans="1:29" s="116" customFormat="1" ht="15">
      <c r="A38" s="472"/>
      <c r="B38" s="421" t="s">
        <v>2693</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v>0</v>
      </c>
      <c r="L38" s="1128"/>
      <c r="M38" s="1129"/>
      <c r="N38" s="1129"/>
      <c r="O38" s="1129"/>
      <c r="P38" s="3275"/>
      <c r="Q38" s="1791" t="str">
        <f t="shared" si="11"/>
        <v>写字楼等级</v>
      </c>
      <c r="R38" s="769" t="s">
        <v>17</v>
      </c>
      <c r="S38" s="770">
        <f t="shared" si="12"/>
        <v>100</v>
      </c>
      <c r="T38" s="769" t="s">
        <v>17</v>
      </c>
      <c r="U38" s="770">
        <f t="shared" si="13"/>
        <v>100</v>
      </c>
      <c r="V38" s="769" t="s">
        <v>17</v>
      </c>
      <c r="W38" s="770">
        <f t="shared" si="14"/>
        <v>100</v>
      </c>
      <c r="X38" s="771"/>
      <c r="Y38" s="3277"/>
      <c r="Z38" s="54" t="str">
        <f t="shared" si="15"/>
        <v>写字楼等级</v>
      </c>
      <c r="AA38" s="772">
        <f t="shared" si="3"/>
        <v>1</v>
      </c>
      <c r="AB38" s="772">
        <f t="shared" si="4"/>
        <v>1</v>
      </c>
      <c r="AC38" s="2664">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v>0</v>
      </c>
      <c r="L39" s="1136"/>
      <c r="M39" s="1127"/>
      <c r="N39" s="1127"/>
      <c r="O39" s="1127"/>
      <c r="P39" s="3275" t="s">
        <v>2564</v>
      </c>
      <c r="Q39" s="1806" t="str">
        <f t="shared" si="11"/>
        <v>物业管理</v>
      </c>
      <c r="R39" s="773" t="s">
        <v>17</v>
      </c>
      <c r="S39" s="774">
        <f t="shared" si="12"/>
        <v>100</v>
      </c>
      <c r="T39" s="773" t="s">
        <v>17</v>
      </c>
      <c r="U39" s="774">
        <f t="shared" si="13"/>
        <v>100</v>
      </c>
      <c r="V39" s="773" t="s">
        <v>17</v>
      </c>
      <c r="W39" s="774">
        <f t="shared" si="14"/>
        <v>100</v>
      </c>
      <c r="X39" s="1809"/>
      <c r="Y39" s="3277" t="s">
        <v>2564</v>
      </c>
      <c r="Z39" s="1810" t="str">
        <f t="shared" si="15"/>
        <v>物业管理</v>
      </c>
      <c r="AA39" s="1807">
        <f t="shared" si="3"/>
        <v>1</v>
      </c>
      <c r="AB39" s="1807">
        <f t="shared" si="4"/>
        <v>1</v>
      </c>
      <c r="AC39" s="2667">
        <f t="shared" si="5"/>
        <v>1</v>
      </c>
    </row>
    <row r="40" spans="1:29" ht="15">
      <c r="A40" s="471"/>
      <c r="B40" s="421" t="s">
        <v>2662</v>
      </c>
      <c r="C40" s="3010" t="s">
        <v>3473</v>
      </c>
      <c r="D40" s="434">
        <v>100</v>
      </c>
      <c r="E40" s="3010" t="s">
        <v>3554</v>
      </c>
      <c r="F40" s="460">
        <f>SUMIF(117:117,E40,118:118)-SUMIF(117:117,C40,118:118)+100</f>
        <v>100</v>
      </c>
      <c r="G40" s="3010" t="s">
        <v>3554</v>
      </c>
      <c r="H40" s="434">
        <f>SUMIF(117:117,G40,118:118)-SUMIF(117:117,C40,118:118)+100</f>
        <v>100</v>
      </c>
      <c r="I40" s="3010" t="s">
        <v>3554</v>
      </c>
      <c r="J40" s="434">
        <f>SUMIF(117:117,I40,118:118)-SUMIF(117:117,C40,118:118)+100</f>
        <v>100</v>
      </c>
      <c r="K40" s="611">
        <v>0</v>
      </c>
      <c r="L40" s="1136"/>
      <c r="M40" s="1127"/>
      <c r="N40" s="1127"/>
      <c r="O40" s="1127"/>
      <c r="P40" s="3275"/>
      <c r="Q40" s="1806" t="str">
        <f t="shared" si="11"/>
        <v>市政基础设施</v>
      </c>
      <c r="R40" s="773" t="s">
        <v>17</v>
      </c>
      <c r="S40" s="774">
        <f t="shared" si="12"/>
        <v>100</v>
      </c>
      <c r="T40" s="773" t="s">
        <v>17</v>
      </c>
      <c r="U40" s="774">
        <f t="shared" si="13"/>
        <v>100</v>
      </c>
      <c r="V40" s="773" t="s">
        <v>17</v>
      </c>
      <c r="W40" s="774">
        <f t="shared" si="14"/>
        <v>100</v>
      </c>
      <c r="X40" s="1809"/>
      <c r="Y40" s="3277"/>
      <c r="Z40" s="1810" t="str">
        <f t="shared" si="15"/>
        <v>市政基础设施</v>
      </c>
      <c r="AA40" s="1807">
        <f t="shared" si="3"/>
        <v>1</v>
      </c>
      <c r="AB40" s="1807">
        <f t="shared" si="4"/>
        <v>1</v>
      </c>
      <c r="AC40" s="2667">
        <f t="shared" si="5"/>
        <v>1</v>
      </c>
    </row>
    <row r="41" spans="1:29" ht="15">
      <c r="A41" s="471"/>
      <c r="B41" s="421" t="s">
        <v>2664</v>
      </c>
      <c r="C41" s="2998" t="s">
        <v>3547</v>
      </c>
      <c r="D41" s="434">
        <v>100</v>
      </c>
      <c r="E41" s="2998" t="s">
        <v>3547</v>
      </c>
      <c r="F41" s="460">
        <f>SUMIF(119:119,E41,120:120)-SUMIF(119:119,C41,120:120)+100</f>
        <v>100</v>
      </c>
      <c r="G41" s="2998" t="s">
        <v>3547</v>
      </c>
      <c r="H41" s="434">
        <f>SUMIF(119:119,G41,120:120)-SUMIF(119:119,C41,120:120)+100</f>
        <v>100</v>
      </c>
      <c r="I41" s="2998" t="s">
        <v>3547</v>
      </c>
      <c r="J41" s="434">
        <f>SUMIF(119:119,I41,120:120)-SUMIF(119:119,C41,120:120)+100</f>
        <v>100</v>
      </c>
      <c r="K41" s="611"/>
      <c r="L41" s="1136"/>
      <c r="M41" s="1127"/>
      <c r="N41" s="1127"/>
      <c r="O41" s="1127"/>
      <c r="P41" s="3275"/>
      <c r="Q41" s="1806" t="str">
        <f t="shared" si="11"/>
        <v>层高</v>
      </c>
      <c r="R41" s="773" t="s">
        <v>17</v>
      </c>
      <c r="S41" s="774">
        <f t="shared" si="12"/>
        <v>100</v>
      </c>
      <c r="T41" s="773" t="s">
        <v>17</v>
      </c>
      <c r="U41" s="774">
        <f t="shared" si="13"/>
        <v>100</v>
      </c>
      <c r="V41" s="773" t="s">
        <v>17</v>
      </c>
      <c r="W41" s="774">
        <f t="shared" si="14"/>
        <v>100</v>
      </c>
      <c r="X41" s="1809"/>
      <c r="Y41" s="3277"/>
      <c r="Z41" s="1810" t="str">
        <f t="shared" si="15"/>
        <v>层高</v>
      </c>
      <c r="AA41" s="1807">
        <f t="shared" si="3"/>
        <v>1</v>
      </c>
      <c r="AB41" s="1807">
        <f t="shared" si="4"/>
        <v>1</v>
      </c>
      <c r="AC41" s="2667">
        <f t="shared" si="5"/>
        <v>1</v>
      </c>
    </row>
    <row r="42" spans="1:29" s="470" customFormat="1" ht="15">
      <c r="A42" s="467"/>
      <c r="B42" s="1808" t="s">
        <v>2695</v>
      </c>
      <c r="C42" s="433" t="s">
        <v>3515</v>
      </c>
      <c r="D42" s="434">
        <v>100</v>
      </c>
      <c r="E42" s="433" t="s">
        <v>3515</v>
      </c>
      <c r="F42" s="460">
        <f>SUMIF(121:121,E42,122:122)-SUMIF(121:121,C42,122:122)+100</f>
        <v>100</v>
      </c>
      <c r="G42" s="433" t="s">
        <v>3515</v>
      </c>
      <c r="H42" s="434">
        <f>SUMIF(121:121,G42,122:122)-SUMIF(121:121,C42,122:122)+100</f>
        <v>100</v>
      </c>
      <c r="I42" s="433" t="s">
        <v>3515</v>
      </c>
      <c r="J42" s="434">
        <f>SUMIF(121:121,I42,122:122)-SUMIF(121:121,C42,122:122)+100</f>
        <v>100</v>
      </c>
      <c r="K42" s="612"/>
      <c r="L42" s="1134"/>
      <c r="M42" s="1137"/>
      <c r="N42" s="1137"/>
      <c r="O42" s="1137"/>
      <c r="P42" s="3275"/>
      <c r="Q42" s="775" t="str">
        <f t="shared" si="11"/>
        <v>单套建筑面积</v>
      </c>
      <c r="R42" s="776" t="s">
        <v>17</v>
      </c>
      <c r="S42" s="777">
        <f t="shared" si="12"/>
        <v>100</v>
      </c>
      <c r="T42" s="776" t="s">
        <v>17</v>
      </c>
      <c r="U42" s="777">
        <f t="shared" si="13"/>
        <v>100</v>
      </c>
      <c r="V42" s="776" t="s">
        <v>17</v>
      </c>
      <c r="W42" s="777">
        <f t="shared" si="14"/>
        <v>100</v>
      </c>
      <c r="X42" s="778"/>
      <c r="Y42" s="3277"/>
      <c r="Z42" s="779" t="str">
        <f t="shared" si="15"/>
        <v>单套建筑面积</v>
      </c>
      <c r="AA42" s="1807">
        <f t="shared" si="3"/>
        <v>1</v>
      </c>
      <c r="AB42" s="1807">
        <f t="shared" si="4"/>
        <v>1</v>
      </c>
      <c r="AC42" s="2667">
        <f t="shared" si="5"/>
        <v>1</v>
      </c>
    </row>
    <row r="43" spans="1:29" ht="15">
      <c r="A43" s="471"/>
      <c r="B43" s="421" t="s">
        <v>2667</v>
      </c>
      <c r="C43" s="3010" t="s">
        <v>3548</v>
      </c>
      <c r="D43" s="434">
        <v>100</v>
      </c>
      <c r="E43" s="3010" t="s">
        <v>3548</v>
      </c>
      <c r="F43" s="460">
        <f>SUMIF(123:123,E43,124:124)-SUMIF(123:123,C43,124:124)+100</f>
        <v>100</v>
      </c>
      <c r="G43" s="3010" t="s">
        <v>3548</v>
      </c>
      <c r="H43" s="434">
        <f>SUMIF(123:123,G43,124:124)-SUMIF(123:123,C43,124:124)+100</f>
        <v>100</v>
      </c>
      <c r="I43" s="3010" t="s">
        <v>3548</v>
      </c>
      <c r="J43" s="434">
        <f>SUMIF(123:123,I43,124:124)-SUMIF(123:123,C43,124:124)+100</f>
        <v>100</v>
      </c>
      <c r="K43" s="611"/>
      <c r="L43" s="1136"/>
      <c r="M43" s="1127"/>
      <c r="N43" s="1127"/>
      <c r="O43" s="1127"/>
      <c r="P43" s="3275"/>
      <c r="Q43" s="1806" t="str">
        <f t="shared" si="11"/>
        <v>内部装修</v>
      </c>
      <c r="R43" s="773" t="s">
        <v>17</v>
      </c>
      <c r="S43" s="774">
        <f t="shared" si="12"/>
        <v>100</v>
      </c>
      <c r="T43" s="773" t="s">
        <v>17</v>
      </c>
      <c r="U43" s="774">
        <f t="shared" si="13"/>
        <v>100</v>
      </c>
      <c r="V43" s="773" t="s">
        <v>17</v>
      </c>
      <c r="W43" s="774">
        <f t="shared" si="14"/>
        <v>100</v>
      </c>
      <c r="X43" s="1809"/>
      <c r="Y43" s="3277"/>
      <c r="Z43" s="1810" t="str">
        <f t="shared" si="15"/>
        <v>内部装修</v>
      </c>
      <c r="AA43" s="1807">
        <f t="shared" si="3"/>
        <v>1</v>
      </c>
      <c r="AB43" s="1807">
        <f t="shared" si="4"/>
        <v>1</v>
      </c>
      <c r="AC43" s="2667">
        <f t="shared" si="5"/>
        <v>1</v>
      </c>
    </row>
    <row r="44" spans="1:29" ht="15">
      <c r="A44" s="471"/>
      <c r="B44" s="421" t="s">
        <v>2575</v>
      </c>
      <c r="C44" s="3010" t="s">
        <v>3052</v>
      </c>
      <c r="D44" s="434">
        <v>100</v>
      </c>
      <c r="E44" s="3010" t="s">
        <v>3052</v>
      </c>
      <c r="F44" s="460">
        <f>SUMIF(125:125,E44,126:126)-SUMIF(125:125,C44,126:126)+100</f>
        <v>100</v>
      </c>
      <c r="G44" s="3010" t="s">
        <v>3052</v>
      </c>
      <c r="H44" s="434">
        <f>SUMIF(125:125,G44,126:126)-SUMIF(125:125,C44,126:126)+100</f>
        <v>100</v>
      </c>
      <c r="I44" s="3010" t="s">
        <v>3052</v>
      </c>
      <c r="J44" s="434">
        <f>SUMIF(125:125,I44,126:126)-SUMIF(125:125,C44,126:126)+100</f>
        <v>100</v>
      </c>
      <c r="K44" s="611"/>
      <c r="L44" s="1136"/>
      <c r="M44" s="1127"/>
      <c r="N44" s="1127"/>
      <c r="O44" s="1127"/>
      <c r="P44" s="3275"/>
      <c r="Q44" s="1806" t="str">
        <f t="shared" si="11"/>
        <v>内部装修维护情况</v>
      </c>
      <c r="R44" s="773" t="s">
        <v>17</v>
      </c>
      <c r="S44" s="774">
        <f t="shared" si="12"/>
        <v>100</v>
      </c>
      <c r="T44" s="773" t="s">
        <v>17</v>
      </c>
      <c r="U44" s="774">
        <f t="shared" si="13"/>
        <v>100</v>
      </c>
      <c r="V44" s="773" t="s">
        <v>17</v>
      </c>
      <c r="W44" s="774">
        <f t="shared" si="14"/>
        <v>100</v>
      </c>
      <c r="X44" s="1809"/>
      <c r="Y44" s="3277"/>
      <c r="Z44" s="1810" t="str">
        <f t="shared" si="15"/>
        <v>内部装修维护情况</v>
      </c>
      <c r="AA44" s="1807">
        <f t="shared" si="3"/>
        <v>1</v>
      </c>
      <c r="AB44" s="1807">
        <f t="shared" si="4"/>
        <v>1</v>
      </c>
      <c r="AC44" s="2667">
        <f t="shared" si="5"/>
        <v>1</v>
      </c>
    </row>
    <row r="45" spans="1:29" s="116" customFormat="1" ht="15">
      <c r="A45" s="472"/>
      <c r="B45" s="3012" t="s">
        <v>3550</v>
      </c>
      <c r="C45" s="3011" t="s">
        <v>3549</v>
      </c>
      <c r="D45" s="135">
        <v>100</v>
      </c>
      <c r="E45" s="3014" t="s">
        <v>3553</v>
      </c>
      <c r="F45" s="424">
        <f>SUMIF(127:127,E45,128:128)-SUMIF(127:127,C45,128:128)+100</f>
        <v>75</v>
      </c>
      <c r="G45" s="3014" t="s">
        <v>3553</v>
      </c>
      <c r="H45" s="135">
        <f>SUMIF(127:127,G45,128:128)-SUMIF(127:127,C45,128:128)+100</f>
        <v>75</v>
      </c>
      <c r="I45" s="3014" t="s">
        <v>3553</v>
      </c>
      <c r="J45" s="135">
        <f>SUMIF(127:127,I45,128:128)-SUMIF(127:127,C45,128:128)+100</f>
        <v>75</v>
      </c>
      <c r="K45" s="612"/>
      <c r="L45" s="1128"/>
      <c r="M45" s="1129"/>
      <c r="N45" s="1129"/>
      <c r="O45" s="1129"/>
      <c r="P45" s="3275"/>
      <c r="Q45" s="1791" t="str">
        <f t="shared" si="11"/>
        <v>建筑类型</v>
      </c>
      <c r="R45" s="769" t="s">
        <v>17</v>
      </c>
      <c r="S45" s="770">
        <f t="shared" si="12"/>
        <v>75</v>
      </c>
      <c r="T45" s="769" t="s">
        <v>17</v>
      </c>
      <c r="U45" s="770">
        <f t="shared" si="13"/>
        <v>75</v>
      </c>
      <c r="V45" s="769" t="s">
        <v>17</v>
      </c>
      <c r="W45" s="770">
        <f t="shared" si="14"/>
        <v>75</v>
      </c>
      <c r="X45" s="771"/>
      <c r="Y45" s="3277"/>
      <c r="Z45" s="54" t="str">
        <f t="shared" si="15"/>
        <v>建筑类型</v>
      </c>
      <c r="AA45" s="772">
        <f t="shared" si="3"/>
        <v>1.3333333333333333</v>
      </c>
      <c r="AB45" s="772">
        <f t="shared" si="4"/>
        <v>1.3333333333333333</v>
      </c>
      <c r="AC45" s="2664">
        <f t="shared" si="5"/>
        <v>1.3333333333333333</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275"/>
      <c r="Q46" s="1806">
        <f t="shared" si="11"/>
        <v>111</v>
      </c>
      <c r="R46" s="773" t="s">
        <v>17</v>
      </c>
      <c r="S46" s="774">
        <f t="shared" si="12"/>
        <v>100</v>
      </c>
      <c r="T46" s="773" t="s">
        <v>17</v>
      </c>
      <c r="U46" s="774">
        <f t="shared" si="13"/>
        <v>100</v>
      </c>
      <c r="V46" s="773" t="s">
        <v>17</v>
      </c>
      <c r="W46" s="774">
        <f t="shared" si="14"/>
        <v>100</v>
      </c>
      <c r="X46" s="1809"/>
      <c r="Y46" s="3277"/>
      <c r="Z46" s="1810">
        <f t="shared" si="15"/>
        <v>111</v>
      </c>
      <c r="AA46" s="1807">
        <f t="shared" si="3"/>
        <v>1</v>
      </c>
      <c r="AB46" s="1807">
        <f t="shared" si="4"/>
        <v>1</v>
      </c>
      <c r="AC46" s="2667">
        <f t="shared" si="5"/>
        <v>1</v>
      </c>
    </row>
    <row r="47" spans="1:29" ht="15.75"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276"/>
      <c r="Q47" s="1806">
        <f t="shared" si="11"/>
        <v>111</v>
      </c>
      <c r="R47" s="773" t="s">
        <v>17</v>
      </c>
      <c r="S47" s="774">
        <f t="shared" si="12"/>
        <v>100</v>
      </c>
      <c r="T47" s="773" t="s">
        <v>17</v>
      </c>
      <c r="U47" s="774">
        <f t="shared" si="13"/>
        <v>100</v>
      </c>
      <c r="V47" s="773" t="s">
        <v>17</v>
      </c>
      <c r="W47" s="774">
        <f t="shared" si="14"/>
        <v>100</v>
      </c>
      <c r="X47" s="1809"/>
      <c r="Y47" s="3278"/>
      <c r="Z47" s="1810">
        <f t="shared" si="15"/>
        <v>111</v>
      </c>
      <c r="AA47" s="1807">
        <f t="shared" si="3"/>
        <v>1</v>
      </c>
      <c r="AB47" s="1807">
        <f t="shared" si="4"/>
        <v>1</v>
      </c>
      <c r="AC47" s="2667">
        <f t="shared" si="5"/>
        <v>1</v>
      </c>
    </row>
    <row r="48" spans="1:29" ht="15">
      <c r="A48" s="478" t="s">
        <v>2576</v>
      </c>
      <c r="B48" s="479"/>
      <c r="C48" s="1403" t="s">
        <v>1</v>
      </c>
      <c r="D48" s="1404"/>
      <c r="E48" s="1405">
        <v>4.8</v>
      </c>
      <c r="F48" s="1406"/>
      <c r="G48" s="1407">
        <v>4.5</v>
      </c>
      <c r="H48" s="1408"/>
      <c r="I48" s="1405">
        <v>4</v>
      </c>
      <c r="J48" s="484"/>
      <c r="K48" s="782"/>
      <c r="L48" s="1139"/>
      <c r="M48" s="1127"/>
      <c r="N48" s="1127"/>
      <c r="O48" s="1127"/>
      <c r="P48" s="3250" t="str">
        <f>A48</f>
        <v>成交单价（元/平方米）</v>
      </c>
      <c r="Q48" s="3279"/>
      <c r="R48" s="3280">
        <f>E48</f>
        <v>4.8</v>
      </c>
      <c r="S48" s="3280"/>
      <c r="T48" s="3280">
        <f>G48</f>
        <v>4.5</v>
      </c>
      <c r="U48" s="3280"/>
      <c r="V48" s="3280">
        <f>I48</f>
        <v>4</v>
      </c>
      <c r="W48" s="3280"/>
      <c r="X48" s="445"/>
      <c r="Y48" s="780"/>
      <c r="Z48" s="445"/>
      <c r="AA48" s="445"/>
      <c r="AB48" s="445"/>
      <c r="AC48" s="629"/>
    </row>
    <row r="49" spans="1:29" ht="15.75" thickBot="1">
      <c r="A49" s="485" t="s">
        <v>2668</v>
      </c>
      <c r="B49" s="486"/>
      <c r="C49" s="1409">
        <f>R50</f>
        <v>6</v>
      </c>
      <c r="D49" s="1410"/>
      <c r="E49" s="1411">
        <f>R49</f>
        <v>6.5</v>
      </c>
      <c r="F49" s="1411"/>
      <c r="G49" s="1409">
        <f>T49</f>
        <v>6</v>
      </c>
      <c r="H49" s="1410"/>
      <c r="I49" s="1411">
        <f>V49</f>
        <v>5.4</v>
      </c>
      <c r="J49" s="488"/>
      <c r="K49" s="783"/>
      <c r="L49" s="1139"/>
      <c r="M49" s="1127"/>
      <c r="N49" s="1127"/>
      <c r="O49" s="1127"/>
      <c r="P49" s="3250" t="str">
        <f>A49</f>
        <v>比较价值（元/平方米）</v>
      </c>
      <c r="Q49" s="3279"/>
      <c r="R49" s="3280">
        <f>IF(F1="售价",ROUND(PRODUCT(R48,AA7:AA47),0),ROUND(PRODUCT(R48,AA7:AA47),1))</f>
        <v>6.5</v>
      </c>
      <c r="S49" s="3280"/>
      <c r="T49" s="3280">
        <f>IF(F1="售价",ROUND(PRODUCT(T48,AB7:AB47),0),ROUND(PRODUCT(T48,AB7:AB47),1))</f>
        <v>6</v>
      </c>
      <c r="U49" s="3280"/>
      <c r="V49" s="3280">
        <f>IF(F1="售价",ROUND(PRODUCT(V48,AC7:AC47),0),ROUND(PRODUCT(V48,AC7:AC47),1))</f>
        <v>5.4</v>
      </c>
      <c r="W49" s="3280"/>
      <c r="X49" s="445"/>
      <c r="Y49" s="445"/>
      <c r="Z49" s="445"/>
      <c r="AA49" s="445"/>
      <c r="AB49" s="445"/>
      <c r="AC49" s="629"/>
    </row>
    <row r="50" spans="1:29" ht="15.75" thickBot="1">
      <c r="A50" s="491" t="s">
        <v>2669</v>
      </c>
      <c r="B50" s="492"/>
      <c r="C50" s="1413">
        <f>R50</f>
        <v>6</v>
      </c>
      <c r="D50" s="1413"/>
      <c r="E50" s="1413"/>
      <c r="F50" s="1413"/>
      <c r="G50" s="1413"/>
      <c r="H50" s="1413"/>
      <c r="I50" s="1413"/>
      <c r="J50" s="493"/>
      <c r="K50" s="784"/>
      <c r="L50" s="1139"/>
      <c r="M50" s="1127"/>
      <c r="N50" s="1127"/>
      <c r="O50" s="1127"/>
      <c r="P50" s="3281" t="str">
        <f>A50</f>
        <v>估价对象XX用房的比较价值（楼面单价，元/平方米）</v>
      </c>
      <c r="Q50" s="3282"/>
      <c r="R50" s="3283">
        <f>IF(F1="售价",ROUND(AVERAGE(R49:V49),0),ROUND(AVERAGE(R49:V49),1))</f>
        <v>6</v>
      </c>
      <c r="S50" s="3283"/>
      <c r="T50" s="3283"/>
      <c r="U50" s="3283"/>
      <c r="V50" s="3283"/>
      <c r="W50" s="3283"/>
      <c r="X50" s="2647"/>
      <c r="Y50" s="2647"/>
      <c r="Z50" s="2647"/>
      <c r="AA50" s="2647"/>
      <c r="AB50" s="2647"/>
      <c r="AC50" s="2648"/>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2670</v>
      </c>
      <c r="D53" s="497"/>
      <c r="E53" s="498">
        <f>IF(E48&lt;E49,E49/E48-1,E48/E49-1)</f>
        <v>0.35416666666666674</v>
      </c>
      <c r="F53" s="499" t="str">
        <f>IF(OR(E53&gt;=0.3,E53&lt;=-0.3),"超过30%","")</f>
        <v>超过30%</v>
      </c>
      <c r="G53" s="498">
        <f>IF(G48&lt;G49,G49/G48-1,G48/G49-1)</f>
        <v>0.33333333333333326</v>
      </c>
      <c r="H53" s="499" t="str">
        <f>IF(OR(G53&gt;=0.3,G53&lt;=-0.3),"超过30%","")</f>
        <v>超过30%</v>
      </c>
      <c r="I53" s="498">
        <f>IF(I48&lt;I49,I49/I48-1,I48/I49-1)</f>
        <v>0.35000000000000009</v>
      </c>
      <c r="J53" s="499" t="str">
        <f>IF(OR(I53&gt;=0.3,I53&lt;=-0.3),"超过30%","")</f>
        <v>超过30%</v>
      </c>
      <c r="K53" s="1101"/>
      <c r="L53" s="1102"/>
      <c r="M53" s="1140"/>
      <c r="N53" s="1140"/>
      <c r="O53" s="1140"/>
    </row>
    <row r="54" spans="1:29" ht="13.5" customHeight="1">
      <c r="A54" s="1140"/>
      <c r="B54" s="1140"/>
      <c r="C54" s="496" t="s">
        <v>2671</v>
      </c>
      <c r="D54" s="500"/>
      <c r="E54" s="498">
        <f>IF(E49&lt;G49,G49/E49-1,E49/G49-1)</f>
        <v>8.3333333333333259E-2</v>
      </c>
      <c r="F54" s="499" t="str">
        <f>IF(OR(E54&gt;=0.2,E54&lt;=-0.2),"超过20%","")</f>
        <v/>
      </c>
      <c r="G54" s="498">
        <f>IF(G49&lt;I49,I49/G49-1,G49/I49-1)</f>
        <v>0.11111111111111094</v>
      </c>
      <c r="H54" s="499" t="str">
        <f>IF(OR(G54&gt;=0.2,G54&lt;=-0.2),"超过20%","")</f>
        <v/>
      </c>
      <c r="I54" s="498">
        <f>IF(I49&lt;E49,E49/I49-1,I49/E49-1)</f>
        <v>0.20370370370370372</v>
      </c>
      <c r="J54" s="499" t="str">
        <f>IF(OR(I54&gt;=0.2,I54&lt;=-0.2),"超过20%","")</f>
        <v>超过20%</v>
      </c>
      <c r="K54" s="1101"/>
      <c r="L54" s="1102"/>
      <c r="M54" s="1140"/>
      <c r="N54" s="1140"/>
      <c r="O54" s="1140"/>
    </row>
    <row r="55" spans="1:29" s="501" customFormat="1" ht="13.5" customHeight="1">
      <c r="A55" s="1141"/>
      <c r="B55" s="1141"/>
      <c r="C55" s="496" t="s">
        <v>2672</v>
      </c>
      <c r="D55" s="500"/>
      <c r="E55" s="498">
        <f>IF(E48&lt;G48,G48/E48-1,E48/G48-1)</f>
        <v>6.6666666666666652E-2</v>
      </c>
      <c r="F55" s="499" t="str">
        <f>IF(OR(E55&gt;=0.3,E55&lt;=-0.3),"超过30%","")</f>
        <v/>
      </c>
      <c r="G55" s="498">
        <f>IF(G48&lt;I48,I48/G48-1,G48/I48-1)</f>
        <v>0.125</v>
      </c>
      <c r="H55" s="499" t="str">
        <f>IF(OR(G55&gt;=0.3,G55&lt;=-0.3),"超过30%","")</f>
        <v/>
      </c>
      <c r="I55" s="498">
        <f>IF(I48&lt;E48,E48/I48-1,I48/E48-1)</f>
        <v>0.19999999999999996</v>
      </c>
      <c r="J55" s="499" t="str">
        <f>IF(OR(I55&gt;=0.3,I55&lt;=-0.3),"超过30%","")</f>
        <v/>
      </c>
      <c r="K55" s="1144"/>
      <c r="L55" s="1145"/>
      <c r="M55" s="1141"/>
      <c r="N55" s="1141"/>
      <c r="O55" s="1141"/>
      <c r="P55" s="2673"/>
    </row>
    <row r="56" spans="1:29" s="501" customFormat="1">
      <c r="A56" s="1141"/>
      <c r="B56" s="1142"/>
      <c r="C56" s="1146"/>
      <c r="D56" s="1141"/>
      <c r="E56" s="1141"/>
      <c r="F56" s="1141"/>
      <c r="G56" s="1141"/>
      <c r="H56" s="1141"/>
      <c r="I56" s="1141"/>
      <c r="J56" s="1141"/>
      <c r="K56" s="1144"/>
      <c r="L56" s="1145"/>
      <c r="M56" s="1141"/>
      <c r="N56" s="1141"/>
      <c r="O56" s="1141"/>
      <c r="P56" s="2673"/>
    </row>
    <row r="57" spans="1:29">
      <c r="A57" s="1140"/>
      <c r="B57" s="1142"/>
      <c r="C57" s="1146"/>
      <c r="D57" s="1140"/>
      <c r="E57" s="1140"/>
      <c r="F57" s="1140"/>
      <c r="G57" s="1140"/>
      <c r="H57" s="1140"/>
      <c r="I57" s="1140"/>
      <c r="J57" s="1140"/>
      <c r="K57" s="1101"/>
      <c r="L57" s="1102"/>
      <c r="M57" s="1140"/>
      <c r="N57" s="1140"/>
      <c r="O57" s="1140"/>
    </row>
    <row r="58" spans="1:29" ht="21.75" thickBot="1">
      <c r="A58" s="762" t="s">
        <v>2673</v>
      </c>
      <c r="B58" s="758"/>
      <c r="C58" s="763"/>
      <c r="D58" s="763"/>
      <c r="E58" s="763"/>
      <c r="F58" s="764"/>
      <c r="G58" s="764"/>
      <c r="H58" s="763"/>
      <c r="I58" s="763"/>
      <c r="J58" s="763"/>
      <c r="K58" s="765"/>
      <c r="L58" s="1157"/>
      <c r="M58" s="1155"/>
      <c r="N58" s="1155"/>
      <c r="O58" s="1155"/>
      <c r="P58" s="2674"/>
      <c r="Q58" s="503"/>
    </row>
    <row r="59" spans="1:29" s="507" customFormat="1" ht="15">
      <c r="A59" s="504" t="s">
        <v>2547</v>
      </c>
      <c r="B59" s="505"/>
      <c r="C59" s="1570" t="str">
        <f>YEAR(C7)&amp;"-"&amp;MONTH(C7)</f>
        <v>2018-3</v>
      </c>
      <c r="D59" s="1571">
        <f>EDATE(C59,-1)</f>
        <v>43132</v>
      </c>
      <c r="E59" s="1571">
        <f>EDATE(D59,-1)</f>
        <v>43101</v>
      </c>
      <c r="F59" s="1571">
        <f t="shared" ref="F59:O59" si="16">EDATE(E59,-1)</f>
        <v>43070</v>
      </c>
      <c r="G59" s="1571">
        <f t="shared" si="16"/>
        <v>43040</v>
      </c>
      <c r="H59" s="1571">
        <f t="shared" si="16"/>
        <v>43009</v>
      </c>
      <c r="I59" s="1571">
        <f t="shared" si="16"/>
        <v>42979</v>
      </c>
      <c r="J59" s="1571">
        <f t="shared" si="16"/>
        <v>42948</v>
      </c>
      <c r="K59" s="1571">
        <f t="shared" si="16"/>
        <v>42917</v>
      </c>
      <c r="L59" s="1571">
        <f t="shared" si="16"/>
        <v>42887</v>
      </c>
      <c r="M59" s="1571">
        <f t="shared" si="16"/>
        <v>42856</v>
      </c>
      <c r="N59" s="1571">
        <f t="shared" si="16"/>
        <v>42826</v>
      </c>
      <c r="O59" s="1571">
        <f t="shared" si="16"/>
        <v>42795</v>
      </c>
      <c r="P59" s="1567"/>
    </row>
    <row r="60" spans="1:29" s="116" customFormat="1" ht="15">
      <c r="A60" s="508"/>
      <c r="B60" s="509"/>
      <c r="C60" s="1569">
        <v>100</v>
      </c>
      <c r="D60" s="511"/>
      <c r="E60" s="511"/>
      <c r="F60" s="511"/>
      <c r="G60" s="511"/>
      <c r="H60" s="511"/>
      <c r="I60" s="511"/>
      <c r="J60" s="511"/>
      <c r="K60" s="511"/>
      <c r="L60" s="511"/>
      <c r="M60" s="512"/>
      <c r="N60" s="511"/>
      <c r="O60" s="512"/>
      <c r="P60" s="2675"/>
    </row>
    <row r="61" spans="1:29" s="116" customFormat="1" ht="15.75" thickBot="1">
      <c r="A61" s="514" t="s">
        <v>2584</v>
      </c>
      <c r="B61" s="515"/>
      <c r="C61" s="516"/>
      <c r="D61" s="517"/>
      <c r="E61" s="517"/>
      <c r="F61" s="517"/>
      <c r="G61" s="517"/>
      <c r="H61" s="517"/>
      <c r="I61" s="517"/>
      <c r="J61" s="517"/>
      <c r="K61" s="517"/>
      <c r="L61" s="517"/>
      <c r="M61" s="518"/>
      <c r="N61" s="517"/>
      <c r="O61" s="518"/>
      <c r="P61" s="2675"/>
      <c r="Q61" s="503"/>
    </row>
    <row r="62" spans="1:29" s="116" customFormat="1" ht="15">
      <c r="A62" s="520" t="s">
        <v>2549</v>
      </c>
      <c r="B62" s="509"/>
      <c r="C62" s="521" t="s">
        <v>2651</v>
      </c>
      <c r="D62" s="522"/>
      <c r="E62" s="522"/>
      <c r="F62" s="522"/>
      <c r="G62" s="522"/>
      <c r="H62" s="522"/>
      <c r="I62" s="522"/>
      <c r="J62" s="522"/>
      <c r="K62" s="522"/>
      <c r="L62" s="523"/>
      <c r="M62" s="524"/>
      <c r="N62" s="1147"/>
      <c r="O62" s="1147"/>
      <c r="P62" s="2676"/>
      <c r="Q62" s="503"/>
    </row>
    <row r="63" spans="1:29" s="116" customFormat="1" ht="15.75" thickBot="1">
      <c r="A63" s="520"/>
      <c r="B63" s="509"/>
      <c r="C63" s="510">
        <v>100</v>
      </c>
      <c r="D63" s="511"/>
      <c r="E63" s="511"/>
      <c r="F63" s="511"/>
      <c r="G63" s="511"/>
      <c r="H63" s="511"/>
      <c r="I63" s="511"/>
      <c r="J63" s="511"/>
      <c r="K63" s="511"/>
      <c r="L63" s="511"/>
      <c r="M63" s="513"/>
      <c r="N63" s="1147"/>
      <c r="O63" s="1147"/>
      <c r="P63" s="2675"/>
      <c r="Q63" s="503"/>
    </row>
    <row r="64" spans="1:29">
      <c r="A64" s="526" t="s">
        <v>2587</v>
      </c>
      <c r="B64" s="527" t="s">
        <v>2553</v>
      </c>
      <c r="C64" s="528" t="str">
        <f>C9</f>
        <v>办公</v>
      </c>
      <c r="D64" s="529"/>
      <c r="E64" s="529"/>
      <c r="F64" s="529"/>
      <c r="G64" s="529"/>
      <c r="H64" s="529"/>
      <c r="I64" s="529"/>
      <c r="J64" s="529"/>
      <c r="K64" s="530"/>
      <c r="L64" s="531"/>
      <c r="M64" s="532"/>
      <c r="N64" s="1148"/>
      <c r="O64" s="1148"/>
      <c r="P64" s="2677"/>
      <c r="Q64" s="503"/>
    </row>
    <row r="65" spans="1:17" ht="15.75" thickBot="1">
      <c r="A65" s="533"/>
      <c r="B65" s="534"/>
      <c r="C65" s="535">
        <v>100</v>
      </c>
      <c r="D65" s="535"/>
      <c r="E65" s="535"/>
      <c r="F65" s="535"/>
      <c r="G65" s="535"/>
      <c r="H65" s="535"/>
      <c r="I65" s="535"/>
      <c r="J65" s="535"/>
      <c r="K65" s="535"/>
      <c r="L65" s="535"/>
      <c r="M65" s="536"/>
      <c r="N65" s="1149"/>
      <c r="O65" s="1149"/>
      <c r="P65" s="2677"/>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48"/>
      <c r="O66" s="1148"/>
      <c r="P66" s="267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77"/>
      <c r="Q67" s="503"/>
    </row>
    <row r="68" spans="1:17" ht="15.75" thickTop="1">
      <c r="A68" s="533"/>
      <c r="B68" s="545" t="s">
        <v>2557</v>
      </c>
      <c r="C68" s="546" t="str">
        <f>C69&amp;"（含）"&amp;"-"&amp;D69</f>
        <v>1（含）-2</v>
      </c>
      <c r="D68" s="546" t="str">
        <f t="shared" ref="D68:L68" si="17">D69&amp;"（含）"&amp;"-"&amp;E69</f>
        <v>2（含）-3</v>
      </c>
      <c r="E68" s="546" t="str">
        <f t="shared" si="17"/>
        <v>3（含）-4</v>
      </c>
      <c r="F68" s="546" t="str">
        <f t="shared" si="17"/>
        <v>4（含）-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77"/>
      <c r="Q68" s="503"/>
    </row>
    <row r="69" spans="1:17" ht="15">
      <c r="A69" s="533"/>
      <c r="B69" s="547"/>
      <c r="C69" s="548">
        <v>1</v>
      </c>
      <c r="D69" s="548">
        <v>2</v>
      </c>
      <c r="E69" s="548">
        <v>3</v>
      </c>
      <c r="F69" s="548">
        <v>4</v>
      </c>
      <c r="G69" s="548"/>
      <c r="H69" s="548"/>
      <c r="I69" s="548"/>
      <c r="J69" s="548"/>
      <c r="K69" s="549"/>
      <c r="L69" s="550"/>
      <c r="M69" s="551"/>
      <c r="N69" s="1148"/>
      <c r="O69" s="1148"/>
      <c r="P69" s="2677"/>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49"/>
      <c r="O70" s="1149"/>
      <c r="P70" s="2677"/>
      <c r="Q70" s="503"/>
    </row>
    <row r="71" spans="1:17" s="470" customFormat="1" ht="15.75" thickTop="1">
      <c r="A71" s="552"/>
      <c r="B71" s="537">
        <f>B12</f>
        <v>111</v>
      </c>
      <c r="C71" s="553"/>
      <c r="D71" s="553"/>
      <c r="E71" s="553"/>
      <c r="F71" s="553"/>
      <c r="G71" s="553"/>
      <c r="H71" s="554"/>
      <c r="I71" s="554"/>
      <c r="J71" s="554"/>
      <c r="K71" s="554"/>
      <c r="L71" s="555"/>
      <c r="M71" s="556"/>
      <c r="N71" s="1150"/>
      <c r="O71" s="1150"/>
      <c r="P71" s="2678"/>
      <c r="Q71" s="558"/>
    </row>
    <row r="72" spans="1:17" s="470" customFormat="1" ht="15.75" thickBot="1">
      <c r="A72" s="552"/>
      <c r="B72" s="542"/>
      <c r="C72" s="559"/>
      <c r="D72" s="535"/>
      <c r="E72" s="535"/>
      <c r="F72" s="535"/>
      <c r="G72" s="535"/>
      <c r="H72" s="535"/>
      <c r="I72" s="535"/>
      <c r="J72" s="535"/>
      <c r="K72" s="535"/>
      <c r="L72" s="535"/>
      <c r="M72" s="536"/>
      <c r="N72" s="1149"/>
      <c r="O72" s="1149"/>
      <c r="P72" s="2678"/>
      <c r="Q72" s="558"/>
    </row>
    <row r="73" spans="1:17" s="470" customFormat="1" ht="15.75" thickTop="1">
      <c r="A73" s="552"/>
      <c r="B73" s="537">
        <f>B13</f>
        <v>111</v>
      </c>
      <c r="C73" s="553"/>
      <c r="D73" s="553"/>
      <c r="E73" s="553"/>
      <c r="F73" s="553"/>
      <c r="G73" s="553"/>
      <c r="H73" s="554"/>
      <c r="I73" s="554"/>
      <c r="J73" s="554"/>
      <c r="K73" s="554"/>
      <c r="L73" s="555"/>
      <c r="M73" s="556"/>
      <c r="N73" s="1150"/>
      <c r="O73" s="1150"/>
      <c r="P73" s="2679"/>
      <c r="Q73" s="560"/>
    </row>
    <row r="74" spans="1:17" s="470" customFormat="1" ht="15.75" thickBot="1">
      <c r="A74" s="552"/>
      <c r="B74" s="542"/>
      <c r="C74" s="559"/>
      <c r="D74" s="559"/>
      <c r="E74" s="559"/>
      <c r="F74" s="559"/>
      <c r="G74" s="559"/>
      <c r="H74" s="561"/>
      <c r="I74" s="561"/>
      <c r="J74" s="561"/>
      <c r="K74" s="561"/>
      <c r="L74" s="561"/>
      <c r="M74" s="562"/>
      <c r="N74" s="1150"/>
      <c r="O74" s="1150"/>
      <c r="P74" s="2678"/>
      <c r="Q74" s="558"/>
    </row>
    <row r="75" spans="1:17" s="470" customFormat="1" ht="15.75" thickTop="1">
      <c r="A75" s="552"/>
      <c r="B75" s="545">
        <f>B14</f>
        <v>111</v>
      </c>
      <c r="C75" s="522"/>
      <c r="D75" s="522"/>
      <c r="E75" s="522"/>
      <c r="F75" s="522"/>
      <c r="G75" s="522"/>
      <c r="H75" s="563"/>
      <c r="I75" s="563"/>
      <c r="J75" s="563"/>
      <c r="K75" s="563"/>
      <c r="L75" s="564"/>
      <c r="M75" s="565"/>
      <c r="N75" s="1150"/>
      <c r="O75" s="1150"/>
      <c r="P75" s="2680"/>
      <c r="Q75" s="558"/>
    </row>
    <row r="76" spans="1:17" s="470" customFormat="1" ht="15.75" thickBot="1">
      <c r="A76" s="567"/>
      <c r="B76" s="568"/>
      <c r="C76" s="569"/>
      <c r="D76" s="569"/>
      <c r="E76" s="569"/>
      <c r="F76" s="569"/>
      <c r="G76" s="569"/>
      <c r="H76" s="570"/>
      <c r="I76" s="570"/>
      <c r="J76" s="570"/>
      <c r="K76" s="570"/>
      <c r="L76" s="570"/>
      <c r="M76" s="571"/>
      <c r="N76" s="1150"/>
      <c r="O76" s="1150"/>
      <c r="P76" s="2678"/>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48"/>
      <c r="O77" s="1148"/>
      <c r="P77" s="2681"/>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49"/>
      <c r="O78" s="1149"/>
      <c r="P78" s="2677"/>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48"/>
      <c r="O79" s="1148"/>
      <c r="P79" s="2677"/>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49"/>
      <c r="O80" s="1149"/>
      <c r="P80" s="2677"/>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48"/>
      <c r="O81" s="1148"/>
      <c r="P81" s="2677"/>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49"/>
      <c r="O82" s="1149"/>
      <c r="P82" s="2677"/>
      <c r="Q82" s="503"/>
    </row>
    <row r="83" spans="1:17" ht="15.75" thickTop="1">
      <c r="A83" s="533"/>
      <c r="B83" s="545" t="s">
        <v>2688</v>
      </c>
      <c r="C83" s="659" t="s">
        <v>2674</v>
      </c>
      <c r="D83" s="659" t="s">
        <v>2675</v>
      </c>
      <c r="E83" s="659" t="s">
        <v>2676</v>
      </c>
      <c r="F83" s="659" t="s">
        <v>2677</v>
      </c>
      <c r="G83" s="659" t="s">
        <v>2678</v>
      </c>
      <c r="H83" s="538"/>
      <c r="I83" s="538"/>
      <c r="J83" s="538"/>
      <c r="K83" s="538"/>
      <c r="L83" s="538"/>
      <c r="M83" s="1378"/>
      <c r="N83" s="1149"/>
      <c r="O83" s="1149"/>
      <c r="P83" s="2677"/>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49"/>
      <c r="O84" s="1149"/>
      <c r="P84" s="2677"/>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48"/>
      <c r="O85" s="1148"/>
      <c r="P85" s="2677"/>
      <c r="Q85" s="503"/>
    </row>
    <row r="86" spans="1:17" ht="15.75" thickBot="1">
      <c r="A86" s="533"/>
      <c r="B86" s="542"/>
      <c r="C86" s="543">
        <v>100</v>
      </c>
      <c r="D86" s="543">
        <f>C86-$K23</f>
        <v>99</v>
      </c>
      <c r="E86" s="543">
        <f>D86-$K23</f>
        <v>98</v>
      </c>
      <c r="F86" s="543">
        <f>E86-$K23</f>
        <v>97</v>
      </c>
      <c r="G86" s="543">
        <f>F86-$K23</f>
        <v>96</v>
      </c>
      <c r="H86" s="543"/>
      <c r="I86" s="543"/>
      <c r="J86" s="543"/>
      <c r="K86" s="543"/>
      <c r="L86" s="543"/>
      <c r="M86" s="544"/>
      <c r="N86" s="1149"/>
      <c r="O86" s="1149"/>
      <c r="P86" s="2677"/>
      <c r="Q86" s="503"/>
    </row>
    <row r="87" spans="1:17" s="116" customFormat="1" ht="27.75" thickTop="1">
      <c r="A87" s="578"/>
      <c r="B87" s="537" t="s">
        <v>2698</v>
      </c>
      <c r="C87" s="3002" t="s">
        <v>3509</v>
      </c>
      <c r="D87" s="3002" t="s">
        <v>3510</v>
      </c>
      <c r="E87" s="3002" t="s">
        <v>3511</v>
      </c>
      <c r="F87" s="3002" t="s">
        <v>3512</v>
      </c>
      <c r="G87" s="3002" t="s">
        <v>3513</v>
      </c>
      <c r="H87" s="553"/>
      <c r="I87" s="553"/>
      <c r="J87" s="553"/>
      <c r="K87" s="553"/>
      <c r="L87" s="579"/>
      <c r="M87" s="580"/>
      <c r="N87" s="1147"/>
      <c r="O87" s="1147"/>
      <c r="P87" s="2677"/>
      <c r="Q87" s="503"/>
    </row>
    <row r="88" spans="1:17" s="116"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49"/>
      <c r="O88" s="1149"/>
      <c r="P88" s="2677"/>
      <c r="Q88" s="503"/>
    </row>
    <row r="89" spans="1:17" s="116" customFormat="1" ht="15.75" thickTop="1">
      <c r="A89" s="578"/>
      <c r="B89" s="537" t="str">
        <f>B27</f>
        <v>楼层</v>
      </c>
      <c r="C89" s="553"/>
      <c r="D89" s="553"/>
      <c r="E89" s="553"/>
      <c r="F89" s="2628"/>
      <c r="G89" s="553"/>
      <c r="H89" s="553"/>
      <c r="I89" s="553"/>
      <c r="J89" s="553"/>
      <c r="K89" s="553"/>
      <c r="L89" s="553"/>
      <c r="M89" s="580"/>
      <c r="N89" s="1147"/>
      <c r="O89" s="1147"/>
      <c r="P89" s="2677"/>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77"/>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7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78"/>
      <c r="Q92" s="558"/>
    </row>
    <row r="93" spans="1:17" ht="15.75" thickTop="1">
      <c r="A93" s="533"/>
      <c r="B93" s="537">
        <f>B29</f>
        <v>111</v>
      </c>
      <c r="C93" s="553"/>
      <c r="D93" s="553"/>
      <c r="E93" s="553"/>
      <c r="F93" s="553"/>
      <c r="G93" s="553"/>
      <c r="H93" s="553"/>
      <c r="I93" s="553"/>
      <c r="J93" s="553"/>
      <c r="K93" s="553"/>
      <c r="L93" s="579"/>
      <c r="M93" s="580"/>
      <c r="N93" s="1148"/>
      <c r="O93" s="1148"/>
      <c r="P93" s="2677"/>
      <c r="Q93" s="503"/>
    </row>
    <row r="94" spans="1:17" ht="15.75" thickBot="1">
      <c r="A94" s="533"/>
      <c r="B94" s="542"/>
      <c r="C94" s="559"/>
      <c r="D94" s="535"/>
      <c r="E94" s="535"/>
      <c r="F94" s="535"/>
      <c r="G94" s="535"/>
      <c r="H94" s="535"/>
      <c r="I94" s="535"/>
      <c r="J94" s="535"/>
      <c r="K94" s="535"/>
      <c r="L94" s="535"/>
      <c r="M94" s="536"/>
      <c r="N94" s="1149"/>
      <c r="O94" s="1149"/>
      <c r="P94" s="2677"/>
      <c r="Q94" s="503"/>
    </row>
    <row r="95" spans="1:17" ht="15.75" thickTop="1">
      <c r="A95" s="533"/>
      <c r="B95" s="537">
        <f>B30</f>
        <v>111</v>
      </c>
      <c r="C95" s="553"/>
      <c r="D95" s="553"/>
      <c r="E95" s="553"/>
      <c r="F95" s="553"/>
      <c r="G95" s="582"/>
      <c r="H95" s="582"/>
      <c r="I95" s="582"/>
      <c r="J95" s="582"/>
      <c r="K95" s="583"/>
      <c r="L95" s="584"/>
      <c r="M95" s="585"/>
      <c r="N95" s="1148"/>
      <c r="O95" s="1148"/>
      <c r="P95" s="2677"/>
      <c r="Q95" s="503"/>
    </row>
    <row r="96" spans="1:17" ht="15.75" thickBot="1">
      <c r="A96" s="533"/>
      <c r="B96" s="542"/>
      <c r="C96" s="559"/>
      <c r="D96" s="559"/>
      <c r="E96" s="559"/>
      <c r="F96" s="559"/>
      <c r="G96" s="535"/>
      <c r="H96" s="535"/>
      <c r="I96" s="535"/>
      <c r="J96" s="535"/>
      <c r="K96" s="535"/>
      <c r="L96" s="535"/>
      <c r="M96" s="536"/>
      <c r="N96" s="1149"/>
      <c r="O96" s="1149"/>
      <c r="P96" s="2677"/>
      <c r="Q96" s="503"/>
    </row>
    <row r="97" spans="1:17" ht="15.75" thickTop="1">
      <c r="A97" s="533"/>
      <c r="B97" s="537">
        <f>B31</f>
        <v>111</v>
      </c>
      <c r="C97" s="553"/>
      <c r="D97" s="553"/>
      <c r="E97" s="553"/>
      <c r="F97" s="553"/>
      <c r="G97" s="582"/>
      <c r="H97" s="582"/>
      <c r="I97" s="582"/>
      <c r="J97" s="582"/>
      <c r="K97" s="583"/>
      <c r="L97" s="584"/>
      <c r="M97" s="585"/>
      <c r="N97" s="1148"/>
      <c r="O97" s="1148"/>
      <c r="P97" s="2677"/>
      <c r="Q97" s="503"/>
    </row>
    <row r="98" spans="1:17" ht="15.75" thickBot="1">
      <c r="A98" s="533"/>
      <c r="B98" s="542"/>
      <c r="C98" s="559"/>
      <c r="D98" s="535"/>
      <c r="E98" s="535"/>
      <c r="F98" s="535"/>
      <c r="G98" s="535"/>
      <c r="H98" s="535"/>
      <c r="I98" s="535"/>
      <c r="J98" s="535"/>
      <c r="K98" s="535"/>
      <c r="L98" s="535"/>
      <c r="M98" s="536"/>
      <c r="N98" s="1149"/>
      <c r="O98" s="1149"/>
      <c r="P98" s="2677"/>
      <c r="Q98" s="503"/>
    </row>
    <row r="99" spans="1:17" ht="15.75" thickTop="1">
      <c r="A99" s="533"/>
      <c r="B99" s="545">
        <f>B32</f>
        <v>111</v>
      </c>
      <c r="C99" s="522"/>
      <c r="D99" s="522"/>
      <c r="E99" s="522"/>
      <c r="F99" s="522"/>
      <c r="G99" s="586"/>
      <c r="H99" s="586"/>
      <c r="I99" s="586"/>
      <c r="J99" s="586"/>
      <c r="K99" s="587"/>
      <c r="L99" s="588"/>
      <c r="M99" s="589"/>
      <c r="N99" s="1148"/>
      <c r="O99" s="1148"/>
      <c r="P99" s="2677"/>
      <c r="Q99" s="503"/>
    </row>
    <row r="100" spans="1:17" ht="15.75" thickBot="1">
      <c r="A100" s="2629"/>
      <c r="B100" s="568"/>
      <c r="C100" s="569"/>
      <c r="D100" s="569"/>
      <c r="E100" s="569"/>
      <c r="F100" s="569"/>
      <c r="G100" s="590"/>
      <c r="H100" s="590"/>
      <c r="I100" s="590"/>
      <c r="J100" s="590"/>
      <c r="K100" s="590"/>
      <c r="L100" s="590"/>
      <c r="M100" s="591"/>
      <c r="N100" s="1149"/>
      <c r="O100" s="1149"/>
      <c r="P100" s="2677"/>
      <c r="Q100" s="503"/>
    </row>
    <row r="101" spans="1:17">
      <c r="A101" s="526" t="s">
        <v>2562</v>
      </c>
      <c r="B101" s="527" t="s">
        <v>2611</v>
      </c>
      <c r="C101" s="3009" t="s">
        <v>3516</v>
      </c>
      <c r="D101" s="3009" t="s">
        <v>3517</v>
      </c>
      <c r="E101" s="3009" t="s">
        <v>3518</v>
      </c>
      <c r="F101" s="3009" t="s">
        <v>3519</v>
      </c>
      <c r="G101" s="3009" t="s">
        <v>3520</v>
      </c>
      <c r="H101" s="3009" t="s">
        <v>3521</v>
      </c>
      <c r="I101" s="529"/>
      <c r="J101" s="529"/>
      <c r="K101" s="530"/>
      <c r="L101" s="531"/>
      <c r="M101" s="532"/>
      <c r="N101" s="1148"/>
      <c r="O101" s="1148"/>
      <c r="P101" s="2677"/>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49"/>
      <c r="O102" s="1149"/>
      <c r="P102" s="2677"/>
      <c r="Q102" s="503"/>
    </row>
    <row r="103" spans="1:17" ht="29.25" thickTop="1">
      <c r="A103" s="533"/>
      <c r="B103" s="537" t="s">
        <v>2612</v>
      </c>
      <c r="C103" s="577" t="str">
        <f>C104&amp;"(含)"&amp;"-"&amp;D104</f>
        <v>100(含)-500</v>
      </c>
      <c r="D103" s="577" t="str">
        <f t="shared" ref="D103:L103" si="23">D104&amp;"(含)"&amp;"-"&amp;E104</f>
        <v>500(含)-2000</v>
      </c>
      <c r="E103" s="577" t="str">
        <f t="shared" si="23"/>
        <v>2000(含)-5000</v>
      </c>
      <c r="F103" s="577" t="str">
        <f t="shared" si="23"/>
        <v>5000(含)-10000</v>
      </c>
      <c r="G103" s="577" t="str">
        <f t="shared" si="23"/>
        <v>10000(含)-15000</v>
      </c>
      <c r="H103" s="577" t="str">
        <f t="shared" si="23"/>
        <v>15000(含)-</v>
      </c>
      <c r="I103" s="577" t="str">
        <f t="shared" si="23"/>
        <v>(含)-</v>
      </c>
      <c r="J103" s="577" t="str">
        <f t="shared" si="23"/>
        <v>(含)-</v>
      </c>
      <c r="K103" s="577" t="str">
        <f t="shared" si="23"/>
        <v>(含)-</v>
      </c>
      <c r="L103" s="577" t="str">
        <f t="shared" si="23"/>
        <v>(含)-</v>
      </c>
      <c r="M103" s="621" t="str">
        <f>M104&amp;"(含)"&amp;"-"&amp;P104</f>
        <v>(含)-</v>
      </c>
      <c r="N103" s="1147"/>
      <c r="O103" s="1147"/>
      <c r="P103" s="2677"/>
      <c r="Q103" s="503"/>
    </row>
    <row r="104" spans="1:17" s="470" customFormat="1">
      <c r="A104" s="592"/>
      <c r="B104" s="593"/>
      <c r="C104" s="594">
        <v>100</v>
      </c>
      <c r="D104" s="594">
        <v>500</v>
      </c>
      <c r="E104" s="594">
        <v>2000</v>
      </c>
      <c r="F104" s="594">
        <v>5000</v>
      </c>
      <c r="G104" s="594">
        <v>10000</v>
      </c>
      <c r="H104" s="594">
        <v>15000</v>
      </c>
      <c r="I104" s="594"/>
      <c r="J104" s="595"/>
      <c r="K104" s="595"/>
      <c r="L104" s="596"/>
      <c r="M104" s="597"/>
      <c r="N104" s="1150"/>
      <c r="O104" s="1150"/>
      <c r="P104" s="2678"/>
      <c r="Q104" s="558"/>
    </row>
    <row r="105" spans="1:17" s="470" customFormat="1" ht="15.75" thickBot="1">
      <c r="A105" s="552"/>
      <c r="B105" s="542"/>
      <c r="C105" s="559">
        <v>100</v>
      </c>
      <c r="D105" s="535">
        <v>102</v>
      </c>
      <c r="E105" s="535">
        <v>104</v>
      </c>
      <c r="F105" s="535">
        <v>106</v>
      </c>
      <c r="G105" s="535">
        <v>108</v>
      </c>
      <c r="H105" s="535">
        <v>110</v>
      </c>
      <c r="I105" s="535"/>
      <c r="J105" s="535"/>
      <c r="K105" s="535"/>
      <c r="L105" s="535"/>
      <c r="M105" s="536"/>
      <c r="N105" s="1149"/>
      <c r="O105" s="1149"/>
      <c r="P105" s="2678"/>
      <c r="Q105" s="558"/>
    </row>
    <row r="106" spans="1:17" ht="15" thickTop="1">
      <c r="A106" s="598"/>
      <c r="B106" s="537" t="s">
        <v>2613</v>
      </c>
      <c r="C106" s="3002" t="s">
        <v>3522</v>
      </c>
      <c r="D106" s="3002" t="s">
        <v>3523</v>
      </c>
      <c r="E106" s="3001" t="s">
        <v>3524</v>
      </c>
      <c r="F106" s="582"/>
      <c r="G106" s="582"/>
      <c r="H106" s="582"/>
      <c r="I106" s="582"/>
      <c r="J106" s="582"/>
      <c r="K106" s="583"/>
      <c r="L106" s="584"/>
      <c r="M106" s="585"/>
      <c r="N106" s="1148"/>
      <c r="O106" s="1148"/>
      <c r="P106" s="267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77"/>
      <c r="Q107" s="503"/>
    </row>
    <row r="108" spans="1:17" ht="15" thickTop="1">
      <c r="A108" s="598"/>
      <c r="B108" s="537" t="s">
        <v>2615</v>
      </c>
      <c r="C108" s="3002" t="s">
        <v>3525</v>
      </c>
      <c r="D108" s="3002" t="s">
        <v>3526</v>
      </c>
      <c r="E108" s="3002" t="s">
        <v>3527</v>
      </c>
      <c r="F108" s="3001" t="s">
        <v>3528</v>
      </c>
      <c r="G108" s="582"/>
      <c r="H108" s="582"/>
      <c r="I108" s="582"/>
      <c r="J108" s="582"/>
      <c r="K108" s="583"/>
      <c r="L108" s="584"/>
      <c r="M108" s="585"/>
      <c r="N108" s="1148"/>
      <c r="O108" s="1148"/>
      <c r="P108" s="267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77"/>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77"/>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77"/>
      <c r="Q111" s="503"/>
    </row>
    <row r="112" spans="1:17" ht="15.75" thickBot="1">
      <c r="A112" s="533"/>
      <c r="B112" s="542"/>
      <c r="C112" s="581">
        <v>100</v>
      </c>
      <c r="D112" s="543">
        <f>C112+$K37</f>
        <v>101</v>
      </c>
      <c r="E112" s="543">
        <f t="shared" ref="E112:M112" si="26">D112+$K37</f>
        <v>102</v>
      </c>
      <c r="F112" s="543">
        <f t="shared" si="26"/>
        <v>103</v>
      </c>
      <c r="G112" s="543">
        <f t="shared" si="26"/>
        <v>104</v>
      </c>
      <c r="H112" s="543">
        <f t="shared" si="26"/>
        <v>105</v>
      </c>
      <c r="I112" s="543">
        <f t="shared" si="26"/>
        <v>106</v>
      </c>
      <c r="J112" s="543">
        <f t="shared" si="26"/>
        <v>107</v>
      </c>
      <c r="K112" s="543">
        <f t="shared" si="26"/>
        <v>108</v>
      </c>
      <c r="L112" s="543">
        <f t="shared" si="26"/>
        <v>109</v>
      </c>
      <c r="M112" s="543">
        <f t="shared" si="26"/>
        <v>110</v>
      </c>
      <c r="N112" s="1149"/>
      <c r="O112" s="1149"/>
      <c r="P112" s="2677"/>
      <c r="Q112" s="503"/>
    </row>
    <row r="113" spans="1:17" s="470" customFormat="1" ht="15" thickTop="1">
      <c r="A113" s="592"/>
      <c r="B113" s="537" t="s">
        <v>2699</v>
      </c>
      <c r="C113" s="3002" t="s">
        <v>3529</v>
      </c>
      <c r="D113" s="3002" t="s">
        <v>3530</v>
      </c>
      <c r="E113" s="3002" t="s">
        <v>3531</v>
      </c>
      <c r="F113" s="553"/>
      <c r="G113" s="553"/>
      <c r="H113" s="582"/>
      <c r="I113" s="582"/>
      <c r="J113" s="582"/>
      <c r="K113" s="583"/>
      <c r="L113" s="584"/>
      <c r="M113" s="585"/>
      <c r="N113" s="1150"/>
      <c r="O113" s="1150"/>
      <c r="P113" s="267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78"/>
      <c r="Q114" s="558"/>
    </row>
    <row r="115" spans="1:17" ht="15" thickTop="1">
      <c r="A115" s="598"/>
      <c r="B115" s="537" t="s">
        <v>2616</v>
      </c>
      <c r="C115" s="3002" t="s">
        <v>3532</v>
      </c>
      <c r="D115" s="3002" t="s">
        <v>3533</v>
      </c>
      <c r="E115" s="582"/>
      <c r="F115" s="582"/>
      <c r="G115" s="582"/>
      <c r="H115" s="582"/>
      <c r="I115" s="582"/>
      <c r="J115" s="582"/>
      <c r="K115" s="583"/>
      <c r="L115" s="584"/>
      <c r="M115" s="585"/>
      <c r="N115" s="1148"/>
      <c r="O115" s="1148"/>
      <c r="P115" s="267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77"/>
      <c r="Q116" s="503"/>
    </row>
    <row r="117" spans="1:17" ht="15" thickTop="1">
      <c r="A117" s="598"/>
      <c r="B117" s="537" t="s">
        <v>2617</v>
      </c>
      <c r="C117" s="3002" t="s">
        <v>3534</v>
      </c>
      <c r="D117" s="3002" t="s">
        <v>3535</v>
      </c>
      <c r="E117" s="3002" t="s">
        <v>3536</v>
      </c>
      <c r="F117" s="3002" t="s">
        <v>3537</v>
      </c>
      <c r="G117" s="3002" t="s">
        <v>3538</v>
      </c>
      <c r="H117" s="582"/>
      <c r="I117" s="582"/>
      <c r="J117" s="582"/>
      <c r="K117" s="583"/>
      <c r="L117" s="584"/>
      <c r="M117" s="585"/>
      <c r="N117" s="1148"/>
      <c r="O117" s="1148"/>
      <c r="P117" s="267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77"/>
      <c r="Q118" s="503"/>
    </row>
    <row r="119" spans="1:17" ht="15" thickTop="1">
      <c r="A119" s="598"/>
      <c r="B119" s="635" t="s">
        <v>2700</v>
      </c>
      <c r="C119" s="3001" t="s">
        <v>3539</v>
      </c>
      <c r="D119" s="3001" t="s">
        <v>3540</v>
      </c>
      <c r="E119" s="582"/>
      <c r="F119" s="582"/>
      <c r="G119" s="582"/>
      <c r="H119" s="582"/>
      <c r="I119" s="582"/>
      <c r="J119" s="582"/>
      <c r="K119" s="582"/>
      <c r="L119" s="2682"/>
      <c r="M119" s="2683"/>
      <c r="N119" s="1149"/>
      <c r="O119" s="1149"/>
      <c r="P119" s="268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77"/>
      <c r="Q120" s="503"/>
    </row>
    <row r="121" spans="1:17" s="470" customFormat="1" ht="15" thickTop="1">
      <c r="A121" s="592"/>
      <c r="B121" s="537" t="s">
        <v>2683</v>
      </c>
      <c r="C121" s="553" t="s">
        <v>3515</v>
      </c>
      <c r="D121" s="553" t="s">
        <v>3541</v>
      </c>
      <c r="E121" s="553" t="s">
        <v>3542</v>
      </c>
      <c r="F121" s="582" t="s">
        <v>3543</v>
      </c>
      <c r="G121" s="554"/>
      <c r="H121" s="554"/>
      <c r="I121" s="554"/>
      <c r="J121" s="554"/>
      <c r="K121" s="554"/>
      <c r="L121" s="555"/>
      <c r="M121" s="556"/>
      <c r="N121" s="1150"/>
      <c r="O121" s="1150"/>
      <c r="P121" s="2678"/>
      <c r="Q121" s="558"/>
    </row>
    <row r="122" spans="1:17" s="470" customFormat="1" ht="15.75" thickBot="1">
      <c r="A122" s="552"/>
      <c r="B122" s="534"/>
      <c r="C122" s="559">
        <v>100</v>
      </c>
      <c r="D122" s="559">
        <v>105</v>
      </c>
      <c r="E122" s="559">
        <v>103</v>
      </c>
      <c r="F122" s="559">
        <v>98</v>
      </c>
      <c r="G122" s="559"/>
      <c r="H122" s="559"/>
      <c r="I122" s="559"/>
      <c r="J122" s="559"/>
      <c r="K122" s="559"/>
      <c r="L122" s="559"/>
      <c r="M122" s="559"/>
      <c r="N122" s="1150"/>
      <c r="O122" s="1150"/>
      <c r="P122" s="2678"/>
      <c r="Q122" s="558"/>
    </row>
    <row r="123" spans="1:17" ht="15" thickTop="1">
      <c r="A123" s="598"/>
      <c r="B123" s="537" t="s">
        <v>2619</v>
      </c>
      <c r="C123" s="3002" t="s">
        <v>3525</v>
      </c>
      <c r="D123" s="3002" t="s">
        <v>3526</v>
      </c>
      <c r="E123" s="3002" t="s">
        <v>3527</v>
      </c>
      <c r="F123" s="3001" t="s">
        <v>3528</v>
      </c>
      <c r="G123" s="582"/>
      <c r="H123" s="582"/>
      <c r="I123" s="582"/>
      <c r="J123" s="582"/>
      <c r="K123" s="583"/>
      <c r="L123" s="584"/>
      <c r="M123" s="585"/>
      <c r="N123" s="1148"/>
      <c r="O123" s="1148"/>
      <c r="P123" s="267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77"/>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48"/>
      <c r="O125" s="1148"/>
      <c r="P125" s="267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77"/>
      <c r="Q126" s="503"/>
    </row>
    <row r="127" spans="1:17" s="470" customFormat="1" ht="15" thickTop="1">
      <c r="A127" s="592"/>
      <c r="B127" s="537" t="str">
        <f>B45</f>
        <v>建筑类型</v>
      </c>
      <c r="C127" s="553" t="s">
        <v>3551</v>
      </c>
      <c r="D127" s="3013" t="s">
        <v>3552</v>
      </c>
      <c r="E127" s="553"/>
      <c r="F127" s="553"/>
      <c r="G127" s="553"/>
      <c r="H127" s="554"/>
      <c r="I127" s="554"/>
      <c r="J127" s="554"/>
      <c r="K127" s="554"/>
      <c r="L127" s="555"/>
      <c r="M127" s="556"/>
      <c r="N127" s="1150"/>
      <c r="O127" s="1150"/>
      <c r="P127" s="2678"/>
      <c r="Q127" s="558"/>
    </row>
    <row r="128" spans="1:17" s="470" customFormat="1" ht="15.75" thickBot="1">
      <c r="A128" s="552"/>
      <c r="B128" s="542"/>
      <c r="C128" s="559">
        <v>100</v>
      </c>
      <c r="D128" s="535">
        <v>75</v>
      </c>
      <c r="E128" s="535"/>
      <c r="F128" s="535"/>
      <c r="G128" s="559"/>
      <c r="H128" s="561"/>
      <c r="I128" s="561"/>
      <c r="J128" s="561"/>
      <c r="K128" s="561"/>
      <c r="L128" s="561"/>
      <c r="M128" s="562"/>
      <c r="N128" s="1150"/>
      <c r="O128" s="1150"/>
      <c r="P128" s="2678"/>
      <c r="Q128" s="558"/>
    </row>
    <row r="129" spans="1:17" ht="15" thickTop="1">
      <c r="A129" s="598"/>
      <c r="B129" s="537">
        <f>B46</f>
        <v>111</v>
      </c>
      <c r="C129" s="553"/>
      <c r="D129" s="553"/>
      <c r="E129" s="553"/>
      <c r="F129" s="553"/>
      <c r="G129" s="582"/>
      <c r="H129" s="582"/>
      <c r="I129" s="582"/>
      <c r="J129" s="582"/>
      <c r="K129" s="583"/>
      <c r="L129" s="584"/>
      <c r="M129" s="585"/>
      <c r="N129" s="1148"/>
      <c r="O129" s="1148"/>
      <c r="P129" s="2677"/>
      <c r="Q129" s="503"/>
    </row>
    <row r="130" spans="1:17" ht="15.75" thickBot="1">
      <c r="A130" s="533"/>
      <c r="B130" s="542"/>
      <c r="C130" s="559"/>
      <c r="D130" s="559"/>
      <c r="E130" s="559"/>
      <c r="F130" s="559"/>
      <c r="G130" s="535"/>
      <c r="H130" s="535"/>
      <c r="I130" s="535"/>
      <c r="J130" s="535"/>
      <c r="K130" s="535"/>
      <c r="L130" s="535"/>
      <c r="M130" s="536"/>
      <c r="N130" s="1149"/>
      <c r="O130" s="1149"/>
      <c r="P130" s="2677"/>
      <c r="Q130" s="503"/>
    </row>
    <row r="131" spans="1:17" ht="15" thickTop="1">
      <c r="A131" s="598"/>
      <c r="B131" s="545">
        <f>B47</f>
        <v>111</v>
      </c>
      <c r="C131" s="522"/>
      <c r="D131" s="522"/>
      <c r="E131" s="522"/>
      <c r="F131" s="522"/>
      <c r="G131" s="586"/>
      <c r="H131" s="586"/>
      <c r="I131" s="586"/>
      <c r="J131" s="586"/>
      <c r="K131" s="522"/>
      <c r="L131" s="523"/>
      <c r="M131" s="589"/>
      <c r="N131" s="1148"/>
      <c r="O131" s="1148"/>
      <c r="P131" s="2677"/>
      <c r="Q131" s="503"/>
    </row>
    <row r="132" spans="1:17" ht="15.75" thickBot="1">
      <c r="A132" s="2629"/>
      <c r="B132" s="568"/>
      <c r="C132" s="569"/>
      <c r="D132" s="569"/>
      <c r="E132" s="569"/>
      <c r="F132" s="569"/>
      <c r="G132" s="590"/>
      <c r="H132" s="590"/>
      <c r="I132" s="590"/>
      <c r="J132" s="590"/>
      <c r="K132" s="590"/>
      <c r="L132" s="590"/>
      <c r="M132" s="591"/>
      <c r="N132" s="1149"/>
      <c r="O132" s="1149"/>
      <c r="P132" s="267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58" priority="16" stopIfTrue="1" operator="containsText" text="超过">
      <formula>NOT(ISERROR(SEARCH("超过",F53)))</formula>
    </cfRule>
  </conditionalFormatting>
  <conditionalFormatting sqref="H55">
    <cfRule type="containsText" dxfId="157" priority="15" stopIfTrue="1" operator="containsText" text="超过">
      <formula>NOT(ISERROR(SEARCH("超过",H55)))</formula>
    </cfRule>
  </conditionalFormatting>
  <conditionalFormatting sqref="F55">
    <cfRule type="containsText" dxfId="156" priority="14" stopIfTrue="1" operator="containsText" text="超过">
      <formula>NOT(ISERROR(SEARCH("超过",F55)))</formula>
    </cfRule>
  </conditionalFormatting>
  <conditionalFormatting sqref="F54 H54">
    <cfRule type="containsText" dxfId="155" priority="13" stopIfTrue="1" operator="containsText" text="超过">
      <formula>NOT(ISERROR(SEARCH("超过",F54)))</formula>
    </cfRule>
  </conditionalFormatting>
  <conditionalFormatting sqref="E53">
    <cfRule type="expression" dxfId="154" priority="12" stopIfTrue="1">
      <formula>$F$53="超过30%"</formula>
    </cfRule>
  </conditionalFormatting>
  <conditionalFormatting sqref="E54">
    <cfRule type="expression" dxfId="153" priority="11" stopIfTrue="1">
      <formula>$F$54="超过20%"</formula>
    </cfRule>
  </conditionalFormatting>
  <conditionalFormatting sqref="E55">
    <cfRule type="expression" dxfId="152" priority="10" stopIfTrue="1">
      <formula>$F$55="超过30%"</formula>
    </cfRule>
  </conditionalFormatting>
  <conditionalFormatting sqref="G55">
    <cfRule type="expression" dxfId="151" priority="9" stopIfTrue="1">
      <formula>$H$55="超过30%"</formula>
    </cfRule>
  </conditionalFormatting>
  <conditionalFormatting sqref="G53">
    <cfRule type="expression" dxfId="150" priority="8" stopIfTrue="1">
      <formula>$H$53="超过30%"</formula>
    </cfRule>
  </conditionalFormatting>
  <conditionalFormatting sqref="G54">
    <cfRule type="expression" dxfId="149" priority="7" stopIfTrue="1">
      <formula>$H$54="超过20%"</formula>
    </cfRule>
  </conditionalFormatting>
  <conditionalFormatting sqref="J53">
    <cfRule type="containsText" dxfId="148" priority="6" stopIfTrue="1" operator="containsText" text="超过">
      <formula>NOT(ISERROR(SEARCH("超过",J53)))</formula>
    </cfRule>
  </conditionalFormatting>
  <conditionalFormatting sqref="J55">
    <cfRule type="containsText" dxfId="147" priority="5" stopIfTrue="1" operator="containsText" text="超过">
      <formula>NOT(ISERROR(SEARCH("超过",J55)))</formula>
    </cfRule>
  </conditionalFormatting>
  <conditionalFormatting sqref="J54">
    <cfRule type="containsText" dxfId="146" priority="4" stopIfTrue="1" operator="containsText" text="超过">
      <formula>NOT(ISERROR(SEARCH("超过",J54)))</formula>
    </cfRule>
  </conditionalFormatting>
  <conditionalFormatting sqref="I53">
    <cfRule type="expression" dxfId="145" priority="3" stopIfTrue="1">
      <formula>$J$53="超过30%"</formula>
    </cfRule>
  </conditionalFormatting>
  <conditionalFormatting sqref="I54">
    <cfRule type="expression" dxfId="144" priority="2" stopIfTrue="1">
      <formula>$J$53+$J$54="超过20%"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zoomScalePageLayoutView="80" workbookViewId="0">
      <selection activeCell="G26" sqref="G26"/>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1377</v>
      </c>
      <c r="D1" s="2409"/>
      <c r="E1" s="2409"/>
      <c r="F1" s="2411" t="s">
        <v>2117</v>
      </c>
      <c r="G1" s="2063" t="s">
        <v>3574</v>
      </c>
      <c r="H1" s="2412" t="str">
        <f>IF(G1="现房","——","估价对象范围")</f>
        <v>——</v>
      </c>
      <c r="I1" s="2413"/>
    </row>
    <row r="2" spans="1:12" ht="21.75" customHeight="1" thickBot="1">
      <c r="A2" s="3203" t="str">
        <f>项目基本情况!S2</f>
        <v>北京市大兴区黄村镇房地产</v>
      </c>
      <c r="B2" s="3204"/>
      <c r="C2" s="3204"/>
      <c r="D2" s="3204"/>
      <c r="E2" s="3204"/>
      <c r="F2" s="3204"/>
      <c r="G2" s="3204"/>
      <c r="H2" s="3204"/>
      <c r="I2" s="3205"/>
    </row>
    <row r="3" spans="1:12" ht="12.75">
      <c r="A3" s="3206" t="s">
        <v>2118</v>
      </c>
      <c r="B3" s="3207"/>
      <c r="C3" s="3207"/>
      <c r="D3" s="3207"/>
      <c r="E3" s="3207"/>
      <c r="F3" s="3207"/>
      <c r="G3" s="3207"/>
      <c r="H3" s="3207"/>
      <c r="I3" s="3207"/>
    </row>
    <row r="4" spans="1:12" ht="14.25">
      <c r="A4" s="2416" t="s">
        <v>2119</v>
      </c>
      <c r="B4" s="2417" t="s">
        <v>2120</v>
      </c>
      <c r="C4" s="2418" t="s">
        <v>3565</v>
      </c>
      <c r="D4" s="2418" t="s">
        <v>3559</v>
      </c>
      <c r="E4" s="3187" t="s">
        <v>2121</v>
      </c>
      <c r="F4" s="3200"/>
      <c r="G4" s="3200"/>
      <c r="H4" s="3200"/>
      <c r="I4" s="3188"/>
      <c r="K4" s="2419" t="str">
        <f>IF(ISNUMBER(FIND("比较法",'结果表（商业）'!C4)),"比较法",IF(ISNUMBER(FIND("成本法",'结果表（商业）'!C4)),"成本法",IF(ISNUMBER(FIND("假设开发法",'结果表（商业）'!C4)),"假设开发法",IF(ISNUMBER(FIND("收益法",'结果表（商业）'!C4)),"收益法","基准地价系数修正法"))))</f>
        <v>成本法</v>
      </c>
      <c r="L4" s="2419"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178" t="s">
        <v>2122</v>
      </c>
      <c r="B5" s="3104">
        <v>25</v>
      </c>
      <c r="C5" s="3208"/>
      <c r="D5" s="3196"/>
      <c r="E5" s="139" t="s">
        <v>2123</v>
      </c>
      <c r="F5" s="2420"/>
      <c r="G5" s="2420"/>
      <c r="H5" s="2420"/>
      <c r="I5" s="1827"/>
    </row>
    <row r="6" spans="1:12" ht="12.75">
      <c r="A6" s="3178"/>
      <c r="B6" s="3104"/>
      <c r="C6" s="3210"/>
      <c r="D6" s="3196"/>
      <c r="E6" s="139" t="s">
        <v>2124</v>
      </c>
      <c r="F6" s="2420"/>
      <c r="G6" s="2420"/>
      <c r="H6" s="2420"/>
      <c r="I6" s="1827"/>
    </row>
    <row r="7" spans="1:12" ht="12.75">
      <c r="A7" s="3178"/>
      <c r="B7" s="3104"/>
      <c r="C7" s="3209"/>
      <c r="D7" s="3196"/>
      <c r="E7" s="139" t="s">
        <v>2125</v>
      </c>
      <c r="F7" s="2420"/>
      <c r="G7" s="2420"/>
      <c r="H7" s="2420"/>
      <c r="I7" s="1827"/>
    </row>
    <row r="8" spans="1:12" ht="12.75">
      <c r="A8" s="3178" t="s">
        <v>2126</v>
      </c>
      <c r="B8" s="3104">
        <v>15</v>
      </c>
      <c r="C8" s="3208"/>
      <c r="D8" s="3196"/>
      <c r="E8" s="139" t="s">
        <v>2127</v>
      </c>
      <c r="F8" s="2420"/>
      <c r="G8" s="2420"/>
      <c r="H8" s="2420"/>
      <c r="I8" s="1827"/>
    </row>
    <row r="9" spans="1:12" ht="12.75">
      <c r="A9" s="3178"/>
      <c r="B9" s="3104"/>
      <c r="C9" s="3209"/>
      <c r="D9" s="3196"/>
      <c r="E9" s="139" t="s">
        <v>2128</v>
      </c>
      <c r="F9" s="2420"/>
      <c r="G9" s="2420"/>
      <c r="H9" s="2420"/>
      <c r="I9" s="1827"/>
    </row>
    <row r="10" spans="1:12" ht="12.75">
      <c r="A10" s="3178" t="s">
        <v>2129</v>
      </c>
      <c r="B10" s="3104">
        <v>15</v>
      </c>
      <c r="C10" s="3208"/>
      <c r="D10" s="3196"/>
      <c r="E10" s="139" t="s">
        <v>2130</v>
      </c>
      <c r="F10" s="2420"/>
      <c r="G10" s="2420"/>
      <c r="H10" s="2420"/>
      <c r="I10" s="1827"/>
    </row>
    <row r="11" spans="1:12" ht="12.75">
      <c r="A11" s="3178"/>
      <c r="B11" s="3104"/>
      <c r="C11" s="3209"/>
      <c r="D11" s="3196"/>
      <c r="E11" s="139" t="s">
        <v>2131</v>
      </c>
      <c r="F11" s="2420"/>
      <c r="G11" s="2420"/>
      <c r="H11" s="2420"/>
      <c r="I11" s="1827"/>
    </row>
    <row r="12" spans="1:12" ht="12.75">
      <c r="A12" s="3178" t="s">
        <v>2132</v>
      </c>
      <c r="B12" s="3104">
        <v>15</v>
      </c>
      <c r="C12" s="3208"/>
      <c r="D12" s="3196"/>
      <c r="E12" s="139" t="s">
        <v>2133</v>
      </c>
      <c r="F12" s="2420"/>
      <c r="G12" s="2420"/>
      <c r="H12" s="2420"/>
      <c r="I12" s="1827"/>
    </row>
    <row r="13" spans="1:12" ht="12.75">
      <c r="A13" s="3178"/>
      <c r="B13" s="3104"/>
      <c r="C13" s="3209"/>
      <c r="D13" s="3196"/>
      <c r="E13" s="139" t="s">
        <v>2134</v>
      </c>
      <c r="F13" s="2420"/>
      <c r="G13" s="2420"/>
      <c r="H13" s="2420"/>
      <c r="I13" s="1827"/>
    </row>
    <row r="14" spans="1:12" ht="12.75">
      <c r="A14" s="3178" t="s">
        <v>2135</v>
      </c>
      <c r="B14" s="3104">
        <v>30</v>
      </c>
      <c r="C14" s="3208">
        <v>4</v>
      </c>
      <c r="D14" s="3196">
        <v>6</v>
      </c>
      <c r="E14" s="139" t="s">
        <v>2136</v>
      </c>
      <c r="F14" s="2420"/>
      <c r="G14" s="2420"/>
      <c r="H14" s="2420"/>
      <c r="I14" s="1827"/>
    </row>
    <row r="15" spans="1:12" ht="12.75">
      <c r="A15" s="3178"/>
      <c r="B15" s="3104"/>
      <c r="C15" s="3210"/>
      <c r="D15" s="3196"/>
      <c r="E15" s="139" t="s">
        <v>2137</v>
      </c>
      <c r="F15" s="2420"/>
      <c r="G15" s="2420"/>
      <c r="H15" s="2420"/>
      <c r="I15" s="1827"/>
    </row>
    <row r="16" spans="1:12" ht="12.75">
      <c r="A16" s="3178"/>
      <c r="B16" s="3104"/>
      <c r="C16" s="3209"/>
      <c r="D16" s="3196"/>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3150.28</v>
      </c>
      <c r="M18" s="2419">
        <f>IF(C1="",'数据-汇总表'!E3,SUMIF(项目类型,C1,'数据-汇总表'!E17:E26))</f>
        <v>3150.28</v>
      </c>
    </row>
    <row r="19" spans="1:35" ht="15">
      <c r="A19" s="2425" t="s">
        <v>2144</v>
      </c>
      <c r="B19" s="2426" t="s">
        <v>2145</v>
      </c>
      <c r="C19" s="142">
        <f ca="1">SUMIF(INDIRECT("'"&amp;C4&amp;"'"&amp;"!A:A"),'结果表（商业）'!B19,INDIRECT("'"&amp;C4&amp;"'"&amp;"!B:B"))</f>
        <v>3436</v>
      </c>
      <c r="D19" s="143">
        <f ca="1">SUMIF(INDIRECT("'"&amp;D4&amp;"'"&amp;"!A:A"),'结果表（商业）'!B19,INDIRECT("'"&amp;D4&amp;"'"&amp;"!B:B"))</f>
        <v>5749</v>
      </c>
      <c r="E19" s="2425" t="s">
        <v>2146</v>
      </c>
      <c r="F19" s="2426" t="s">
        <v>2145</v>
      </c>
      <c r="G19" s="144">
        <f ca="1">ROUND(C19*$C$18+D19*$D$18,0)</f>
        <v>4824</v>
      </c>
      <c r="H19" s="2427" t="s">
        <v>2147</v>
      </c>
      <c r="I19" s="137"/>
      <c r="K19" s="2419" t="s">
        <v>2148</v>
      </c>
      <c r="L19" s="2419">
        <f>IF(C1="",'数据-汇总表'!D3,SUMIF(项目类型,C1,'数据-汇总表'!D17:D26)+SUMIF(项目类型,C1,'数据-汇总表'!H17:H27))</f>
        <v>628.92999999999995</v>
      </c>
      <c r="M19" s="2419">
        <f>IF(C1="",'数据-汇总表'!D3,SUMIF(项目类型,C1,'数据-汇总表'!D17:D26))</f>
        <v>628.92999999999995</v>
      </c>
    </row>
    <row r="20" spans="1:35" ht="15">
      <c r="A20" s="2428"/>
      <c r="B20" s="1243" t="s">
        <v>2149</v>
      </c>
      <c r="C20" s="145">
        <f ca="1">SUMIF(INDIRECT("'"&amp;C4&amp;"'"&amp;"!A:A"),'结果表（商业）'!B20,INDIRECT("'"&amp;C4&amp;"'"&amp;"!B:B"))</f>
        <v>10907</v>
      </c>
      <c r="D20" s="146">
        <f ca="1">SUMIF(INDIRECT("'"&amp;D4&amp;"'"&amp;"!A:A"),'结果表（商业）'!B20,INDIRECT("'"&amp;D4&amp;"'"&amp;"!B:B"))</f>
        <v>18249</v>
      </c>
      <c r="E20" s="2428"/>
      <c r="F20" s="1243" t="s">
        <v>2149</v>
      </c>
      <c r="G20" s="147">
        <f ca="1">ROUND(C20*$C$18+D20*$D$18,0)</f>
        <v>15312</v>
      </c>
      <c r="H20" s="976" t="s">
        <v>2150</v>
      </c>
      <c r="I20" s="137"/>
    </row>
    <row r="21" spans="1:35" ht="15" customHeight="1" thickBot="1">
      <c r="A21" s="996"/>
      <c r="B21" s="2429" t="s">
        <v>2151</v>
      </c>
      <c r="C21" s="788">
        <f ca="1">ROUND(C19*10000/L19,0)</f>
        <v>54632</v>
      </c>
      <c r="D21" s="789">
        <f ca="1">ROUND(D19*10000/L19,0)</f>
        <v>91409</v>
      </c>
      <c r="E21" s="996"/>
      <c r="F21" s="2429" t="s">
        <v>2151</v>
      </c>
      <c r="G21" s="148">
        <f ca="1">ROUND(G19*10000/L19,0)</f>
        <v>76702</v>
      </c>
      <c r="H21" s="2430" t="s">
        <v>2150</v>
      </c>
      <c r="I21" s="137"/>
    </row>
    <row r="22" spans="1:35" ht="15" thickBot="1">
      <c r="A22" s="2273" t="s">
        <v>2152</v>
      </c>
      <c r="B22" s="2431"/>
      <c r="C22" s="2432"/>
      <c r="D22" s="790">
        <f ca="1">IF(C19&lt;D19,D19/C19-1,C19/D19-1)</f>
        <v>0.67316647264260765</v>
      </c>
      <c r="E22" s="137"/>
      <c r="F22" s="137"/>
      <c r="G22" s="137"/>
      <c r="H22" s="137"/>
      <c r="I22" s="137"/>
    </row>
    <row r="23" spans="1:35" ht="13.5" thickBot="1">
      <c r="A23" s="2409"/>
      <c r="B23" s="2409"/>
      <c r="C23" s="2409"/>
      <c r="D23" s="2409"/>
      <c r="E23" s="137"/>
      <c r="F23" s="137"/>
      <c r="G23" s="137"/>
      <c r="H23" s="137"/>
      <c r="I23" s="137"/>
    </row>
    <row r="24" spans="1:35" ht="14.25">
      <c r="A24" s="3217" t="s">
        <v>2153</v>
      </c>
      <c r="B24" s="2426" t="s">
        <v>2145</v>
      </c>
      <c r="C24" s="144">
        <f>IF(B30=0,0,D30)</f>
        <v>0</v>
      </c>
      <c r="D24" s="2433"/>
      <c r="E24" s="137"/>
      <c r="F24" s="137"/>
      <c r="G24" s="137"/>
      <c r="H24" s="137"/>
      <c r="I24" s="137"/>
    </row>
    <row r="25" spans="1:35" ht="14.25">
      <c r="A25" s="3218"/>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4824</v>
      </c>
      <c r="D32" s="2440" t="s">
        <v>2160</v>
      </c>
      <c r="E32" s="137"/>
      <c r="F32" s="137"/>
      <c r="G32" s="137"/>
      <c r="H32" s="137"/>
      <c r="I32" s="137"/>
    </row>
    <row r="33" spans="1:15" ht="15">
      <c r="A33" s="953" t="s">
        <v>2161</v>
      </c>
      <c r="B33" s="2441"/>
      <c r="C33" s="2442" t="s">
        <v>3575</v>
      </c>
      <c r="D33" s="2443" t="s">
        <v>3565</v>
      </c>
      <c r="E33" s="2444" t="s">
        <v>2162</v>
      </c>
      <c r="F33" s="2970" t="str">
        <f>IF(D32="楼面单价","取值（单价）","取值（总价）")</f>
        <v>取值（总价）</v>
      </c>
      <c r="G33" s="137"/>
      <c r="H33" s="137"/>
      <c r="I33" s="137"/>
    </row>
    <row r="34" spans="1:15" ht="15">
      <c r="A34" s="2446"/>
      <c r="B34" s="2447" t="s">
        <v>2163</v>
      </c>
      <c r="C34" s="156">
        <f ca="1">IF(C33="自定义",F34,C32-C35)</f>
        <v>2470</v>
      </c>
      <c r="D34" s="1051">
        <f ca="1">IF(C33="自定义",ROUND(C34/C32,3),IF(C33="收益比率",SUMIF(INDIRECT("'"&amp;D33&amp;"'"&amp;"!b:b"),"土地收益比率",INDIRECT("'"&amp;D33&amp;"'"&amp;"!c:c")),SUMIF(INDIRECT("'"&amp;D33&amp;"'"&amp;"!b:b"),"土地成本比率",INDIRECT("'"&amp;D33&amp;"'"&amp;"!c:c"))))</f>
        <v>0.51200000000000001</v>
      </c>
      <c r="E34" s="2448" t="s">
        <v>2164</v>
      </c>
      <c r="F34" s="1732"/>
      <c r="G34" s="137"/>
      <c r="H34" s="137"/>
      <c r="I34" s="137"/>
    </row>
    <row r="35" spans="1:15" ht="15.75" thickBot="1">
      <c r="A35" s="2449"/>
      <c r="B35" s="2450" t="s">
        <v>2165</v>
      </c>
      <c r="C35" s="1437">
        <f ca="1">IF(C33="自定义",F35,ROUND(C32*D35,0))</f>
        <v>2354</v>
      </c>
      <c r="D35" s="1438">
        <f ca="1">IF(C33="自定义",ROUND(C35/C32,3),IF(C33="收益比率",SUMIF(INDIRECT("'"&amp;D33&amp;"'"&amp;"!b:b"),"建筑物收益比率",INDIRECT("'"&amp;D33&amp;"'"&amp;"!c:c")),SUMIF(INDIRECT("'"&amp;D33&amp;"'"&amp;"!b:b"),"建筑物成本比率",INDIRECT("'"&amp;D33&amp;"'"&amp;"!c:c"))))</f>
        <v>0.48799999999999999</v>
      </c>
      <c r="E35" s="2451" t="s">
        <v>2166</v>
      </c>
      <c r="F35" s="162"/>
      <c r="G35" s="137"/>
      <c r="H35" s="137"/>
      <c r="I35" s="137"/>
    </row>
    <row r="36" spans="1:15" ht="15.75" thickBot="1">
      <c r="A36" s="3197" t="s">
        <v>2167</v>
      </c>
      <c r="B36" s="2452" t="s">
        <v>2168</v>
      </c>
      <c r="C36" s="153"/>
      <c r="D36" s="2453"/>
      <c r="E36" s="2454"/>
      <c r="F36" s="2455"/>
      <c r="G36" s="137"/>
      <c r="H36" s="137"/>
      <c r="I36" s="137"/>
    </row>
    <row r="37" spans="1:15" ht="15.75" thickBot="1">
      <c r="A37" s="3198"/>
      <c r="B37" s="2259" t="s">
        <v>2169</v>
      </c>
      <c r="C37" s="155"/>
      <c r="D37" s="1388"/>
      <c r="E37" s="1388"/>
      <c r="F37" s="2455"/>
      <c r="G37" s="137"/>
      <c r="H37" s="137"/>
      <c r="I37" s="137"/>
    </row>
    <row r="38" spans="1:15" ht="15.75" thickBot="1">
      <c r="A38" s="3199"/>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14" t="s">
        <v>2181</v>
      </c>
      <c r="B45" s="3215"/>
      <c r="C45" s="3216"/>
      <c r="D45" s="163">
        <f ca="1">ROUND(H101*F45,0)</f>
        <v>4824</v>
      </c>
      <c r="E45" s="164" t="s">
        <v>2182</v>
      </c>
      <c r="F45" s="165">
        <v>1</v>
      </c>
      <c r="G45" s="166" t="s">
        <v>2183</v>
      </c>
      <c r="H45" s="137"/>
      <c r="I45" s="137"/>
      <c r="J45" s="3133" t="s">
        <v>2184</v>
      </c>
      <c r="K45" s="3133"/>
      <c r="L45" s="3133"/>
      <c r="M45" s="3133"/>
      <c r="N45" s="3133"/>
      <c r="O45" s="3133"/>
    </row>
    <row r="46" spans="1:15" ht="14.25" customHeight="1">
      <c r="A46" s="3211" t="s">
        <v>2185</v>
      </c>
      <c r="B46" s="3212"/>
      <c r="C46" s="3212"/>
      <c r="D46" s="3212"/>
      <c r="E46" s="3212"/>
      <c r="F46" s="3212"/>
      <c r="G46" s="3213"/>
      <c r="H46" s="2471"/>
      <c r="I46" s="167"/>
      <c r="J46" s="2982">
        <v>1</v>
      </c>
      <c r="K46" s="3133" t="s">
        <v>2186</v>
      </c>
      <c r="L46" s="3133"/>
      <c r="M46" s="3134"/>
      <c r="N46" s="3134"/>
      <c r="O46" s="3134"/>
    </row>
    <row r="47" spans="1:15" ht="12" customHeight="1">
      <c r="A47" s="168" t="s">
        <v>2187</v>
      </c>
      <c r="B47" s="169"/>
      <c r="C47" s="170"/>
      <c r="D47" s="171" t="s">
        <v>2188</v>
      </c>
      <c r="E47" s="23" t="s">
        <v>2189</v>
      </c>
      <c r="F47" s="172" t="s">
        <v>2190</v>
      </c>
      <c r="G47" s="173" t="s">
        <v>2191</v>
      </c>
      <c r="H47" s="2471"/>
      <c r="I47" s="167"/>
      <c r="J47" s="2982">
        <v>2</v>
      </c>
      <c r="K47" s="3133" t="s">
        <v>2192</v>
      </c>
      <c r="L47" s="3133"/>
      <c r="M47" s="3135">
        <f>'数据-取费表'!B2</f>
        <v>43182</v>
      </c>
      <c r="N47" s="3135"/>
      <c r="O47" s="3135"/>
    </row>
    <row r="48" spans="1:15" ht="25.5">
      <c r="A48" s="3201" t="s">
        <v>2193</v>
      </c>
      <c r="B48" s="3202"/>
      <c r="C48" s="3202"/>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33" t="s">
        <v>2196</v>
      </c>
      <c r="L48" s="3133"/>
      <c r="M48" s="3136">
        <f ca="1">H101</f>
        <v>4824</v>
      </c>
      <c r="N48" s="3136"/>
      <c r="O48" s="3136"/>
    </row>
    <row r="49" spans="1:35" ht="25.5" customHeight="1">
      <c r="A49" s="175" t="s">
        <v>2197</v>
      </c>
      <c r="B49" s="3181" t="s">
        <v>2198</v>
      </c>
      <c r="C49" s="3181"/>
      <c r="D49" s="176">
        <v>0</v>
      </c>
      <c r="E49" s="22" t="s">
        <v>2199</v>
      </c>
      <c r="F49" s="27" t="s">
        <v>34</v>
      </c>
      <c r="G49" s="3162"/>
      <c r="H49" s="137"/>
      <c r="I49" s="2474"/>
      <c r="J49" s="2982">
        <v>4</v>
      </c>
      <c r="K49" s="3133" t="str">
        <f>IF(项目基本情况!E8="房地产抵押价值","房地产抵押价值","抵押担保权已注销时的房地产抵押价值")</f>
        <v>抵押担保权已注销时的房地产抵押价值</v>
      </c>
      <c r="L49" s="3133"/>
      <c r="M49" s="3136">
        <f ca="1">IF(项目基本情况!E8="房地产抵押价值",H107,H109)</f>
        <v>4824</v>
      </c>
      <c r="N49" s="3136"/>
      <c r="O49" s="3136"/>
    </row>
    <row r="50" spans="1:35" ht="25.5" customHeight="1">
      <c r="A50" s="177"/>
      <c r="B50" s="3181" t="s">
        <v>2200</v>
      </c>
      <c r="C50" s="3181"/>
      <c r="D50" s="178"/>
      <c r="E50" s="30"/>
      <c r="F50" s="179"/>
      <c r="G50" s="3163"/>
      <c r="H50" s="137"/>
      <c r="I50" s="2474"/>
      <c r="J50" s="3133" t="s">
        <v>2201</v>
      </c>
      <c r="K50" s="3133"/>
      <c r="L50" s="3133"/>
      <c r="M50" s="3133"/>
      <c r="N50" s="3133"/>
      <c r="O50" s="3133"/>
    </row>
    <row r="51" spans="1:35" ht="12" customHeight="1">
      <c r="A51" s="180"/>
      <c r="B51" s="3181" t="s">
        <v>2202</v>
      </c>
      <c r="C51" s="3181"/>
      <c r="D51" s="181"/>
      <c r="E51" s="29"/>
      <c r="F51" s="179"/>
      <c r="G51" s="3164"/>
      <c r="H51" s="137"/>
      <c r="I51" s="2474"/>
      <c r="J51" s="2981" t="s">
        <v>2203</v>
      </c>
      <c r="K51" s="3133" t="s">
        <v>2204</v>
      </c>
      <c r="L51" s="3133"/>
      <c r="M51" s="2981" t="s">
        <v>2205</v>
      </c>
      <c r="N51" s="2981" t="s">
        <v>2206</v>
      </c>
      <c r="O51" s="2981" t="s">
        <v>2207</v>
      </c>
    </row>
    <row r="52" spans="1:35" ht="24" customHeight="1">
      <c r="A52" s="182" t="s">
        <v>2208</v>
      </c>
      <c r="B52" s="3181" t="s">
        <v>2209</v>
      </c>
      <c r="C52" s="3181"/>
      <c r="D52" s="181">
        <f ca="1">ROUND(D45*'数据-取费表'!B41/(1+'数据-取费表'!C42),0)</f>
        <v>253</v>
      </c>
      <c r="E52" s="11" t="s">
        <v>2210</v>
      </c>
      <c r="F52" s="183">
        <f>'数据-取费表'!B41</f>
        <v>5.5000000000000007E-2</v>
      </c>
      <c r="G52" s="2476"/>
      <c r="H52" s="137"/>
      <c r="I52" s="2474"/>
      <c r="J52" s="2982">
        <v>1</v>
      </c>
      <c r="K52" s="3156" t="s">
        <v>2211</v>
      </c>
      <c r="L52" s="3156"/>
      <c r="M52" s="1747">
        <f>D48</f>
        <v>0</v>
      </c>
      <c r="N52" s="2982" t="str">
        <f>E48</f>
        <v>销售额×税（费）率</v>
      </c>
      <c r="O52" s="1748" t="str">
        <f>F48</f>
        <v>免征</v>
      </c>
    </row>
    <row r="53" spans="1:35" ht="12" customHeight="1">
      <c r="A53" s="182" t="s">
        <v>2212</v>
      </c>
      <c r="B53" s="3182" t="s">
        <v>2213</v>
      </c>
      <c r="C53" s="3183"/>
      <c r="D53" s="181">
        <f ca="1">ROUND(D45*'数据-取费表'!B41/(1+'数据-取费表'!C42),0)</f>
        <v>253</v>
      </c>
      <c r="E53" s="11" t="s">
        <v>2210</v>
      </c>
      <c r="F53" s="183">
        <f>'数据-取费表'!B41</f>
        <v>5.5000000000000007E-2</v>
      </c>
      <c r="G53" s="2476"/>
      <c r="H53" s="137"/>
      <c r="I53" s="2474"/>
      <c r="J53" s="2982">
        <v>2</v>
      </c>
      <c r="K53" s="3156" t="s">
        <v>2214</v>
      </c>
      <c r="L53" s="3156"/>
      <c r="M53" s="1747">
        <f t="shared" ref="M53:O54" ca="1" si="0">D55</f>
        <v>2</v>
      </c>
      <c r="N53" s="2982" t="str">
        <f t="shared" si="0"/>
        <v>销售额×税（费）率</v>
      </c>
      <c r="O53" s="1748">
        <f t="shared" si="0"/>
        <v>5.0000000000000001E-4</v>
      </c>
    </row>
    <row r="54" spans="1:35" ht="12" customHeight="1">
      <c r="A54" s="182" t="s">
        <v>2215</v>
      </c>
      <c r="B54" s="3182" t="s">
        <v>2216</v>
      </c>
      <c r="C54" s="3183"/>
      <c r="D54" s="181">
        <f ca="1">C68</f>
        <v>253</v>
      </c>
      <c r="E54" s="29" t="s">
        <v>2217</v>
      </c>
      <c r="F54" s="183">
        <f>'数据-取费表'!B41</f>
        <v>5.5000000000000007E-2</v>
      </c>
      <c r="G54" s="2476"/>
      <c r="H54" s="2477"/>
      <c r="I54" s="2474"/>
      <c r="J54" s="2982">
        <v>3</v>
      </c>
      <c r="K54" s="3156" t="s">
        <v>2218</v>
      </c>
      <c r="L54" s="3156"/>
      <c r="M54" s="1747">
        <f t="shared" ca="1" si="0"/>
        <v>2735</v>
      </c>
      <c r="N54" s="2982" t="str">
        <f t="shared" si="0"/>
        <v>增值额×税（费）率</v>
      </c>
      <c r="O54" s="1749" t="str">
        <f t="shared" si="0"/>
        <v>——</v>
      </c>
    </row>
    <row r="55" spans="1:35" ht="24" customHeight="1">
      <c r="A55" s="3220" t="s">
        <v>2219</v>
      </c>
      <c r="B55" s="3202"/>
      <c r="C55" s="3202"/>
      <c r="D55" s="184">
        <f ca="1">IF(H55="个人住宅",0,ROUND(D45*I55,0))</f>
        <v>2</v>
      </c>
      <c r="E55" s="11" t="s">
        <v>2220</v>
      </c>
      <c r="F55" s="183">
        <f>IF(H55="正常",I55,"免征")</f>
        <v>5.0000000000000001E-4</v>
      </c>
      <c r="G55" s="2476"/>
      <c r="H55" s="2473" t="s">
        <v>2221</v>
      </c>
      <c r="I55" s="185">
        <f>'数据-取费表'!B49</f>
        <v>5.0000000000000001E-4</v>
      </c>
      <c r="J55" s="2982" t="str">
        <f>IF(H59="非个人房产","",4)</f>
        <v/>
      </c>
      <c r="K55" s="3156" t="str">
        <f>IF(H59="非个人房产","——","个人所得税")</f>
        <v>——</v>
      </c>
      <c r="L55" s="3156"/>
      <c r="M55" s="1750" t="str">
        <f>D59</f>
        <v>——</v>
      </c>
      <c r="N55" s="2983" t="str">
        <f>E59</f>
        <v>——</v>
      </c>
      <c r="O55" s="1751" t="str">
        <f>F59</f>
        <v>——</v>
      </c>
    </row>
    <row r="56" spans="1:35" ht="24.75">
      <c r="A56" s="3220" t="s">
        <v>2222</v>
      </c>
      <c r="B56" s="3202"/>
      <c r="C56" s="3202"/>
      <c r="D56" s="184">
        <f ca="1">IF(H56="个人住宅",D57,D58)</f>
        <v>2735</v>
      </c>
      <c r="E56" s="11" t="s">
        <v>2223</v>
      </c>
      <c r="F56" s="183" t="str">
        <f>IF(H56="正常",F58,"免征")</f>
        <v>——</v>
      </c>
      <c r="G56" s="2478" t="s">
        <v>2224</v>
      </c>
      <c r="H56" s="2479" t="s">
        <v>2221</v>
      </c>
      <c r="I56" s="2480"/>
      <c r="J56" s="2982" t="str">
        <f>IF(项目基本情况!K6="上海银行",IF(J55="",4,J55+1),"")</f>
        <v/>
      </c>
      <c r="K56" s="3139" t="str">
        <f>IF(项目基本情况!K6="上海银行","其他处置费用","")</f>
        <v/>
      </c>
      <c r="L56" s="3140"/>
      <c r="M56" s="1747" t="str">
        <f>IF(项目基本情况!K6="上海银行",M69,"")</f>
        <v/>
      </c>
      <c r="N56" s="3142" t="str">
        <f>IF(项目基本情况!K6="上海银行","包含处置中涉及的律师、诉讼、拍卖、评估等费用","")</f>
        <v/>
      </c>
      <c r="O56" s="3143"/>
    </row>
    <row r="57" spans="1:35" ht="12.75">
      <c r="A57" s="182" t="s">
        <v>2197</v>
      </c>
      <c r="B57" s="3187" t="s">
        <v>2225</v>
      </c>
      <c r="C57" s="3188"/>
      <c r="D57" s="186">
        <v>0</v>
      </c>
      <c r="E57" s="22" t="s">
        <v>2199</v>
      </c>
      <c r="F57" s="154"/>
      <c r="G57" s="2476"/>
      <c r="H57" s="2480"/>
      <c r="I57" s="2480"/>
      <c r="J57" s="3156">
        <f>IF(AND(J55="",J56=""),4,IF(项目基本情况!K6="上海银行",'结果表（商业）'!J56+1,'结果表（商业）'!J55+1))</f>
        <v>4</v>
      </c>
      <c r="K57" s="3156" t="s">
        <v>2226</v>
      </c>
      <c r="L57" s="2481" t="s">
        <v>2227</v>
      </c>
      <c r="M57" s="1752"/>
      <c r="N57" s="1753">
        <f ca="1">SUMIF(M52:M56,"&lt;9e307")</f>
        <v>2737</v>
      </c>
      <c r="O57" s="2482"/>
      <c r="P57" s="1746">
        <f ca="1">N57/M49</f>
        <v>0.56737147595356552</v>
      </c>
    </row>
    <row r="58" spans="1:35" ht="24.75">
      <c r="A58" s="182" t="s">
        <v>2208</v>
      </c>
      <c r="B58" s="3187" t="s">
        <v>2228</v>
      </c>
      <c r="C58" s="3200"/>
      <c r="D58" s="184">
        <f ca="1">IF(H58="转让取得",C81,C97)</f>
        <v>2735</v>
      </c>
      <c r="E58" s="11" t="s">
        <v>2223</v>
      </c>
      <c r="F58" s="23" t="s">
        <v>34</v>
      </c>
      <c r="G58" s="2476"/>
      <c r="H58" s="2479" t="s">
        <v>2229</v>
      </c>
      <c r="I58" s="2480"/>
      <c r="J58" s="3156"/>
      <c r="K58" s="3156"/>
      <c r="L58" s="2481" t="s">
        <v>2230</v>
      </c>
      <c r="M58" s="1754"/>
      <c r="N58" s="2483" t="str">
        <f ca="1">NUMBERSTRING(INT(N57*10000),2)&amp;"元整"</f>
        <v>贰仟柒佰叁拾柒万元整</v>
      </c>
      <c r="O58" s="2484"/>
    </row>
    <row r="59" spans="1:35" ht="24.75" thickBot="1">
      <c r="A59" s="3160" t="s">
        <v>2231</v>
      </c>
      <c r="B59" s="3161"/>
      <c r="C59" s="3161"/>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58">
        <f>J57+1</f>
        <v>5</v>
      </c>
      <c r="K59" s="3156" t="s">
        <v>2233</v>
      </c>
      <c r="L59" s="2982" t="s">
        <v>2227</v>
      </c>
      <c r="M59" s="1755"/>
      <c r="N59" s="1756">
        <f ca="1">M49-N57</f>
        <v>2087</v>
      </c>
      <c r="O59" s="2486"/>
    </row>
    <row r="60" spans="1:35" ht="12" customHeight="1">
      <c r="A60" s="2487"/>
      <c r="B60" s="2409"/>
      <c r="C60" s="2409"/>
      <c r="D60" s="2409"/>
      <c r="E60" s="2159"/>
      <c r="F60" s="2480"/>
      <c r="G60" s="2480"/>
      <c r="H60" s="2488"/>
      <c r="I60" s="137"/>
      <c r="J60" s="3159"/>
      <c r="K60" s="3156"/>
      <c r="L60" s="2481" t="s">
        <v>2230</v>
      </c>
      <c r="M60" s="1754"/>
      <c r="N60" s="2483" t="str">
        <f ca="1">NUMBERSTRING(INT(N59*10000),2)&amp;"元整"</f>
        <v>贰仟零捌拾柒万元整</v>
      </c>
      <c r="O60" s="2484"/>
    </row>
    <row r="61" spans="1:35" ht="13.5" thickBot="1">
      <c r="A61" s="3219" t="s">
        <v>2234</v>
      </c>
      <c r="B61" s="3219"/>
      <c r="C61" s="3219"/>
      <c r="D61" s="3219"/>
      <c r="E61" s="3219"/>
      <c r="F61" s="2480"/>
      <c r="G61" s="2480"/>
      <c r="H61" s="2488"/>
      <c r="I61" s="137"/>
      <c r="J61" s="2982">
        <f>J59+1</f>
        <v>6</v>
      </c>
      <c r="K61" s="3156" t="s">
        <v>2235</v>
      </c>
      <c r="L61" s="3156"/>
      <c r="M61" s="1757"/>
      <c r="N61" s="1758">
        <f ca="1">ROUND(N59*10000/'数据-汇总表'!E3,0)</f>
        <v>433</v>
      </c>
      <c r="O61" s="2489"/>
    </row>
    <row r="62" spans="1:35" ht="12.75">
      <c r="A62" s="3176" t="s">
        <v>2236</v>
      </c>
      <c r="B62" s="3177"/>
      <c r="C62" s="2977"/>
      <c r="D62" s="2977" t="s">
        <v>2237</v>
      </c>
      <c r="E62" s="191" t="s">
        <v>2238</v>
      </c>
      <c r="F62" s="2480"/>
      <c r="G62" s="2480"/>
      <c r="H62" s="2488"/>
      <c r="I62" s="137"/>
    </row>
    <row r="63" spans="1:35" ht="12.75">
      <c r="A63" s="202" t="s">
        <v>775</v>
      </c>
      <c r="B63" s="192" t="s">
        <v>2239</v>
      </c>
      <c r="C63" s="193">
        <f ca="1">ROUND((C64+C65)/(1+'数据-取费表'!C42),0)</f>
        <v>4594</v>
      </c>
      <c r="D63" s="194"/>
      <c r="E63" s="195"/>
      <c r="F63" s="2480"/>
      <c r="G63" s="2480"/>
      <c r="H63" s="2488"/>
      <c r="I63" s="137"/>
      <c r="J63" s="3141" t="s">
        <v>2240</v>
      </c>
      <c r="K63" s="2986" t="s">
        <v>2241</v>
      </c>
      <c r="L63" s="1745">
        <f ca="1">IF(M49&gt;10000,M49*0.5%,IF(AND(M49&gt;1000,M49&lt;=10000),M49*1%,IF(AND(M49&gt;100,M49&lt;=1000),M49*3%,IF(AND(M49&gt;10,M49&lt;=100),M49*5%,M49*8%))))</f>
        <v>48.24</v>
      </c>
      <c r="M63" s="23">
        <f ca="1">ROUND(L63,1)</f>
        <v>48.2</v>
      </c>
      <c r="Z63" s="2414"/>
      <c r="AI63" s="2415"/>
    </row>
    <row r="64" spans="1:35" ht="14.25" customHeight="1">
      <c r="A64" s="196" t="s">
        <v>770</v>
      </c>
      <c r="B64" s="197" t="s">
        <v>2242</v>
      </c>
      <c r="C64" s="198">
        <f ca="1">D45</f>
        <v>4824</v>
      </c>
      <c r="D64" s="199" t="s">
        <v>32</v>
      </c>
      <c r="E64" s="200"/>
      <c r="F64" s="2480"/>
      <c r="G64" s="2480"/>
      <c r="H64" s="2488"/>
      <c r="I64" s="137"/>
      <c r="J64" s="3141"/>
      <c r="K64" s="2986" t="s">
        <v>2243</v>
      </c>
      <c r="L64" s="1745">
        <f ca="1">IF(M49&gt;2000,M49*0.5%,IF(AND(M49&gt;1000,M49&lt;=2000),M49*0.6%,IF(AND(M49&gt;500,M49&lt;=1000),M49*0.7%,IF(AND(M49&gt;200,M49&lt;=500),M49*0.8%,IF(AND(M49&gt;100,M49&lt;=200),M49*0.9%,IF(AND(M49&gt;50,M49&lt;=100),M49*1%,IF(AND(M49&gt;20,M49&lt;=50),M49*1.5%,IF(AND(M49&gt;10,M49&lt;=20),M49*2%,IF(AND(M49&gt;1,M49&lt;=10),M49*2.5%)))))))))</f>
        <v>24.12</v>
      </c>
      <c r="M64" s="23">
        <f t="shared" ref="M64:M65" ca="1" si="1">ROUND(L64,1)</f>
        <v>24.1</v>
      </c>
      <c r="N64" s="137" t="s">
        <v>2244</v>
      </c>
      <c r="Z64" s="2414"/>
      <c r="AI64" s="2415"/>
    </row>
    <row r="65" spans="1:35" ht="14.25" customHeight="1">
      <c r="A65" s="196" t="s">
        <v>771</v>
      </c>
      <c r="B65" s="197" t="s">
        <v>2245</v>
      </c>
      <c r="C65" s="201"/>
      <c r="D65" s="199"/>
      <c r="E65" s="200"/>
      <c r="F65" s="2480"/>
      <c r="G65" s="2480"/>
      <c r="H65" s="2488"/>
      <c r="I65" s="137"/>
      <c r="J65" s="3141"/>
      <c r="K65" s="2986" t="s">
        <v>2246</v>
      </c>
      <c r="L65" s="1745">
        <f ca="1">IF(M49&gt;1000,M49*0.1%,IF(AND(M49&gt;500,M49&lt;=1000),M49*0.5%,IF(AND(M49&gt;50,M49&lt;=500),M49*1%,IF(AND(M49&gt;1,M49&lt;=50),M49*1.5%))))</f>
        <v>4.8239999999999998</v>
      </c>
      <c r="M65" s="23">
        <f t="shared" ca="1" si="1"/>
        <v>4.8</v>
      </c>
      <c r="N65" s="137" t="s">
        <v>2244</v>
      </c>
      <c r="Z65" s="2414"/>
      <c r="AI65" s="2415"/>
    </row>
    <row r="66" spans="1:35" ht="14.25" customHeight="1">
      <c r="A66" s="202" t="s">
        <v>772</v>
      </c>
      <c r="B66" s="203" t="s">
        <v>2247</v>
      </c>
      <c r="C66" s="204"/>
      <c r="D66" s="205" t="s">
        <v>32</v>
      </c>
      <c r="E66" s="1769" t="s">
        <v>1371</v>
      </c>
      <c r="F66" s="2480"/>
      <c r="G66" s="2480"/>
      <c r="H66" s="2488"/>
      <c r="I66" s="137"/>
      <c r="J66" s="3141"/>
      <c r="K66" s="2986" t="s">
        <v>2248</v>
      </c>
      <c r="L66" s="1745">
        <f ca="1">M49*0.5%</f>
        <v>24.12</v>
      </c>
      <c r="M66" s="23">
        <f ca="1">IF(L66&gt;0.5,0.5,ROUND(L66,0))</f>
        <v>0.5</v>
      </c>
      <c r="N66" s="137" t="s">
        <v>2249</v>
      </c>
      <c r="Z66" s="2414"/>
      <c r="AI66" s="2415"/>
    </row>
    <row r="67" spans="1:35" ht="14.25" customHeight="1">
      <c r="A67" s="202" t="s">
        <v>773</v>
      </c>
      <c r="B67" s="203" t="s">
        <v>2250</v>
      </c>
      <c r="C67" s="206">
        <f ca="1">C63-C66</f>
        <v>4594</v>
      </c>
      <c r="D67" s="199" t="s">
        <v>32</v>
      </c>
      <c r="E67" s="200"/>
      <c r="F67" s="2480"/>
      <c r="G67" s="2480"/>
      <c r="H67" s="2488"/>
      <c r="I67" s="137"/>
      <c r="J67" s="3141"/>
      <c r="K67" s="2986" t="s">
        <v>2251</v>
      </c>
      <c r="L67" s="1745">
        <f ca="1">IF(M49&gt;=10000,(8.25+(M49-10000)*0.01%),IF(AND(M49&gt;=8000,M49&lt;10000),(7.85+(M49-8000)*0.02%),IF(AND(M49&gt;=5000,M49&lt;8000),(6.65+(M49-5000)*0.04%),IF(AND(M49&gt;=2000,M49&lt;5000),(4.25+(PM49-2000)*0.08%),IF(AND(M49&gt;=1000,M49&lt;2000),(2.75+(M49-1000)*0.15%),IF(AND(M49&gt;=100,M49&lt;1000),(0.5+(M49-100)*0.25%),IF(AND(M49&gt;0,M49&lt;100),M49*0.5%)))))))</f>
        <v>2.65</v>
      </c>
      <c r="M67" s="23">
        <f ca="1">ROUND(L67*0.9,1)</f>
        <v>2.4</v>
      </c>
      <c r="Z67" s="2414"/>
      <c r="AI67" s="2415"/>
    </row>
    <row r="68" spans="1:35" ht="14.25" customHeight="1" thickBot="1">
      <c r="A68" s="207" t="s">
        <v>774</v>
      </c>
      <c r="B68" s="208" t="s">
        <v>2252</v>
      </c>
      <c r="C68" s="209">
        <f ca="1">IF(C67&lt;=0,0,ROUND(C67*D68,0))</f>
        <v>253</v>
      </c>
      <c r="D68" s="210">
        <f>'数据-取费表'!B41</f>
        <v>5.5000000000000007E-2</v>
      </c>
      <c r="E68" s="211"/>
      <c r="F68" s="2480"/>
      <c r="G68" s="2480"/>
      <c r="H68" s="2488"/>
      <c r="I68" s="137"/>
      <c r="J68" s="3141"/>
      <c r="K68" s="2986" t="s">
        <v>2253</v>
      </c>
      <c r="L68" s="1745">
        <f ca="1">IF(M49&gt;10000,M49*0.5%,IF(AND(M49&gt;5000,M49&lt;=10000),M49*1%,IF(AND(M49&gt;1000,M49&lt;=5000),M49*2%,IF(AND(M49&gt;200,M49&lt;=1000),M49*3%,M49*5%))))</f>
        <v>96.48</v>
      </c>
      <c r="M68" s="23">
        <f ca="1">ROUND(L68,1)</f>
        <v>96.5</v>
      </c>
      <c r="Z68" s="2414"/>
      <c r="AI68" s="2415"/>
    </row>
    <row r="69" spans="1:35" s="2437" customFormat="1" ht="16.5" customHeight="1">
      <c r="A69" s="2491"/>
      <c r="B69" s="2492"/>
      <c r="C69" s="2493"/>
      <c r="D69" s="2494"/>
      <c r="E69" s="2495"/>
      <c r="F69" s="2159"/>
      <c r="G69" s="2159"/>
      <c r="H69" s="2158"/>
      <c r="I69" s="2409"/>
      <c r="J69" s="3141"/>
      <c r="K69" s="2986" t="s">
        <v>2254</v>
      </c>
      <c r="L69" s="2496"/>
      <c r="M69" s="23">
        <f ca="1">ROUND(SUM(M63:M68),0)</f>
        <v>177</v>
      </c>
      <c r="N69" s="1746">
        <f ca="1">M69/M49</f>
        <v>3.6691542288557213E-2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185" t="s">
        <v>2255</v>
      </c>
      <c r="B70" s="3186"/>
      <c r="C70" s="3186"/>
      <c r="D70" s="3186"/>
      <c r="E70" s="3186"/>
      <c r="F70" s="3186"/>
      <c r="G70" s="3186"/>
      <c r="H70" s="3186"/>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76" t="s">
        <v>2236</v>
      </c>
      <c r="B71" s="3177"/>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4594</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23</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82" t="s">
        <v>2264</v>
      </c>
      <c r="F76" s="3181"/>
      <c r="G76" s="3181"/>
      <c r="H76" s="3184"/>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23</v>
      </c>
      <c r="D78" s="225">
        <f>'数据-取费表'!B43</f>
        <v>5.000000000000001E-3</v>
      </c>
      <c r="E78" s="3173" t="s">
        <v>2269</v>
      </c>
      <c r="F78" s="3174"/>
      <c r="G78" s="3174"/>
      <c r="H78" s="3175"/>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4571</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198.7391304347826</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2735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85" t="s">
        <v>2273</v>
      </c>
      <c r="B83" s="3186"/>
      <c r="C83" s="3186"/>
      <c r="D83" s="3186"/>
      <c r="E83" s="3186"/>
      <c r="F83" s="3186"/>
      <c r="G83" s="3186"/>
      <c r="H83" s="3186"/>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76" t="s">
        <v>2236</v>
      </c>
      <c r="B84" s="3177"/>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4594</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23</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73" t="s">
        <v>2282</v>
      </c>
      <c r="F91" s="3174"/>
      <c r="G91" s="3174"/>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73" t="s">
        <v>2286</v>
      </c>
      <c r="F92" s="3174"/>
      <c r="G92" s="3174"/>
      <c r="H92" s="3175"/>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23</v>
      </c>
      <c r="D93" s="225">
        <f>'数据-取费表'!B43</f>
        <v>5.000000000000001E-3</v>
      </c>
      <c r="E93" s="3173" t="s">
        <v>2269</v>
      </c>
      <c r="F93" s="3174"/>
      <c r="G93" s="3174"/>
      <c r="H93" s="3175"/>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21" t="s">
        <v>2290</v>
      </c>
      <c r="F94" s="3222"/>
      <c r="G94" s="3222"/>
      <c r="H94" s="3223"/>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4571</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198.7391304347826</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2735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25" t="s">
        <v>2292</v>
      </c>
      <c r="B100" s="3126"/>
      <c r="C100" s="3126"/>
      <c r="D100" s="3157"/>
      <c r="E100" s="3126" t="s">
        <v>2293</v>
      </c>
      <c r="F100" s="3126"/>
      <c r="G100" s="3126"/>
      <c r="H100" s="3157"/>
      <c r="I100" s="137"/>
    </row>
    <row r="101" spans="1:35" ht="18.75" customHeight="1">
      <c r="A101" s="3165" t="s">
        <v>2294</v>
      </c>
      <c r="B101" s="3166"/>
      <c r="C101" s="735" t="str">
        <f>C4</f>
        <v>成本法（商业）</v>
      </c>
      <c r="D101" s="736" t="str">
        <f>D4</f>
        <v>收益法（商业）</v>
      </c>
      <c r="E101" s="3137" t="s">
        <v>2295</v>
      </c>
      <c r="F101" s="3138"/>
      <c r="G101" s="2511" t="s">
        <v>2296</v>
      </c>
      <c r="H101" s="1041">
        <f ca="1">H118</f>
        <v>4824</v>
      </c>
      <c r="I101" s="137"/>
    </row>
    <row r="102" spans="1:35" ht="18.75" customHeight="1">
      <c r="A102" s="3167" t="s">
        <v>2297</v>
      </c>
      <c r="B102" s="2511" t="s">
        <v>2296</v>
      </c>
      <c r="C102" s="735">
        <f ca="1">C19</f>
        <v>3436</v>
      </c>
      <c r="D102" s="736">
        <f ca="1">D19</f>
        <v>5749</v>
      </c>
      <c r="E102" s="3137"/>
      <c r="F102" s="3138"/>
      <c r="G102" s="2511" t="s">
        <v>2298</v>
      </c>
      <c r="H102" s="370">
        <f ca="1">I118</f>
        <v>15313</v>
      </c>
      <c r="I102" s="137"/>
    </row>
    <row r="103" spans="1:35" ht="42.75" customHeight="1">
      <c r="A103" s="3167"/>
      <c r="B103" s="2511" t="s">
        <v>2298</v>
      </c>
      <c r="C103" s="737">
        <f ca="1">C20</f>
        <v>10907</v>
      </c>
      <c r="D103" s="738">
        <f ca="1">D20</f>
        <v>18249</v>
      </c>
      <c r="E103" s="3131" t="s">
        <v>2299</v>
      </c>
      <c r="F103" s="3132"/>
      <c r="G103" s="2512" t="s">
        <v>2300</v>
      </c>
      <c r="H103" s="1041">
        <f>IF(D36="正常操作",H104+H105+H106,H105+H106)</f>
        <v>0</v>
      </c>
      <c r="I103" s="137"/>
    </row>
    <row r="104" spans="1:35" ht="18.75" customHeight="1">
      <c r="A104" s="3167" t="s">
        <v>2301</v>
      </c>
      <c r="B104" s="2513" t="s">
        <v>2296</v>
      </c>
      <c r="C104" s="739">
        <f ca="1">H118</f>
        <v>4824</v>
      </c>
      <c r="D104" s="740"/>
      <c r="E104" s="2259" t="s">
        <v>2302</v>
      </c>
      <c r="F104" s="2251"/>
      <c r="G104" s="2512" t="s">
        <v>2300</v>
      </c>
      <c r="H104" s="1042">
        <f>IF(D36="同一抵押权人同一抵押物续贷",C36&amp;"（未扣减，详见特别提示）",C36)</f>
        <v>0</v>
      </c>
      <c r="I104" s="137"/>
    </row>
    <row r="105" spans="1:35" ht="18.75" customHeight="1" thickBot="1">
      <c r="A105" s="3179"/>
      <c r="B105" s="2514" t="s">
        <v>2298</v>
      </c>
      <c r="C105" s="741">
        <f ca="1">I118</f>
        <v>15313</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68" t="str">
        <f>IF(项目基本情况!E8="已注销","——","3.房地产抵押价值")</f>
        <v>——</v>
      </c>
      <c r="F107" s="3138"/>
      <c r="G107" s="2511" t="s">
        <v>2296</v>
      </c>
      <c r="H107" s="1041" t="str">
        <f>IF(E107="——","——",H101-H103)</f>
        <v>——</v>
      </c>
      <c r="I107" s="137"/>
    </row>
    <row r="108" spans="1:35" ht="18.75" customHeight="1">
      <c r="A108" s="137"/>
      <c r="B108" s="137"/>
      <c r="C108" s="137"/>
      <c r="D108" s="137"/>
      <c r="E108" s="3168"/>
      <c r="F108" s="3138"/>
      <c r="G108" s="2511" t="s">
        <v>2298</v>
      </c>
      <c r="H108" s="370" t="e">
        <f>ROUND(H107*10000/'数据-汇总表'!E3,0)</f>
        <v>#VALUE!</v>
      </c>
      <c r="I108" s="137"/>
    </row>
    <row r="109" spans="1:35" ht="18.75" customHeight="1">
      <c r="A109" s="137"/>
      <c r="B109" s="137"/>
      <c r="C109" s="137"/>
      <c r="D109" s="137"/>
      <c r="E109" s="3168" t="str">
        <f>IF(项目基本情况!E8="已注销及未注销","4.抵押担保权已注销时的房地产抵押价值",IF(项目基本情况!E8="已注销","3.抵押担保权已注销时的房地产抵押价值","——"))</f>
        <v>3.抵押担保权已注销时的房地产抵押价值</v>
      </c>
      <c r="F109" s="3138"/>
      <c r="G109" s="2511" t="s">
        <v>2296</v>
      </c>
      <c r="H109" s="347">
        <f ca="1">IF(E109="——","——",H101-H105-H106)</f>
        <v>4824</v>
      </c>
      <c r="I109" s="137"/>
    </row>
    <row r="110" spans="1:35" ht="18.75" customHeight="1">
      <c r="A110" s="137"/>
      <c r="B110" s="137"/>
      <c r="C110" s="137"/>
      <c r="D110" s="137"/>
      <c r="E110" s="3168"/>
      <c r="F110" s="3138"/>
      <c r="G110" s="2511" t="s">
        <v>2298</v>
      </c>
      <c r="H110" s="370">
        <f ca="1">IF(H109="——","——",ROUND(H109*10000/'数据-汇总表'!E3,0))</f>
        <v>1001</v>
      </c>
      <c r="I110" s="137"/>
    </row>
    <row r="111" spans="1:35" ht="18.75" customHeight="1">
      <c r="A111" s="137"/>
      <c r="B111" s="137"/>
      <c r="C111" s="137"/>
      <c r="D111" s="137"/>
      <c r="E111" s="3169" t="str">
        <f>IF(项目基本情况!E9="抵押净值",IF(OR(项目基本情况!E8="已注销",项目基本情况!E8="房地产抵押价值"),"4.抵押净值","5.抵押净值"),"——")</f>
        <v>——</v>
      </c>
      <c r="F111" s="3170"/>
      <c r="G111" s="2511" t="s">
        <v>2296</v>
      </c>
      <c r="H111" s="1041" t="str">
        <f>IF(E111="——","——",N59)</f>
        <v>——</v>
      </c>
      <c r="I111" s="137"/>
    </row>
    <row r="112" spans="1:35" ht="18.75" customHeight="1" thickBot="1">
      <c r="A112" s="137"/>
      <c r="B112" s="137"/>
      <c r="C112" s="137"/>
      <c r="D112" s="137"/>
      <c r="E112" s="3171"/>
      <c r="F112" s="3172"/>
      <c r="G112" s="2516" t="s">
        <v>2298</v>
      </c>
      <c r="H112" s="789" t="str">
        <f>IF(E111="——","——",N61)</f>
        <v>——</v>
      </c>
      <c r="I112" s="137"/>
    </row>
    <row r="113" spans="1:11" ht="18.75" customHeight="1">
      <c r="A113" s="137"/>
      <c r="B113" s="137"/>
      <c r="C113" s="137"/>
      <c r="D113" s="137"/>
      <c r="E113" s="3180" t="s">
        <v>2304</v>
      </c>
      <c r="F113" s="3180"/>
      <c r="G113" s="3180"/>
      <c r="H113" s="3180"/>
      <c r="I113" s="137"/>
    </row>
    <row r="114" spans="1:11" ht="3.75" customHeight="1">
      <c r="A114" s="2409"/>
      <c r="B114" s="2409"/>
      <c r="C114" s="2409"/>
      <c r="D114" s="2409"/>
      <c r="E114" s="2487"/>
      <c r="F114" s="2487"/>
      <c r="G114" s="2487"/>
      <c r="H114" s="2487"/>
      <c r="I114" s="2409"/>
    </row>
    <row r="115" spans="1:11" ht="18.75" customHeight="1">
      <c r="A115" s="3193" t="s">
        <v>2306</v>
      </c>
      <c r="B115" s="3194"/>
      <c r="C115" s="3194"/>
      <c r="D115" s="3194"/>
      <c r="E115" s="3194"/>
      <c r="F115" s="3194"/>
      <c r="G115" s="3194"/>
      <c r="H115" s="3194"/>
      <c r="I115" s="3195"/>
    </row>
    <row r="116" spans="1:11" ht="27" customHeight="1">
      <c r="A116" s="3104" t="s">
        <v>2307</v>
      </c>
      <c r="B116" s="3147" t="s">
        <v>2308</v>
      </c>
      <c r="C116" s="3147" t="s">
        <v>2309</v>
      </c>
      <c r="D116" s="3153" t="s">
        <v>2310</v>
      </c>
      <c r="E116" s="3154"/>
      <c r="F116" s="3189" t="s">
        <v>2311</v>
      </c>
      <c r="G116" s="3189"/>
      <c r="H116" s="3104" t="s">
        <v>2312</v>
      </c>
      <c r="I116" s="3104"/>
    </row>
    <row r="117" spans="1:11" ht="18.75" customHeight="1">
      <c r="A117" s="3104"/>
      <c r="B117" s="3148"/>
      <c r="C117" s="3148"/>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3150.28</v>
      </c>
      <c r="C118" s="2969">
        <f>M19</f>
        <v>628.92999999999995</v>
      </c>
      <c r="D118" s="2969">
        <f ca="1">ROUND(IF(D32="总价",C34,E118*B118/10000),0)</f>
        <v>2470</v>
      </c>
      <c r="E118" s="2969">
        <f ca="1">ROUND(IF(C33="自定义",IF(D32="楼面单价",C34,D118*10000/B118),I118-G118),0)</f>
        <v>7841</v>
      </c>
      <c r="F118" s="2969">
        <f ca="1">ROUND(IF(D32="总价",C35,G118*B118/10000),0)</f>
        <v>2354</v>
      </c>
      <c r="G118" s="2969">
        <f ca="1">ROUND(IF(D32="楼面单价",C35,F118*10000/B118),0)</f>
        <v>7472</v>
      </c>
      <c r="H118" s="2969">
        <f ca="1">ROUND(IF(D32="总价",C32,I118*B118/10000),0)</f>
        <v>4824</v>
      </c>
      <c r="I118" s="2969">
        <f ca="1">ROUND(IF(D32="楼面单价",C32,H118*10000/B118),0)</f>
        <v>15313</v>
      </c>
    </row>
    <row r="119" spans="1:11" ht="18.75" customHeight="1">
      <c r="A119" s="3104" t="s">
        <v>2316</v>
      </c>
      <c r="B119" s="3104"/>
      <c r="C119" s="3104"/>
      <c r="D119" s="3149" t="str">
        <f ca="1">NUMBERSTRING(INT(D118*10000),2)&amp;"元整"</f>
        <v>贰仟肆佰柒拾万元整</v>
      </c>
      <c r="E119" s="3150"/>
      <c r="F119" s="3149" t="str">
        <f ca="1">NUMBERSTRING(INT(F118*10000),2)&amp;"元整"</f>
        <v>贰仟叁佰伍拾肆万元整</v>
      </c>
      <c r="G119" s="3150"/>
      <c r="H119" s="3149" t="str">
        <f ca="1">NUMBERSTRING(INT(H118*10000),2)&amp;"元整"</f>
        <v>肆仟捌佰贰拾肆万元整</v>
      </c>
      <c r="I119" s="3150"/>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4" t="str">
        <f>IF(D120=0,"故，本次评估不存在"&amp;A120,"故，本次评估"&amp;A120&amp;"为人民币"&amp;D120&amp;"万元整。")</f>
        <v>故，本次评估不存在估价师知悉的法定优先受偿款</v>
      </c>
    </row>
    <row r="121" spans="1:11" ht="18.75" customHeight="1">
      <c r="A121" s="3190" t="s">
        <v>2316</v>
      </c>
      <c r="B121" s="3191"/>
      <c r="C121" s="3192"/>
      <c r="D121" s="3149" t="str">
        <f>IF(D120=0,"零元整",NUMBERSTRING(INT(D120*10000),2)&amp;"元整")</f>
        <v>零元整</v>
      </c>
      <c r="E121" s="3151"/>
      <c r="F121" s="3151"/>
      <c r="G121" s="3151"/>
      <c r="H121" s="3151"/>
      <c r="I121" s="3150"/>
    </row>
    <row r="122" spans="1:11" ht="18.75" customHeight="1">
      <c r="A122" s="3155" t="str">
        <f>IF(项目基本情况!B9="房地产市场价值","",MID(E107,3,LEN(E107)-2))</f>
        <v/>
      </c>
      <c r="B122" s="3155"/>
      <c r="C122" s="3155"/>
      <c r="D122" s="3144" t="str">
        <f>H107</f>
        <v>——</v>
      </c>
      <c r="E122" s="3145"/>
      <c r="F122" s="3145"/>
      <c r="G122" s="3145"/>
      <c r="H122" s="3145"/>
      <c r="I122" s="3146"/>
    </row>
    <row r="123" spans="1:11" ht="18.75" customHeight="1">
      <c r="A123" s="3104" t="s">
        <v>2316</v>
      </c>
      <c r="B123" s="3104"/>
      <c r="C123" s="3104"/>
      <c r="D123" s="3149" t="e">
        <f>NUMBERSTRING(INT(D122*10000),2)&amp;"元整"</f>
        <v>#VALUE!</v>
      </c>
      <c r="E123" s="3151"/>
      <c r="F123" s="3151"/>
      <c r="G123" s="3151"/>
      <c r="H123" s="3151"/>
      <c r="I123" s="3150"/>
    </row>
    <row r="124" spans="1:11" ht="18.75" customHeight="1">
      <c r="A124" s="3155" t="str">
        <f>IF(项目基本情况!B9="房地产市场价值","",MID(E109,3,LEN(E109)-2))</f>
        <v>抵押担保权已注销时的房地产抵押价值</v>
      </c>
      <c r="B124" s="3155"/>
      <c r="C124" s="3155"/>
      <c r="D124" s="3144">
        <f ca="1">H109</f>
        <v>4824</v>
      </c>
      <c r="E124" s="3145"/>
      <c r="F124" s="3145"/>
      <c r="G124" s="3145"/>
      <c r="H124" s="3145"/>
      <c r="I124" s="3146"/>
    </row>
    <row r="125" spans="1:11" ht="18.75" customHeight="1">
      <c r="A125" s="3104" t="s">
        <v>2316</v>
      </c>
      <c r="B125" s="3104"/>
      <c r="C125" s="3104"/>
      <c r="D125" s="3149" t="str">
        <f ca="1">NUMBERSTRING(INT(D124*10000),2)&amp;"元整"</f>
        <v>肆仟捌佰贰拾肆万元整</v>
      </c>
      <c r="E125" s="3151"/>
      <c r="F125" s="3151"/>
      <c r="G125" s="3151"/>
      <c r="H125" s="3151"/>
      <c r="I125" s="3150"/>
    </row>
    <row r="126" spans="1:11" ht="18.75" customHeight="1">
      <c r="A126" s="3155" t="str">
        <f>IF(项目基本情况!B9="房地产市场价值","",MID(E111,3,LEN(E111)-2))</f>
        <v/>
      </c>
      <c r="B126" s="3155"/>
      <c r="C126" s="3155"/>
      <c r="D126" s="3144" t="str">
        <f>H111</f>
        <v>——</v>
      </c>
      <c r="E126" s="3145"/>
      <c r="F126" s="3145"/>
      <c r="G126" s="3145"/>
      <c r="H126" s="3145"/>
      <c r="I126" s="3146"/>
    </row>
    <row r="127" spans="1:11" ht="18.75" customHeight="1">
      <c r="A127" s="3104" t="s">
        <v>2316</v>
      </c>
      <c r="B127" s="3104"/>
      <c r="C127" s="3104"/>
      <c r="D127" s="3149" t="e">
        <f>NUMBERSTRING(INT(D126*10000),2)&amp;"元整"</f>
        <v>#VALUE!</v>
      </c>
      <c r="E127" s="3151"/>
      <c r="F127" s="3151"/>
      <c r="G127" s="3151"/>
      <c r="H127" s="3151"/>
      <c r="I127" s="3150"/>
    </row>
    <row r="128" spans="1:11" ht="21.75" customHeight="1">
      <c r="A128" s="3152" t="s">
        <v>2317</v>
      </c>
      <c r="B128" s="3152"/>
      <c r="C128" s="3152"/>
      <c r="D128" s="3152"/>
      <c r="E128" s="3152"/>
      <c r="F128" s="3152"/>
      <c r="G128" s="3152"/>
      <c r="H128" s="3152"/>
      <c r="I128" s="3152"/>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1377</v>
      </c>
      <c r="C1" s="241"/>
      <c r="D1" s="241"/>
      <c r="E1" s="241"/>
      <c r="F1" s="241"/>
      <c r="G1" s="1375">
        <f>MATCH(B1,'数据-取费表'!A6:A16,0)+5</f>
        <v>7</v>
      </c>
    </row>
    <row r="2" spans="1:9" s="243" customFormat="1" ht="18" customHeight="1">
      <c r="A2" s="244" t="s">
        <v>1394</v>
      </c>
      <c r="B2" s="245">
        <f ca="1">IF(D2="——",C52,C52-E2)</f>
        <v>3436</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10907</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1179</v>
      </c>
      <c r="D5" s="254" t="s">
        <v>2333</v>
      </c>
      <c r="E5" s="255" t="s">
        <v>2334</v>
      </c>
      <c r="F5" s="255" t="s">
        <v>2335</v>
      </c>
      <c r="G5" s="256"/>
    </row>
    <row r="6" spans="1:9" s="257" customFormat="1" ht="13.5" customHeight="1">
      <c r="A6" s="945" t="s">
        <v>791</v>
      </c>
      <c r="B6" s="258" t="s">
        <v>2337</v>
      </c>
      <c r="C6" s="259">
        <f>'土地比较法-住宅、综合'!F57</f>
        <v>1144</v>
      </c>
      <c r="D6" s="260"/>
      <c r="E6" s="261"/>
      <c r="F6" s="261"/>
      <c r="G6" s="262"/>
    </row>
    <row r="7" spans="1:9" s="257" customFormat="1" ht="13.5" customHeight="1">
      <c r="A7" s="945" t="s">
        <v>792</v>
      </c>
      <c r="B7" s="258" t="s">
        <v>2339</v>
      </c>
      <c r="C7" s="263">
        <f>ROUND(C6*F7,0)</f>
        <v>35</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63</v>
      </c>
      <c r="D10" s="1028">
        <f ca="1">IF(B1="",'数据-汇总表'!E6,IF(INDIRECT("'数据-取费表'!c"&amp;$G$1)="住宅",INDIRECT("'数据-取费表'!s"&amp;$G$1),INDIRECT("'数据-取费表'!k"&amp;$G$1)+INDIRECT("'数据-取费表'!s"&amp;$G$1)))</f>
        <v>3150.28</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3150.28</v>
      </c>
      <c r="E19" s="254">
        <f>'数据-取费表'!B31</f>
        <v>200</v>
      </c>
      <c r="F19" s="274"/>
      <c r="G19" s="2543" t="s">
        <v>3054</v>
      </c>
    </row>
    <row r="20" spans="1:7" s="257" customFormat="1" ht="13.5" customHeight="1">
      <c r="A20" s="298" t="s">
        <v>2357</v>
      </c>
      <c r="B20" s="253" t="s">
        <v>2358</v>
      </c>
      <c r="C20" s="275">
        <f>ROUND((C5+C19)*F20,0)</f>
        <v>24</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178</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176</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2</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241</v>
      </c>
      <c r="D27" s="278">
        <f ca="1">C29</f>
        <v>4.0000000000000001E-3</v>
      </c>
      <c r="E27" s="279" t="s">
        <v>2362</v>
      </c>
      <c r="F27" s="289">
        <f ca="1">IF(B1="",'数据-取费表'!Q16,INDIRECT("'数据-取费表'!q"&amp;$G$1))</f>
        <v>0.2</v>
      </c>
      <c r="G27" s="290" t="s">
        <v>2379</v>
      </c>
    </row>
    <row r="28" spans="1:7" s="257" customFormat="1" ht="13.5" customHeight="1">
      <c r="A28" s="947" t="s">
        <v>791</v>
      </c>
      <c r="B28" s="291" t="s">
        <v>2380</v>
      </c>
      <c r="C28" s="292">
        <f ca="1">ROUND((C5+C19+C20)*F27*'数据-取费表'!B21/'数据-取费表'!B20,0)</f>
        <v>241</v>
      </c>
      <c r="D28" s="278"/>
      <c r="E28" s="279"/>
      <c r="F28" s="289"/>
      <c r="G28" s="290"/>
    </row>
    <row r="29" spans="1:7" s="257" customFormat="1" ht="13.5" customHeight="1">
      <c r="A29" s="947" t="s">
        <v>792</v>
      </c>
      <c r="B29" s="291" t="s">
        <v>2381</v>
      </c>
      <c r="C29" s="281">
        <f ca="1">ROUND(C21*F27*'数据-取费表'!B21/'数据-取费表'!B20,4)</f>
        <v>4.0000000000000001E-3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1759</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1216</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1103</v>
      </c>
      <c r="D34" s="260"/>
      <c r="E34" s="263"/>
      <c r="F34" s="300">
        <f ca="1">IF('数据-取费表'!B24=0,1,IF(B1="",'数据-取费表'!N16,INDIRECT("'数据-取费表'!n"&amp;$G$1)))</f>
        <v>1</v>
      </c>
      <c r="G34" s="262" t="s">
        <v>2390</v>
      </c>
    </row>
    <row r="35" spans="1:7" ht="13.5" customHeight="1">
      <c r="A35" s="947" t="s">
        <v>796</v>
      </c>
      <c r="B35" s="258" t="s">
        <v>2391</v>
      </c>
      <c r="C35" s="263">
        <f ca="1">ROUND(C34*F35,0)</f>
        <v>33</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63</v>
      </c>
      <c r="D37" s="260">
        <f ca="1">D19</f>
        <v>3150.28</v>
      </c>
      <c r="E37" s="292">
        <f>'数据-取费表'!B35</f>
        <v>200</v>
      </c>
      <c r="F37" s="302"/>
      <c r="G37" s="304" t="s">
        <v>2396</v>
      </c>
    </row>
    <row r="38" spans="1:7" ht="13.5" customHeight="1">
      <c r="A38" s="947" t="s">
        <v>799</v>
      </c>
      <c r="B38" s="258" t="s">
        <v>2397</v>
      </c>
      <c r="C38" s="263">
        <f ca="1">ROUND(C34*F38,0)</f>
        <v>17</v>
      </c>
      <c r="D38" s="263"/>
      <c r="E38" s="263"/>
      <c r="F38" s="302">
        <f>'数据-取费表'!B36</f>
        <v>1.4999999999999999E-2</v>
      </c>
      <c r="G38" s="262" t="s">
        <v>2392</v>
      </c>
    </row>
    <row r="39" spans="1:7" s="257" customFormat="1" ht="13.5" customHeight="1">
      <c r="A39" s="298" t="s">
        <v>2355</v>
      </c>
      <c r="B39" s="253" t="s">
        <v>2358</v>
      </c>
      <c r="C39" s="275">
        <f ca="1">ROUND(C33*F20,0)</f>
        <v>24</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90</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88</v>
      </c>
      <c r="D42" s="281"/>
      <c r="E42" s="281"/>
      <c r="F42" s="282"/>
      <c r="G42" s="3224" t="s">
        <v>2408</v>
      </c>
    </row>
    <row r="43" spans="1:7" ht="13.5" customHeight="1">
      <c r="A43" s="947" t="s">
        <v>792</v>
      </c>
      <c r="B43" s="258" t="s">
        <v>2370</v>
      </c>
      <c r="C43" s="281">
        <f ca="1">ROUND(IF('数据-取费表'!B22&lt;=1,C39*F22*'数据-取费表'!B21/2,C39*(POWER((1+F22),'数据-取费表'!B21/2)-1)),0)</f>
        <v>2</v>
      </c>
      <c r="D43" s="281"/>
      <c r="E43" s="281"/>
      <c r="F43" s="282"/>
      <c r="G43" s="3225"/>
    </row>
    <row r="44" spans="1:7" ht="13.5" customHeight="1">
      <c r="A44" s="947" t="s">
        <v>793</v>
      </c>
      <c r="B44" s="258" t="s">
        <v>2373</v>
      </c>
      <c r="C44" s="281">
        <f ca="1">ROUND(IF('数据-取费表'!B22&lt;=1,C40*F22*'数据-取费表'!B21/2,C40*(POWER((1+F22),'数据-取费表'!B21/2)-1)),4)</f>
        <v>1.4E-3</v>
      </c>
      <c r="D44" s="281"/>
      <c r="E44" s="281"/>
      <c r="F44" s="282"/>
      <c r="G44" s="3226"/>
    </row>
    <row r="45" spans="1:7" s="257" customFormat="1" ht="13.5" customHeight="1">
      <c r="A45" s="298" t="s">
        <v>2364</v>
      </c>
      <c r="B45" s="287" t="s">
        <v>2377</v>
      </c>
      <c r="C45" s="288">
        <f ca="1">C46</f>
        <v>248</v>
      </c>
      <c r="D45" s="278">
        <f ca="1">C47</f>
        <v>4.0000000000000001E-3</v>
      </c>
      <c r="E45" s="279" t="s">
        <v>2403</v>
      </c>
      <c r="F45" s="289"/>
      <c r="G45" s="290" t="s">
        <v>2412</v>
      </c>
    </row>
    <row r="46" spans="1:7" s="257" customFormat="1" ht="13.5" customHeight="1">
      <c r="A46" s="947" t="s">
        <v>791</v>
      </c>
      <c r="B46" s="291" t="s">
        <v>2413</v>
      </c>
      <c r="C46" s="292">
        <f ca="1">ROUND((C33+C39)*F27,0)</f>
        <v>248</v>
      </c>
      <c r="D46" s="306"/>
      <c r="E46" s="279"/>
      <c r="F46" s="289"/>
      <c r="G46" s="290"/>
    </row>
    <row r="47" spans="1:7" s="257" customFormat="1" ht="13.5" customHeight="1">
      <c r="A47" s="947" t="s">
        <v>792</v>
      </c>
      <c r="B47" s="291" t="s">
        <v>2414</v>
      </c>
      <c r="C47" s="281">
        <f ca="1">ROUND(C40*F27,4)</f>
        <v>4.0000000000000001E-3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1711</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1677</v>
      </c>
      <c r="D51" s="275"/>
      <c r="E51" s="275"/>
      <c r="F51" s="307"/>
      <c r="G51" s="277" t="s">
        <v>2424</v>
      </c>
    </row>
    <row r="52" spans="1:7" s="251" customFormat="1" ht="16.5" thickBot="1">
      <c r="A52" s="308" t="s">
        <v>2425</v>
      </c>
      <c r="B52" s="309"/>
      <c r="C52" s="310">
        <f ca="1">C31+C51</f>
        <v>3436</v>
      </c>
      <c r="D52" s="309"/>
      <c r="E52" s="309"/>
      <c r="F52" s="309"/>
      <c r="G52" s="311"/>
    </row>
    <row r="55" spans="1:7" ht="15">
      <c r="B55" s="313" t="s">
        <v>2426</v>
      </c>
      <c r="C55" s="314"/>
    </row>
    <row r="56" spans="1:7">
      <c r="B56" s="316" t="s">
        <v>1514</v>
      </c>
      <c r="C56" s="318">
        <f ca="1">1-C57</f>
        <v>0.51200000000000001</v>
      </c>
    </row>
    <row r="57" spans="1:7">
      <c r="B57" s="316" t="s">
        <v>1515</v>
      </c>
      <c r="C57" s="317">
        <f ca="1">ROUND(C51/C52,3)</f>
        <v>0.48799999999999999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D37" sqref="D3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1377</v>
      </c>
      <c r="D1" s="1816" t="s">
        <v>70</v>
      </c>
      <c r="E1" s="1817" t="s">
        <v>1387</v>
      </c>
      <c r="F1" s="1279">
        <f ca="1">J53</f>
        <v>36.19</v>
      </c>
      <c r="G1" s="1832">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5749</v>
      </c>
      <c r="C2" s="1841" t="s">
        <v>1517</v>
      </c>
      <c r="D2" s="1841"/>
      <c r="E2" s="1842"/>
      <c r="F2" s="1843"/>
      <c r="G2" s="1844"/>
      <c r="H2" s="1836"/>
      <c r="I2" s="1836"/>
      <c r="J2" s="1836"/>
      <c r="K2" s="1837"/>
      <c r="L2" s="1836"/>
      <c r="M2" s="1836"/>
    </row>
    <row r="3" spans="1:37" ht="18" customHeight="1" thickBot="1">
      <c r="A3" s="1845" t="s">
        <v>1518</v>
      </c>
      <c r="B3" s="1846">
        <f ca="1">IF(ISERROR(B2*10000/F43),0,ROUND(B2*10000/F43,0))</f>
        <v>18249</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363</v>
      </c>
      <c r="D5" s="1818" t="s">
        <v>1402</v>
      </c>
      <c r="E5" s="1289"/>
      <c r="F5" s="1290"/>
      <c r="G5" s="1847"/>
      <c r="H5" s="343">
        <v>1</v>
      </c>
      <c r="I5" s="344" t="s">
        <v>1401</v>
      </c>
      <c r="J5" s="1288">
        <f ca="1">J6+J10+J12</f>
        <v>0</v>
      </c>
      <c r="K5" s="1818" t="s">
        <v>1402</v>
      </c>
      <c r="L5" s="1289"/>
      <c r="M5" s="1290"/>
    </row>
    <row r="6" spans="1:37" ht="18" customHeight="1">
      <c r="A6" s="1287" t="s">
        <v>1035</v>
      </c>
      <c r="B6" s="3229" t="s">
        <v>1403</v>
      </c>
      <c r="C6" s="1292">
        <f ca="1">ROUND(F6*F8*F7*(1-F9)/10000,0)</f>
        <v>362</v>
      </c>
      <c r="D6" s="163" t="s">
        <v>3034</v>
      </c>
      <c r="E6" s="346" t="s">
        <v>1405</v>
      </c>
      <c r="F6" s="347">
        <f ca="1">INDIRECT("'数据-取费表'!u"&amp;$G$1)</f>
        <v>3.5</v>
      </c>
      <c r="G6" s="1847"/>
      <c r="H6" s="1287" t="s">
        <v>1035</v>
      </c>
      <c r="I6" s="3229" t="s">
        <v>1403</v>
      </c>
      <c r="J6" s="345">
        <f ca="1">ROUND(M6*M8*M7*(1-M9)/10000,0)</f>
        <v>0</v>
      </c>
      <c r="K6" s="163" t="s">
        <v>3033</v>
      </c>
      <c r="L6" s="346" t="s">
        <v>1405</v>
      </c>
      <c r="M6" s="347">
        <f ca="1">INDIRECT("'数据-取费表'!z"&amp;$G$1)</f>
        <v>0</v>
      </c>
    </row>
    <row r="7" spans="1:37" ht="18" customHeight="1">
      <c r="A7" s="1291"/>
      <c r="B7" s="3230"/>
      <c r="C7" s="1293"/>
      <c r="D7" s="351"/>
      <c r="E7" s="2988" t="s">
        <v>1406</v>
      </c>
      <c r="F7" s="347">
        <f ca="1">IF(INDIRECT("'数据-取费表'!ah"&amp;$G$1)="",INDIRECT("'数据-取费表'!k"&amp;$G$1),INDIRECT("'数据-取费表'!ah"&amp;$G$1))</f>
        <v>3150.28</v>
      </c>
      <c r="G7" s="1847"/>
      <c r="H7" s="348"/>
      <c r="I7" s="3230"/>
      <c r="J7" s="350"/>
      <c r="K7" s="351"/>
      <c r="L7" s="346" t="s">
        <v>1406</v>
      </c>
      <c r="M7" s="347">
        <f ca="1">F7</f>
        <v>3150.28</v>
      </c>
    </row>
    <row r="8" spans="1:37" ht="18" customHeight="1">
      <c r="A8" s="348"/>
      <c r="B8" s="3230"/>
      <c r="C8" s="350"/>
      <c r="D8" s="351"/>
      <c r="E8" s="346" t="s">
        <v>1407</v>
      </c>
      <c r="F8" s="347">
        <f ca="1">INDIRECT("'数据-取费表'!ai"&amp;$G$1)</f>
        <v>365</v>
      </c>
      <c r="G8" s="1847"/>
      <c r="H8" s="348"/>
      <c r="I8" s="3230"/>
      <c r="J8" s="350"/>
      <c r="K8" s="351"/>
      <c r="L8" s="346" t="s">
        <v>1407</v>
      </c>
      <c r="M8" s="347">
        <f ca="1">INDIRECT("'数据-取费表'!ai"&amp;$G$1)</f>
        <v>365</v>
      </c>
    </row>
    <row r="9" spans="1:37" ht="18" customHeight="1">
      <c r="A9" s="348"/>
      <c r="B9" s="3231"/>
      <c r="C9" s="350"/>
      <c r="D9" s="351"/>
      <c r="E9" s="346" t="s">
        <v>1408</v>
      </c>
      <c r="F9" s="356">
        <f ca="1">INDIRECT("'数据-取费表'!w"&amp;$G$1)</f>
        <v>0.1</v>
      </c>
      <c r="G9" s="1847"/>
      <c r="H9" s="348"/>
      <c r="I9" s="3231"/>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1</v>
      </c>
      <c r="D10" s="1820" t="s">
        <v>3030</v>
      </c>
      <c r="E10" s="357" t="s">
        <v>1411</v>
      </c>
      <c r="F10" s="1362" t="s">
        <v>3569</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1677</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1103</v>
      </c>
      <c r="D14" s="2976" t="s">
        <v>1419</v>
      </c>
      <c r="E14" s="2971"/>
      <c r="F14" s="363"/>
      <c r="G14" s="1847"/>
      <c r="H14" s="1197" t="s">
        <v>1035</v>
      </c>
      <c r="I14" s="346" t="s">
        <v>1420</v>
      </c>
      <c r="J14" s="23">
        <f ca="1">C29</f>
        <v>1711</v>
      </c>
      <c r="K14" s="2987"/>
      <c r="L14" s="975"/>
      <c r="M14" s="976"/>
    </row>
    <row r="15" spans="1:37" s="1854" customFormat="1" ht="18" customHeight="1" thickBot="1">
      <c r="A15" s="1197" t="s">
        <v>1036</v>
      </c>
      <c r="B15" s="346" t="s">
        <v>1421</v>
      </c>
      <c r="C15" s="23">
        <f ca="1">ROUND(C14*F15,0)</f>
        <v>33</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49</v>
      </c>
      <c r="K16" s="1333" t="s">
        <v>1426</v>
      </c>
      <c r="L16" s="2978"/>
      <c r="M16" s="1290"/>
    </row>
    <row r="17" spans="1:37" s="1854" customFormat="1" ht="18" customHeight="1">
      <c r="A17" s="1197" t="s">
        <v>1390</v>
      </c>
      <c r="B17" s="346" t="s">
        <v>1427</v>
      </c>
      <c r="C17" s="23">
        <f ca="1">ROUND(F17*(F43+INDIRECT("'数据-取费表'!S"&amp;$G$1))/10000,0)</f>
        <v>63</v>
      </c>
      <c r="D17" s="346" t="s">
        <v>1428</v>
      </c>
      <c r="E17" s="346" t="s">
        <v>1429</v>
      </c>
      <c r="F17" s="25">
        <f>'数据-取费表'!B35</f>
        <v>200</v>
      </c>
      <c r="G17" s="1850"/>
      <c r="H17" s="1197" t="s">
        <v>1035</v>
      </c>
      <c r="I17" s="346" t="s">
        <v>1430</v>
      </c>
      <c r="J17" s="23">
        <f ca="1">ROUND(IF(项目基本情况!B11="自然人",J5*M17,J18+J19+J20),1)</f>
        <v>14.5</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17</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1216</v>
      </c>
      <c r="D19" s="139" t="s">
        <v>1437</v>
      </c>
      <c r="E19" s="2985"/>
      <c r="F19" s="25"/>
      <c r="G19" s="1847"/>
      <c r="H19" s="1197" t="s">
        <v>1036</v>
      </c>
      <c r="I19" s="346" t="s">
        <v>1438</v>
      </c>
      <c r="J19" s="23">
        <f ca="1">IF(K19="按租金收入计税",ROUND(J5*M19,2),ROUND(C29*M19*0.7,2))</f>
        <v>14.37</v>
      </c>
      <c r="K19" s="1824" t="s">
        <v>1439</v>
      </c>
      <c r="L19" s="346" t="s">
        <v>1423</v>
      </c>
      <c r="M19" s="366">
        <f>IF(K19="按租金收入计税",'数据-取费表'!B51,'数据-取费表'!B50)</f>
        <v>1.2E-2</v>
      </c>
    </row>
    <row r="20" spans="1:37" s="1854" customFormat="1" ht="18" customHeight="1">
      <c r="A20" s="1197" t="s">
        <v>1039</v>
      </c>
      <c r="B20" s="346" t="s">
        <v>1440</v>
      </c>
      <c r="C20" s="23">
        <f ca="1">ROUND(C19*F20,0)</f>
        <v>24</v>
      </c>
      <c r="D20" s="368" t="s">
        <v>1441</v>
      </c>
      <c r="E20" s="346" t="s">
        <v>1423</v>
      </c>
      <c r="F20" s="366">
        <f>'数据-取费表'!B37</f>
        <v>0.02</v>
      </c>
      <c r="G20" s="1850"/>
      <c r="H20" s="1197" t="s">
        <v>1389</v>
      </c>
      <c r="I20" s="163" t="s">
        <v>1442</v>
      </c>
      <c r="J20" s="24">
        <f ca="1">ROUND(M20*M21/10000,2)</f>
        <v>0.09</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628.92999999999995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34.200000000000003</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90</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-49</v>
      </c>
      <c r="K25" s="1341" t="s">
        <v>1465</v>
      </c>
      <c r="L25" s="1342"/>
      <c r="M25" s="1343"/>
    </row>
    <row r="26" spans="1:37">
      <c r="A26" s="1197" t="s">
        <v>1034</v>
      </c>
      <c r="B26" s="346" t="s">
        <v>1466</v>
      </c>
      <c r="C26" s="23">
        <f ca="1">ROUND((C19+C20)*F26,0)</f>
        <v>248</v>
      </c>
      <c r="D26" s="368" t="s">
        <v>1467</v>
      </c>
      <c r="E26" s="357" t="s">
        <v>1468</v>
      </c>
      <c r="F26" s="356">
        <f ca="1">INDIRECT("'数据-取费表'!q"&amp;$G$1)</f>
        <v>0.2</v>
      </c>
      <c r="G26" s="1847"/>
      <c r="H26" s="343" t="s">
        <v>1032</v>
      </c>
      <c r="I26" s="344" t="s">
        <v>1469</v>
      </c>
      <c r="J26" s="345">
        <f ca="1">IF(J5&lt;&gt;0,ROUND(J25*(1-((1+M28)/(1+M26))^M27)/(M26-M28),0),0)</f>
        <v>0</v>
      </c>
      <c r="K26" s="369" t="s">
        <v>1470</v>
      </c>
      <c r="L26" s="346" t="s">
        <v>1471</v>
      </c>
      <c r="M26" s="356">
        <f ca="1">INDIRECT("'数据-取费表'!I"&amp;$G$1)</f>
        <v>6.5000000000000002E-2</v>
      </c>
    </row>
    <row r="27" spans="1:37" ht="18" customHeight="1">
      <c r="A27" s="1197" t="s">
        <v>1036</v>
      </c>
      <c r="B27" s="346" t="s">
        <v>1472</v>
      </c>
      <c r="C27" s="23">
        <f ca="1">ROUND(F21*F26,4)</f>
        <v>4.0000000000000001E-3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1711</v>
      </c>
      <c r="D29" s="1338"/>
      <c r="E29" s="1336"/>
      <c r="F29" s="1339"/>
      <c r="G29" s="1850"/>
      <c r="H29" s="379" t="s">
        <v>1033</v>
      </c>
      <c r="I29" s="380" t="s">
        <v>1480</v>
      </c>
      <c r="J29" s="381">
        <f ca="1">ROUND(J26/(1+F40)^F41,0)</f>
        <v>0</v>
      </c>
      <c r="K29" s="382" t="s">
        <v>1481</v>
      </c>
      <c r="L29" s="383"/>
      <c r="M29" s="384">
        <f ca="1">INDIRECT("'数据-取费表'!k"&amp;$G$1)</f>
        <v>3150.28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78</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33.5</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19.010000000000002</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14.37</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0.09</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628.92999999999995</v>
      </c>
      <c r="G35" s="1847"/>
      <c r="H35" s="744"/>
      <c r="I35" s="1856"/>
      <c r="J35" s="1857"/>
      <c r="K35" s="1858"/>
      <c r="L35" s="1855"/>
      <c r="M35" s="1855"/>
    </row>
    <row r="36" spans="1:18" ht="18" customHeight="1">
      <c r="A36" s="1348" t="s">
        <v>1039</v>
      </c>
      <c r="B36" s="346" t="s">
        <v>1450</v>
      </c>
      <c r="C36" s="23">
        <f ca="1">ROUND(C29*F36,1)</f>
        <v>34.200000000000003</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3.4</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7.3</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285</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5713</v>
      </c>
      <c r="D40" s="369" t="s">
        <v>1470</v>
      </c>
      <c r="E40" s="346" t="s">
        <v>1471</v>
      </c>
      <c r="F40" s="356">
        <f ca="1">INDIRECT("'数据-取费表'!I"&amp;$G$1)</f>
        <v>6.5000000000000002E-2</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36.19</v>
      </c>
      <c r="G41" s="1847"/>
      <c r="H41" s="731"/>
      <c r="I41" s="1856"/>
      <c r="J41" s="1857"/>
      <c r="K41" s="750"/>
      <c r="L41" s="731"/>
      <c r="M41" s="731"/>
    </row>
    <row r="42" spans="1:18" ht="18" customHeight="1">
      <c r="A42" s="352"/>
      <c r="B42" s="353"/>
      <c r="C42" s="354"/>
      <c r="D42" s="372"/>
      <c r="E42" s="346" t="s">
        <v>1478</v>
      </c>
      <c r="F42" s="356">
        <f ca="1">INDIRECT("'数据-取费表'!v"&amp;$G$1)</f>
        <v>0.03</v>
      </c>
      <c r="G42" s="1847"/>
      <c r="H42" s="731"/>
      <c r="I42" s="1856"/>
      <c r="J42" s="1857"/>
      <c r="K42" s="750"/>
      <c r="L42" s="731"/>
      <c r="M42" s="731"/>
    </row>
    <row r="43" spans="1:18" ht="18" customHeight="1" thickBot="1">
      <c r="A43" s="379" t="s">
        <v>1033</v>
      </c>
      <c r="B43" s="380" t="s">
        <v>1488</v>
      </c>
      <c r="C43" s="381">
        <f ca="1">ROUND(C40*10000/F43,0)</f>
        <v>18135</v>
      </c>
      <c r="D43" s="382" t="s">
        <v>1489</v>
      </c>
      <c r="E43" s="383" t="s">
        <v>1490</v>
      </c>
      <c r="F43" s="384">
        <f ca="1">INDIRECT("'数据-取费表'!k"&amp;$G$1)</f>
        <v>3150.28</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-6431</v>
      </c>
      <c r="D46" s="1868" t="str">
        <f>C2</f>
        <v>万元</v>
      </c>
      <c r="E46" s="1862"/>
      <c r="F46" s="1862"/>
      <c r="I46" s="1869" t="s">
        <v>1522</v>
      </c>
      <c r="J46" s="1870"/>
      <c r="K46" s="1871"/>
      <c r="L46" s="1872">
        <f ca="1">IF(M47="住宅",0,IF(L48&gt;J51,L60,J60))</f>
        <v>36</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40</v>
      </c>
      <c r="M47" s="1834" t="str">
        <f>IF(ISNUMBER(FIND("住宅",C1)),"住宅","非住宅")</f>
        <v>非住宅</v>
      </c>
      <c r="O47" s="1880" t="s">
        <v>1040</v>
      </c>
      <c r="P47" s="1881" t="s">
        <v>1529</v>
      </c>
      <c r="Q47" s="1882">
        <f ca="1">C40+J29</f>
        <v>5713</v>
      </c>
      <c r="R47" s="1882" t="s">
        <v>1530</v>
      </c>
    </row>
    <row r="48" spans="1:18" s="1838" customFormat="1" ht="28.5" thickBot="1">
      <c r="A48" s="1356" t="s">
        <v>1135</v>
      </c>
      <c r="B48" s="344" t="s">
        <v>1401</v>
      </c>
      <c r="C48" s="2984">
        <f ca="1">C49+C53+C55</f>
        <v>0</v>
      </c>
      <c r="D48" s="1358"/>
      <c r="E48" s="1359"/>
      <c r="F48" s="1177"/>
      <c r="G48" s="791"/>
      <c r="H48" s="792"/>
      <c r="I48" s="1883" t="s">
        <v>1531</v>
      </c>
      <c r="J48" s="1884" t="s">
        <v>3570</v>
      </c>
      <c r="K48" s="1885" t="s">
        <v>1532</v>
      </c>
      <c r="L48" s="1886">
        <f ca="1">INDIRECT("'数据-取费表'!f"&amp;$G$1)</f>
        <v>36.19</v>
      </c>
      <c r="O48" s="1880" t="s">
        <v>1041</v>
      </c>
      <c r="P48" s="1881" t="s">
        <v>1533</v>
      </c>
      <c r="Q48" s="1882">
        <f ca="1">J60</f>
        <v>36</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2018</v>
      </c>
      <c r="K49" s="1885" t="s">
        <v>1536</v>
      </c>
      <c r="L49" s="1889"/>
      <c r="O49" s="1890" t="s">
        <v>1042</v>
      </c>
      <c r="P49" s="1881" t="s">
        <v>1537</v>
      </c>
      <c r="Q49" s="1882">
        <f ca="1">C29</f>
        <v>1711</v>
      </c>
      <c r="R49" s="1882" t="s">
        <v>1530</v>
      </c>
    </row>
    <row r="50" spans="1:18" s="1838" customFormat="1" ht="13.5" thickBot="1">
      <c r="A50" s="1191"/>
      <c r="B50" s="1194"/>
      <c r="C50" s="1364"/>
      <c r="D50" s="1168"/>
      <c r="E50" s="1273" t="s">
        <v>1406</v>
      </c>
      <c r="F50" s="1274">
        <f ca="1">F7</f>
        <v>3150.28</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2086</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36.19</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36.19</v>
      </c>
      <c r="K53" s="3227" t="s">
        <v>1549</v>
      </c>
      <c r="L53" s="3228"/>
      <c r="O53" s="1880" t="s">
        <v>1046</v>
      </c>
      <c r="P53" s="1881" t="s">
        <v>1550</v>
      </c>
      <c r="Q53" s="1882">
        <f ca="1">Q47+Q48</f>
        <v>5749</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0.39700000000000002</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1677</v>
      </c>
      <c r="D56" s="1910"/>
      <c r="E56" s="1911"/>
      <c r="F56" s="1903"/>
      <c r="I56" s="1912" t="s">
        <v>1554</v>
      </c>
      <c r="J56" s="1913" t="s">
        <v>3571</v>
      </c>
      <c r="K56" s="1883" t="s">
        <v>1555</v>
      </c>
      <c r="L56" s="1886" t="str">
        <f ca="1">IF(L48&lt;J51,"——",L48-J53)</f>
        <v>——</v>
      </c>
      <c r="O56" s="1880" t="s">
        <v>1040</v>
      </c>
      <c r="P56" s="1881" t="s">
        <v>1529</v>
      </c>
      <c r="Q56" s="1882">
        <f ca="1">C40+J29</f>
        <v>5713</v>
      </c>
      <c r="R56" s="1882" t="s">
        <v>1530</v>
      </c>
    </row>
    <row r="57" spans="1:18" s="1838" customFormat="1" ht="24.75" thickBot="1">
      <c r="A57" s="1914"/>
      <c r="B57" s="1165" t="s">
        <v>1479</v>
      </c>
      <c r="C57" s="281">
        <f ca="1">C29</f>
        <v>1711</v>
      </c>
      <c r="D57" s="1915"/>
      <c r="E57" s="1916"/>
      <c r="F57" s="1917"/>
      <c r="I57" s="1918" t="s">
        <v>1556</v>
      </c>
      <c r="J57" s="1919">
        <f ca="1">IF(OR(M47="住宅",J51&lt;L48,J56="是"),"——",J51-L48)</f>
        <v>23.810000000000002</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52</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14.5</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684</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36</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14.37</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0.09</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5713</v>
      </c>
      <c r="R62" s="1882" t="s">
        <v>1047</v>
      </c>
    </row>
    <row r="63" spans="1:18" s="1838" customFormat="1" ht="13.5" thickBot="1">
      <c r="A63" s="371"/>
      <c r="B63" s="1171"/>
      <c r="C63" s="28"/>
      <c r="D63" s="1181"/>
      <c r="E63" s="1165" t="s">
        <v>1448</v>
      </c>
      <c r="F63" s="347">
        <f t="shared" ca="1" si="0"/>
        <v>628.92999999999995</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34.200000000000003</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3.4</v>
      </c>
      <c r="D65" s="1179" t="s">
        <v>1455</v>
      </c>
      <c r="E65" s="1165" t="s">
        <v>1423</v>
      </c>
      <c r="F65" s="375">
        <f t="shared" ca="1" si="0"/>
        <v>2E-3</v>
      </c>
      <c r="I65" s="1925" t="s">
        <v>1579</v>
      </c>
      <c r="J65" s="1926">
        <v>40</v>
      </c>
      <c r="K65" s="1926">
        <v>30</v>
      </c>
      <c r="L65" s="1926">
        <v>50</v>
      </c>
      <c r="M65" s="1928">
        <v>0.02</v>
      </c>
      <c r="O65" s="1880" t="s">
        <v>1040</v>
      </c>
      <c r="P65" s="1881" t="s">
        <v>1529</v>
      </c>
      <c r="Q65" s="1882">
        <f ca="1">C40+J29</f>
        <v>5713</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-52</v>
      </c>
      <c r="D67" s="1178" t="s">
        <v>1465</v>
      </c>
      <c r="E67" s="1183"/>
      <c r="F67" s="1184"/>
      <c r="O67" s="1890" t="s">
        <v>1042</v>
      </c>
      <c r="P67" s="1881" t="s">
        <v>1562</v>
      </c>
      <c r="Q67" s="1929">
        <f ca="1">L51</f>
        <v>2086</v>
      </c>
      <c r="R67" s="1882" t="s">
        <v>1582</v>
      </c>
    </row>
    <row r="68" spans="1:18" s="1838" customFormat="1" ht="16.5" thickBot="1">
      <c r="A68" s="1162" t="s">
        <v>1032</v>
      </c>
      <c r="B68" s="1163" t="s">
        <v>1486</v>
      </c>
      <c r="C68" s="345">
        <f ca="1">ROUND(C67*(1-((1+F70)/(1+F68))^F69)/(F68-F70),0)</f>
        <v>-718</v>
      </c>
      <c r="D68" s="1180" t="s">
        <v>1470</v>
      </c>
      <c r="E68" s="1165" t="s">
        <v>1471</v>
      </c>
      <c r="F68" s="356">
        <f ca="1">F40</f>
        <v>6.5000000000000002E-2</v>
      </c>
      <c r="O68" s="1890" t="s">
        <v>1043</v>
      </c>
      <c r="P68" s="1930" t="s">
        <v>1583</v>
      </c>
      <c r="Q68" s="1882">
        <f ca="1">ROUND(Q69-Q70*Q71,0)</f>
        <v>142</v>
      </c>
      <c r="R68" s="1882" t="s">
        <v>1051</v>
      </c>
    </row>
    <row r="69" spans="1:18" s="1838" customFormat="1" ht="13.5" thickBot="1">
      <c r="A69" s="1166"/>
      <c r="B69" s="1167"/>
      <c r="C69" s="350"/>
      <c r="D69" s="1185" t="s">
        <v>1474</v>
      </c>
      <c r="E69" s="1165" t="s">
        <v>1475</v>
      </c>
      <c r="F69" s="378">
        <f ca="1">F41</f>
        <v>36.19</v>
      </c>
      <c r="O69" s="1890" t="s">
        <v>1048</v>
      </c>
      <c r="P69" s="1930" t="s">
        <v>1584</v>
      </c>
      <c r="Q69" s="1882">
        <f ca="1">C39</f>
        <v>285</v>
      </c>
      <c r="R69" s="1882" t="s">
        <v>1530</v>
      </c>
    </row>
    <row r="70" spans="1:18" s="1838" customFormat="1" ht="13.5" thickBot="1">
      <c r="A70" s="1169"/>
      <c r="B70" s="1170"/>
      <c r="C70" s="354"/>
      <c r="D70" s="1181"/>
      <c r="E70" s="1165" t="s">
        <v>1478</v>
      </c>
      <c r="F70" s="1271"/>
      <c r="O70" s="1890" t="s">
        <v>1049</v>
      </c>
      <c r="P70" s="1930" t="s">
        <v>1585</v>
      </c>
      <c r="Q70" s="1882">
        <f ca="1">C13</f>
        <v>1677</v>
      </c>
      <c r="R70" s="1882" t="s">
        <v>1530</v>
      </c>
    </row>
    <row r="71" spans="1:18" s="1838" customFormat="1" ht="13.5" thickBot="1">
      <c r="A71" s="1186" t="s">
        <v>1033</v>
      </c>
      <c r="B71" s="1187" t="s">
        <v>1488</v>
      </c>
      <c r="C71" s="381">
        <f ca="1">ROUND(C68*10000/F71,0)</f>
        <v>-2279</v>
      </c>
      <c r="D71" s="1188" t="s">
        <v>1489</v>
      </c>
      <c r="E71" s="1189" t="s">
        <v>1490</v>
      </c>
      <c r="F71" s="384">
        <f ca="1">F43</f>
        <v>3150.28</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143</v>
      </c>
      <c r="D75" s="1838"/>
      <c r="E75" s="1838"/>
      <c r="F75" s="1838"/>
      <c r="K75" s="1864"/>
      <c r="L75" s="1838"/>
      <c r="O75" s="1880" t="s">
        <v>1046</v>
      </c>
      <c r="P75" s="1881" t="s">
        <v>1550</v>
      </c>
      <c r="Q75" s="1882">
        <f ca="1">Q65+Q66</f>
        <v>5713</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0.498</v>
      </c>
    </row>
    <row r="80" spans="1:18">
      <c r="B80" s="385" t="s">
        <v>1512</v>
      </c>
      <c r="C80" s="317">
        <f ca="1">ROUND(C75/C39,3)</f>
        <v>0.502</v>
      </c>
    </row>
    <row r="81" spans="2:3">
      <c r="B81" s="313" t="s">
        <v>1513</v>
      </c>
      <c r="C81" s="281"/>
    </row>
    <row r="82" spans="2:3">
      <c r="B82" s="316" t="s">
        <v>1514</v>
      </c>
      <c r="C82" s="318">
        <f ca="1">1-C83</f>
        <v>0.70599999999999996</v>
      </c>
    </row>
    <row r="83" spans="2:3">
      <c r="B83" s="316" t="s">
        <v>1515</v>
      </c>
      <c r="C83" s="317">
        <f ca="1">ROUND(C13/C40,3)</f>
        <v>0.29399999999999998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2641</v>
      </c>
      <c r="C1" s="1630" t="s">
        <v>2529</v>
      </c>
      <c r="D1" s="1617"/>
      <c r="E1" s="2650"/>
      <c r="F1" s="2577"/>
      <c r="G1" s="1627" t="s">
        <v>2642</v>
      </c>
      <c r="H1" s="1626"/>
      <c r="I1" s="1626"/>
      <c r="J1" s="1626"/>
      <c r="K1" s="1628"/>
      <c r="L1" s="1629"/>
      <c r="M1" s="1630"/>
      <c r="N1" s="1630"/>
      <c r="O1" s="1630"/>
      <c r="P1" s="2651"/>
      <c r="Q1" s="2652"/>
      <c r="R1" s="2652"/>
      <c r="S1" s="2652"/>
      <c r="T1" s="2652"/>
      <c r="U1" s="2652"/>
      <c r="V1" s="2652"/>
      <c r="W1" s="2652"/>
      <c r="X1" s="2652"/>
      <c r="Y1" s="2652"/>
      <c r="Z1" s="2652"/>
      <c r="AA1" s="2652"/>
      <c r="AB1" s="2652"/>
      <c r="AC1" s="2653"/>
    </row>
    <row r="2" spans="1:29" s="397" customFormat="1" ht="28.5" customHeight="1" thickTop="1">
      <c r="A2" s="1613" t="s">
        <v>2326</v>
      </c>
      <c r="B2" s="1414" t="e">
        <f ca="1">IF(C2="——",ROUND(C49*D3/10000,0),ROUND(C49*D3/10000,0)-D2)</f>
        <v>#DIV/0!</v>
      </c>
      <c r="C2" s="2579"/>
      <c r="D2" s="1361" t="e">
        <f ca="1">SUMIF(INDIRECT("'"&amp;F2&amp;"'"&amp;"!A:A"),"承租人权益价值",INDIRECT("'"&amp;F2&amp;"'"&amp;"!c:c"))</f>
        <v>#REF!</v>
      </c>
      <c r="E2" s="2580" t="s">
        <v>2327</v>
      </c>
      <c r="F2" s="2581"/>
      <c r="G2" s="1121"/>
      <c r="H2" s="1121"/>
      <c r="I2" s="1121"/>
      <c r="J2" s="1121"/>
      <c r="K2" s="1121"/>
      <c r="L2" s="1124"/>
      <c r="M2" s="1125"/>
      <c r="N2" s="1125"/>
      <c r="O2" s="1125"/>
      <c r="P2" s="2654"/>
      <c r="Q2" s="1125"/>
      <c r="R2" s="1125"/>
      <c r="S2" s="1125"/>
      <c r="T2" s="1125"/>
      <c r="U2" s="1125"/>
      <c r="V2" s="1125"/>
      <c r="W2" s="1125"/>
      <c r="X2" s="1125"/>
      <c r="Y2" s="1125"/>
      <c r="Z2" s="1125"/>
      <c r="AA2" s="1125"/>
      <c r="AB2" s="1125"/>
      <c r="AC2" s="2655"/>
    </row>
    <row r="3" spans="1:29" s="397" customFormat="1" ht="28.5" customHeight="1" thickBot="1">
      <c r="A3" s="246" t="s">
        <v>2328</v>
      </c>
      <c r="B3" s="608" t="e">
        <f ca="1">IF(C2="——",C49,ROUND(B2*10000/D3,0))</f>
        <v>#DIV/0!</v>
      </c>
      <c r="C3" s="399" t="s">
        <v>2643</v>
      </c>
      <c r="D3" s="398">
        <f>IF(D1="",'数据-汇总表'!E3,SUMIF('数据-汇总表'!$C19:$C33,D1,'数据-汇总表'!$E19:$E33))</f>
        <v>48185.319999999992</v>
      </c>
      <c r="E3" s="2656"/>
      <c r="F3" s="1122"/>
      <c r="G3" s="1121"/>
      <c r="H3" s="1121"/>
      <c r="I3" s="1121"/>
      <c r="J3" s="1121"/>
      <c r="K3" s="1123"/>
      <c r="L3" s="1124"/>
      <c r="M3" s="1125"/>
      <c r="N3" s="1125"/>
      <c r="O3" s="1125"/>
      <c r="P3" s="2654"/>
      <c r="Q3" s="1125"/>
      <c r="R3" s="1125"/>
      <c r="S3" s="1125"/>
      <c r="T3" s="1125"/>
      <c r="U3" s="1125"/>
      <c r="V3" s="1125"/>
      <c r="W3" s="1125"/>
      <c r="X3" s="1125"/>
      <c r="Y3" s="1125"/>
      <c r="Z3" s="1125"/>
      <c r="AA3" s="1125"/>
      <c r="AB3" s="1125"/>
      <c r="AC3" s="2656"/>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67" t="s">
        <v>2647</v>
      </c>
      <c r="AC4" s="3284" t="s">
        <v>2648</v>
      </c>
    </row>
    <row r="5" spans="1:29" ht="15">
      <c r="A5" s="403"/>
      <c r="B5" s="404"/>
      <c r="C5" s="3243" t="s">
        <v>2541</v>
      </c>
      <c r="D5" s="3244"/>
      <c r="E5" s="3287" t="s">
        <v>2542</v>
      </c>
      <c r="F5" s="3242"/>
      <c r="G5" s="3243" t="s">
        <v>2543</v>
      </c>
      <c r="H5" s="3244"/>
      <c r="I5" s="3243" t="s">
        <v>2544</v>
      </c>
      <c r="J5" s="3244"/>
      <c r="K5" s="609"/>
      <c r="L5" s="1126"/>
      <c r="M5" s="1127"/>
      <c r="N5" s="1127"/>
      <c r="O5" s="1127"/>
      <c r="P5" s="3290"/>
      <c r="Q5" s="3261"/>
      <c r="R5" s="3239"/>
      <c r="S5" s="3240"/>
      <c r="T5" s="3239"/>
      <c r="U5" s="3240"/>
      <c r="V5" s="3267"/>
      <c r="W5" s="3267"/>
      <c r="X5" s="1809"/>
      <c r="Y5" s="3239"/>
      <c r="Z5" s="3240"/>
      <c r="AA5" s="3233"/>
      <c r="AB5" s="3267"/>
      <c r="AC5" s="3233"/>
    </row>
    <row r="6" spans="1:29" ht="15.75" thickBot="1">
      <c r="A6" s="405"/>
      <c r="B6" s="406"/>
      <c r="C6" s="3245" t="s">
        <v>2545</v>
      </c>
      <c r="D6" s="3246"/>
      <c r="E6" s="3248" t="s">
        <v>2545</v>
      </c>
      <c r="F6" s="3249"/>
      <c r="G6" s="3245" t="s">
        <v>2545</v>
      </c>
      <c r="H6" s="3246"/>
      <c r="I6" s="3245" t="s">
        <v>2545</v>
      </c>
      <c r="J6" s="3246"/>
      <c r="K6" s="609" t="s">
        <v>2546</v>
      </c>
      <c r="L6" s="1126"/>
      <c r="M6" s="1127"/>
      <c r="N6" s="1127"/>
      <c r="O6" s="1127"/>
      <c r="P6" s="3291"/>
      <c r="Q6" s="3263"/>
      <c r="R6" s="3239"/>
      <c r="S6" s="3240"/>
      <c r="T6" s="3264"/>
      <c r="U6" s="3265"/>
      <c r="V6" s="3267"/>
      <c r="W6" s="3267"/>
      <c r="X6" s="1809"/>
      <c r="Y6" s="3264"/>
      <c r="Z6" s="3265"/>
      <c r="AA6" s="3234"/>
      <c r="AB6" s="3267"/>
      <c r="AC6" s="3234"/>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35" t="s">
        <v>2548</v>
      </c>
      <c r="Q7" s="3269"/>
      <c r="R7" s="769" t="s">
        <v>17</v>
      </c>
      <c r="S7" s="770">
        <f t="shared" ref="S7:S15" si="0">F7</f>
        <v>0</v>
      </c>
      <c r="T7" s="769" t="s">
        <v>17</v>
      </c>
      <c r="U7" s="770">
        <f t="shared" ref="U7:U15" si="1">H7</f>
        <v>0</v>
      </c>
      <c r="V7" s="769" t="s">
        <v>17</v>
      </c>
      <c r="W7" s="770">
        <f t="shared" ref="W7:W15" si="2">J7</f>
        <v>0</v>
      </c>
      <c r="X7" s="771"/>
      <c r="Y7" s="3235" t="s">
        <v>2548</v>
      </c>
      <c r="Z7" s="3236"/>
      <c r="AA7" s="772" t="e">
        <f>D7/F7</f>
        <v>#DIV/0!</v>
      </c>
      <c r="AB7" s="772" t="e">
        <f>D7/H7</f>
        <v>#DIV/0!</v>
      </c>
      <c r="AC7" s="772" t="e">
        <f>D7/J7</f>
        <v>#DIV/0!</v>
      </c>
    </row>
    <row r="8" spans="1:29" s="116"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35" t="s">
        <v>2551</v>
      </c>
      <c r="Q8" s="3236"/>
      <c r="R8" s="769" t="s">
        <v>17</v>
      </c>
      <c r="S8" s="770">
        <f t="shared" si="0"/>
        <v>0</v>
      </c>
      <c r="T8" s="769" t="s">
        <v>17</v>
      </c>
      <c r="U8" s="770">
        <f t="shared" si="1"/>
        <v>0</v>
      </c>
      <c r="V8" s="769" t="s">
        <v>17</v>
      </c>
      <c r="W8" s="770">
        <f t="shared" si="2"/>
        <v>0</v>
      </c>
      <c r="X8" s="771"/>
      <c r="Y8" s="3235" t="s">
        <v>2551</v>
      </c>
      <c r="Z8" s="3236"/>
      <c r="AA8" s="772" t="e">
        <f t="shared" ref="AA8:AA46" si="3">D8/F8</f>
        <v>#DIV/0!</v>
      </c>
      <c r="AB8" s="772" t="e">
        <f t="shared" ref="AB8:AB46" si="4">D8/H8</f>
        <v>#DIV/0!</v>
      </c>
      <c r="AC8" s="772" t="e">
        <f t="shared" ref="AC8:AC46" si="5">D8/J8</f>
        <v>#DIV/0!</v>
      </c>
    </row>
    <row r="9" spans="1:29" s="116" customFormat="1">
      <c r="A9" s="414" t="s">
        <v>2552</v>
      </c>
      <c r="B9" s="70" t="s">
        <v>2553</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50"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50"/>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50"/>
      <c r="Q11" s="1791" t="str">
        <f t="shared" si="6"/>
        <v>容积率</v>
      </c>
      <c r="R11" s="769" t="s">
        <v>17</v>
      </c>
      <c r="S11" s="770" t="e">
        <f t="shared" si="0"/>
        <v>#N/A</v>
      </c>
      <c r="T11" s="769" t="s">
        <v>17</v>
      </c>
      <c r="U11" s="770" t="e">
        <f t="shared" si="1"/>
        <v>#N/A</v>
      </c>
      <c r="V11" s="769" t="s">
        <v>17</v>
      </c>
      <c r="W11" s="770" t="e">
        <f t="shared" si="2"/>
        <v>#N/A</v>
      </c>
      <c r="X11" s="771"/>
      <c r="Y11" s="3104"/>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50"/>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50"/>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772">
        <f t="shared" si="5"/>
        <v>1</v>
      </c>
    </row>
    <row r="14" spans="1:29" ht="15.75"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50"/>
      <c r="Q14" s="1791">
        <f t="shared" si="6"/>
        <v>111</v>
      </c>
      <c r="R14" s="769" t="s">
        <v>17</v>
      </c>
      <c r="S14" s="770">
        <f t="shared" si="0"/>
        <v>100</v>
      </c>
      <c r="T14" s="769" t="s">
        <v>17</v>
      </c>
      <c r="U14" s="770">
        <f t="shared" si="1"/>
        <v>100</v>
      </c>
      <c r="V14" s="769" t="s">
        <v>17</v>
      </c>
      <c r="W14" s="770">
        <f t="shared" si="2"/>
        <v>100</v>
      </c>
      <c r="X14" s="771"/>
      <c r="Y14" s="3104"/>
      <c r="Z14" s="54">
        <f t="shared" si="7"/>
        <v>111</v>
      </c>
      <c r="AA14" s="772">
        <f t="shared" si="3"/>
        <v>1</v>
      </c>
      <c r="AB14" s="772">
        <f t="shared" si="4"/>
        <v>1</v>
      </c>
      <c r="AC14" s="772">
        <f t="shared" si="5"/>
        <v>1</v>
      </c>
    </row>
    <row r="15" spans="1:29" ht="99.75">
      <c r="A15" s="439" t="s">
        <v>2558</v>
      </c>
      <c r="B15" s="68" t="s">
        <v>2652</v>
      </c>
      <c r="C15" s="2596" t="str">
        <f>估价对象房地状况!C4</f>
        <v>区域内分布多为社区配套商业，商业规模较小，与商业中心距离较远，人流量一般，综合考虑商业繁华度一般。</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70" t="s">
        <v>2559</v>
      </c>
      <c r="Q15" s="1806" t="str">
        <f t="shared" si="6"/>
        <v>商业繁华度</v>
      </c>
      <c r="R15" s="773" t="s">
        <v>17</v>
      </c>
      <c r="S15" s="774">
        <f t="shared" si="0"/>
        <v>100</v>
      </c>
      <c r="T15" s="773" t="s">
        <v>17</v>
      </c>
      <c r="U15" s="774">
        <f t="shared" si="1"/>
        <v>100</v>
      </c>
      <c r="V15" s="773" t="s">
        <v>17</v>
      </c>
      <c r="W15" s="774">
        <f t="shared" si="2"/>
        <v>100</v>
      </c>
      <c r="X15" s="1809"/>
      <c r="Y15" s="3272" t="s">
        <v>2559</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27"/>
      <c r="P16" s="3271"/>
      <c r="Q16" s="1806"/>
      <c r="R16" s="773"/>
      <c r="S16" s="774"/>
      <c r="T16" s="773"/>
      <c r="U16" s="774"/>
      <c r="V16" s="773"/>
      <c r="W16" s="774"/>
      <c r="X16" s="1809"/>
      <c r="Y16" s="3273"/>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71"/>
      <c r="Q17" s="1806" t="str">
        <f>B17</f>
        <v>交通便捷度</v>
      </c>
      <c r="R17" s="773" t="s">
        <v>17</v>
      </c>
      <c r="S17" s="774">
        <f>F17</f>
        <v>100</v>
      </c>
      <c r="T17" s="773" t="s">
        <v>17</v>
      </c>
      <c r="U17" s="774">
        <f>H17</f>
        <v>100</v>
      </c>
      <c r="V17" s="773" t="s">
        <v>17</v>
      </c>
      <c r="W17" s="774">
        <f>J17</f>
        <v>100</v>
      </c>
      <c r="X17" s="1809"/>
      <c r="Y17" s="3273"/>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27"/>
      <c r="P18" s="3271"/>
      <c r="Q18" s="1806"/>
      <c r="R18" s="773"/>
      <c r="S18" s="774"/>
      <c r="T18" s="773"/>
      <c r="U18" s="774"/>
      <c r="V18" s="773"/>
      <c r="W18" s="774"/>
      <c r="X18" s="1809"/>
      <c r="Y18" s="3273"/>
      <c r="Z18" s="1810"/>
      <c r="AA18" s="1807">
        <v>1</v>
      </c>
      <c r="AB18" s="1807">
        <v>1</v>
      </c>
      <c r="AC18" s="1807">
        <v>1</v>
      </c>
    </row>
    <row r="19" spans="1:29" ht="42.75">
      <c r="A19" s="427"/>
      <c r="B19" s="450" t="s">
        <v>2653</v>
      </c>
      <c r="C19" s="2600" t="str">
        <f>估价对象房地状况!C7</f>
        <v>估价对象所在区域公共配套设施齐备度一般</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71"/>
      <c r="Q19" s="1806" t="str">
        <f>B19</f>
        <v>公共配套设施</v>
      </c>
      <c r="R19" s="773" t="s">
        <v>17</v>
      </c>
      <c r="S19" s="774">
        <f>F19</f>
        <v>100</v>
      </c>
      <c r="T19" s="773" t="s">
        <v>17</v>
      </c>
      <c r="U19" s="774">
        <f>H19</f>
        <v>100</v>
      </c>
      <c r="V19" s="773" t="s">
        <v>17</v>
      </c>
      <c r="W19" s="774">
        <f>J19</f>
        <v>100</v>
      </c>
      <c r="X19" s="1809"/>
      <c r="Y19" s="3273"/>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27"/>
      <c r="P20" s="3271"/>
      <c r="Q20" s="1806"/>
      <c r="R20" s="773"/>
      <c r="S20" s="774"/>
      <c r="T20" s="773"/>
      <c r="U20" s="774"/>
      <c r="V20" s="773"/>
      <c r="W20" s="774"/>
      <c r="X20" s="1809"/>
      <c r="Y20" s="3273"/>
      <c r="Z20" s="1810"/>
      <c r="AA20" s="1807">
        <v>1</v>
      </c>
      <c r="AB20" s="1807">
        <v>1</v>
      </c>
      <c r="AC20" s="1807">
        <v>1</v>
      </c>
    </row>
    <row r="21" spans="1:29" ht="42.75">
      <c r="A21" s="427"/>
      <c r="B21" s="1380" t="s">
        <v>2654</v>
      </c>
      <c r="C21" s="2600" t="str">
        <f>估价对象房地状况!C8</f>
        <v>估价对象所在区域基础设施水平七通</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71"/>
      <c r="Q21" s="1806" t="str">
        <f>B21</f>
        <v>基础设施水平</v>
      </c>
      <c r="R21" s="773" t="s">
        <v>17</v>
      </c>
      <c r="S21" s="774">
        <f>F21</f>
        <v>100</v>
      </c>
      <c r="T21" s="773" t="s">
        <v>17</v>
      </c>
      <c r="U21" s="774">
        <f>H21</f>
        <v>100</v>
      </c>
      <c r="V21" s="773" t="s">
        <v>17</v>
      </c>
      <c r="W21" s="774">
        <f>J21</f>
        <v>100</v>
      </c>
      <c r="X21" s="1809"/>
      <c r="Y21" s="3273"/>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27"/>
      <c r="P22" s="3271"/>
      <c r="Q22" s="1806"/>
      <c r="R22" s="773"/>
      <c r="S22" s="774"/>
      <c r="T22" s="773"/>
      <c r="U22" s="774"/>
      <c r="V22" s="773"/>
      <c r="W22" s="774"/>
      <c r="X22" s="1809"/>
      <c r="Y22" s="3273"/>
      <c r="Z22" s="1810"/>
      <c r="AA22" s="1807">
        <v>1</v>
      </c>
      <c r="AB22" s="1807">
        <v>1</v>
      </c>
      <c r="AC22" s="1807">
        <v>1</v>
      </c>
    </row>
    <row r="23" spans="1:29" ht="142.5">
      <c r="A23" s="427"/>
      <c r="B23" s="450" t="s">
        <v>2101</v>
      </c>
      <c r="C23" s="2657" t="str">
        <f>估价对象房地状况!C9</f>
        <v>估价对象所处区域土地利用类型多为居住用地；估价对象周边有念坛公园，绿化率较好，周边无高等教育学校，无大型污染源，综合考虑自然及人文环境一般。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71"/>
      <c r="Q23" s="1806" t="str">
        <f>B23</f>
        <v>自然及人文环境</v>
      </c>
      <c r="R23" s="773" t="s">
        <v>17</v>
      </c>
      <c r="S23" s="774">
        <f>F23</f>
        <v>100</v>
      </c>
      <c r="T23" s="773" t="s">
        <v>17</v>
      </c>
      <c r="U23" s="774">
        <f>H23</f>
        <v>100</v>
      </c>
      <c r="V23" s="773" t="s">
        <v>17</v>
      </c>
      <c r="W23" s="774">
        <f>J23</f>
        <v>100</v>
      </c>
      <c r="X23" s="1809"/>
      <c r="Y23" s="3273"/>
      <c r="Z23" s="1810" t="str">
        <f>Q23</f>
        <v>自然及人文环境</v>
      </c>
      <c r="AA23" s="1807">
        <f t="shared" si="3"/>
        <v>1</v>
      </c>
      <c r="AB23" s="1807">
        <f t="shared" si="4"/>
        <v>1</v>
      </c>
      <c r="AC23" s="1807">
        <f t="shared" si="5"/>
        <v>1</v>
      </c>
    </row>
    <row r="24" spans="1:29" ht="15">
      <c r="A24" s="427"/>
      <c r="B24" s="455"/>
      <c r="C24" s="446"/>
      <c r="D24" s="447"/>
      <c r="E24" s="2598"/>
      <c r="F24" s="448"/>
      <c r="G24" s="2597"/>
      <c r="H24" s="447"/>
      <c r="I24" s="2598"/>
      <c r="J24" s="447"/>
      <c r="K24" s="614"/>
      <c r="L24" s="1136"/>
      <c r="M24" s="1127"/>
      <c r="N24" s="1127"/>
      <c r="O24" s="1127"/>
      <c r="P24" s="3271"/>
      <c r="Q24" s="1806"/>
      <c r="R24" s="773"/>
      <c r="S24" s="774"/>
      <c r="T24" s="773"/>
      <c r="U24" s="774"/>
      <c r="V24" s="773"/>
      <c r="W24" s="774"/>
      <c r="X24" s="1809"/>
      <c r="Y24" s="3273"/>
      <c r="Z24" s="1810"/>
      <c r="AA24" s="1807">
        <v>1</v>
      </c>
      <c r="AB24" s="1807">
        <v>1</v>
      </c>
      <c r="AC24" s="1807">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71"/>
      <c r="Q25" s="1806" t="str">
        <f t="shared" ref="Q25:Q46" si="11">B25</f>
        <v>临街状况</v>
      </c>
      <c r="R25" s="773" t="s">
        <v>17</v>
      </c>
      <c r="S25" s="774">
        <f>F25</f>
        <v>100</v>
      </c>
      <c r="T25" s="773" t="s">
        <v>17</v>
      </c>
      <c r="U25" s="774">
        <f>H25</f>
        <v>100</v>
      </c>
      <c r="V25" s="773" t="s">
        <v>17</v>
      </c>
      <c r="W25" s="774">
        <f>J25</f>
        <v>100</v>
      </c>
      <c r="X25" s="1809"/>
      <c r="Y25" s="3273"/>
      <c r="Z25" s="1810" t="str">
        <f>Q25</f>
        <v>临街状况</v>
      </c>
      <c r="AA25" s="1807">
        <f t="shared" si="3"/>
        <v>1</v>
      </c>
      <c r="AB25" s="1807">
        <f t="shared" si="4"/>
        <v>1</v>
      </c>
      <c r="AC25" s="1807">
        <f t="shared" si="5"/>
        <v>1</v>
      </c>
    </row>
    <row r="26" spans="1:29" ht="15">
      <c r="A26" s="427"/>
      <c r="B26" s="1382" t="s">
        <v>2656</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71"/>
      <c r="Q26" s="1806" t="str">
        <f t="shared" si="11"/>
        <v>平面位置/可视性</v>
      </c>
      <c r="R26" s="773" t="s">
        <v>17</v>
      </c>
      <c r="S26" s="774">
        <f>F26</f>
        <v>100</v>
      </c>
      <c r="T26" s="773" t="s">
        <v>17</v>
      </c>
      <c r="U26" s="774">
        <f>H26</f>
        <v>100</v>
      </c>
      <c r="V26" s="773" t="s">
        <v>17</v>
      </c>
      <c r="W26" s="774">
        <f>J26</f>
        <v>100</v>
      </c>
      <c r="X26" s="1809"/>
      <c r="Y26" s="3273"/>
      <c r="Z26" s="1810" t="str">
        <f>Q26</f>
        <v>平面位置/可视性</v>
      </c>
      <c r="AA26" s="1807">
        <f t="shared" si="3"/>
        <v>1</v>
      </c>
      <c r="AB26" s="1807">
        <f t="shared" si="4"/>
        <v>1</v>
      </c>
      <c r="AC26" s="1807">
        <f t="shared" si="5"/>
        <v>1</v>
      </c>
    </row>
    <row r="27" spans="1:29" s="116" customFormat="1" ht="15">
      <c r="A27" s="430"/>
      <c r="B27" s="450" t="s">
        <v>2657</v>
      </c>
      <c r="C27" s="2658"/>
      <c r="D27" s="461">
        <v>100</v>
      </c>
      <c r="E27" s="2658"/>
      <c r="F27" s="463">
        <f>SUMIF(90:90,E27,91:91)-SUMIF(90:90,C27,91:91)+100</f>
        <v>100</v>
      </c>
      <c r="G27" s="2658"/>
      <c r="H27" s="461">
        <f>SUMIF(90:90,G27,91:91)-SUMIF(90:90,C27,91:91)+100</f>
        <v>100</v>
      </c>
      <c r="I27" s="2658"/>
      <c r="J27" s="461">
        <f>SUMIF(90:90,I27,91:91)-SUMIF(90:90,C27,91:91)+100</f>
        <v>100</v>
      </c>
      <c r="K27" s="611"/>
      <c r="L27" s="1128"/>
      <c r="M27" s="1129"/>
      <c r="N27" s="1129"/>
      <c r="O27" s="1129"/>
      <c r="P27" s="3271"/>
      <c r="Q27" s="1791" t="str">
        <f t="shared" si="11"/>
        <v>人流量</v>
      </c>
      <c r="R27" s="769" t="s">
        <v>17</v>
      </c>
      <c r="S27" s="770">
        <f>F27</f>
        <v>100</v>
      </c>
      <c r="T27" s="769" t="s">
        <v>17</v>
      </c>
      <c r="U27" s="770">
        <f>H27</f>
        <v>100</v>
      </c>
      <c r="V27" s="769" t="s">
        <v>17</v>
      </c>
      <c r="W27" s="770">
        <f>J27</f>
        <v>100</v>
      </c>
      <c r="X27" s="771"/>
      <c r="Y27" s="3273"/>
      <c r="Z27" s="54" t="str">
        <f>Q27</f>
        <v>人流量</v>
      </c>
      <c r="AA27" s="1807">
        <f>D27/F27</f>
        <v>1</v>
      </c>
      <c r="AB27" s="1807">
        <f>D27/H27</f>
        <v>1</v>
      </c>
      <c r="AC27" s="1807">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71"/>
      <c r="Q28" s="1806" t="str">
        <f t="shared" si="11"/>
        <v>楼层</v>
      </c>
      <c r="R28" s="773" t="s">
        <v>17</v>
      </c>
      <c r="S28" s="774">
        <f t="shared" ref="S28:S46" si="12">F28</f>
        <v>100</v>
      </c>
      <c r="T28" s="773" t="s">
        <v>17</v>
      </c>
      <c r="U28" s="774">
        <f t="shared" ref="U28:U46" si="13">H28</f>
        <v>100</v>
      </c>
      <c r="V28" s="773" t="s">
        <v>17</v>
      </c>
      <c r="W28" s="774">
        <f t="shared" ref="W28:W46" si="14">J28</f>
        <v>100</v>
      </c>
      <c r="X28" s="1809"/>
      <c r="Y28" s="3273"/>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71"/>
      <c r="Q29" s="1806">
        <f t="shared" si="11"/>
        <v>111</v>
      </c>
      <c r="R29" s="773" t="s">
        <v>17</v>
      </c>
      <c r="S29" s="774">
        <f t="shared" si="12"/>
        <v>100</v>
      </c>
      <c r="T29" s="773" t="s">
        <v>17</v>
      </c>
      <c r="U29" s="774">
        <f t="shared" si="13"/>
        <v>100</v>
      </c>
      <c r="V29" s="773" t="s">
        <v>17</v>
      </c>
      <c r="W29" s="774">
        <f t="shared" si="14"/>
        <v>100</v>
      </c>
      <c r="X29" s="1809"/>
      <c r="Y29" s="3273"/>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71"/>
      <c r="Q30" s="1806">
        <f t="shared" si="11"/>
        <v>111</v>
      </c>
      <c r="R30" s="773" t="s">
        <v>17</v>
      </c>
      <c r="S30" s="774">
        <f t="shared" si="12"/>
        <v>100</v>
      </c>
      <c r="T30" s="773" t="s">
        <v>17</v>
      </c>
      <c r="U30" s="774">
        <f t="shared" si="13"/>
        <v>100</v>
      </c>
      <c r="V30" s="773" t="s">
        <v>17</v>
      </c>
      <c r="W30" s="774">
        <f t="shared" si="14"/>
        <v>100</v>
      </c>
      <c r="X30" s="1809"/>
      <c r="Y30" s="3273"/>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71"/>
      <c r="Q31" s="1806">
        <f t="shared" si="11"/>
        <v>111</v>
      </c>
      <c r="R31" s="773" t="s">
        <v>17</v>
      </c>
      <c r="S31" s="774">
        <f t="shared" si="12"/>
        <v>100</v>
      </c>
      <c r="T31" s="773" t="s">
        <v>17</v>
      </c>
      <c r="U31" s="774">
        <f t="shared" si="13"/>
        <v>100</v>
      </c>
      <c r="V31" s="773" t="s">
        <v>17</v>
      </c>
      <c r="W31" s="774">
        <f t="shared" si="14"/>
        <v>100</v>
      </c>
      <c r="X31" s="1809"/>
      <c r="Y31" s="3273"/>
      <c r="Z31" s="1810">
        <f t="shared" si="15"/>
        <v>111</v>
      </c>
      <c r="AA31" s="1807">
        <f t="shared" si="3"/>
        <v>1</v>
      </c>
      <c r="AB31" s="1807">
        <f t="shared" si="4"/>
        <v>1</v>
      </c>
      <c r="AC31" s="1807">
        <f t="shared" si="5"/>
        <v>1</v>
      </c>
    </row>
    <row r="32" spans="1:29" ht="15">
      <c r="A32" s="439" t="s">
        <v>2562</v>
      </c>
      <c r="B32" s="70" t="s">
        <v>2659</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6"/>
      <c r="M32" s="1127"/>
      <c r="N32" s="1127"/>
      <c r="O32" s="1127"/>
      <c r="P32" s="3274" t="s">
        <v>2564</v>
      </c>
      <c r="Q32" s="1806" t="str">
        <f t="shared" si="11"/>
        <v>商业类型</v>
      </c>
      <c r="R32" s="773" t="s">
        <v>17</v>
      </c>
      <c r="S32" s="774">
        <f t="shared" si="12"/>
        <v>100</v>
      </c>
      <c r="T32" s="773" t="s">
        <v>17</v>
      </c>
      <c r="U32" s="774">
        <f t="shared" si="13"/>
        <v>100</v>
      </c>
      <c r="V32" s="773" t="s">
        <v>17</v>
      </c>
      <c r="W32" s="774">
        <f t="shared" si="14"/>
        <v>100</v>
      </c>
      <c r="X32" s="1809"/>
      <c r="Y32" s="3277" t="s">
        <v>2564</v>
      </c>
      <c r="Z32" s="1810" t="str">
        <f t="shared" si="15"/>
        <v>商业类型</v>
      </c>
      <c r="AA32" s="1807">
        <f t="shared" si="3"/>
        <v>1</v>
      </c>
      <c r="AB32" s="1807">
        <f t="shared" si="4"/>
        <v>1</v>
      </c>
      <c r="AC32" s="1807">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275"/>
      <c r="Q33" s="775" t="str">
        <f t="shared" si="11"/>
        <v>项目建筑规模</v>
      </c>
      <c r="R33" s="776" t="s">
        <v>17</v>
      </c>
      <c r="S33" s="777" t="e">
        <f t="shared" si="12"/>
        <v>#N/A</v>
      </c>
      <c r="T33" s="776" t="s">
        <v>17</v>
      </c>
      <c r="U33" s="777" t="e">
        <f t="shared" si="13"/>
        <v>#N/A</v>
      </c>
      <c r="V33" s="776" t="s">
        <v>17</v>
      </c>
      <c r="W33" s="777" t="e">
        <f t="shared" si="14"/>
        <v>#N/A</v>
      </c>
      <c r="X33" s="778"/>
      <c r="Y33" s="3277"/>
      <c r="Z33" s="779" t="str">
        <f t="shared" si="15"/>
        <v>项目建筑规模</v>
      </c>
      <c r="AA33" s="1807" t="e">
        <f t="shared" si="3"/>
        <v>#N/A</v>
      </c>
      <c r="AB33" s="1807" t="e">
        <f t="shared" si="4"/>
        <v>#N/A</v>
      </c>
      <c r="AC33" s="1807" t="e">
        <f t="shared" si="5"/>
        <v>#N/A</v>
      </c>
    </row>
    <row r="34" spans="1:29" ht="15">
      <c r="A34" s="471"/>
      <c r="B34" s="421" t="s">
        <v>2566</v>
      </c>
      <c r="C34" s="2612"/>
      <c r="D34" s="434">
        <v>100</v>
      </c>
      <c r="E34" s="2612"/>
      <c r="F34" s="460">
        <f>SUMIF(105:105,E34,106:106)-SUMIF(105:105,C34,106:106)+100</f>
        <v>100</v>
      </c>
      <c r="G34" s="2612"/>
      <c r="H34" s="434">
        <f>SUMIF(105:105,G34,106:106)-SUMIF(105:105,C34,106:106)+100</f>
        <v>100</v>
      </c>
      <c r="I34" s="2612"/>
      <c r="J34" s="434">
        <f>SUMIF(105:105,I34,106:106)-SUMIF(105:105,C34,106:106)+100</f>
        <v>100</v>
      </c>
      <c r="K34" s="611"/>
      <c r="L34" s="1136"/>
      <c r="M34" s="1127"/>
      <c r="N34" s="1127"/>
      <c r="O34" s="1127"/>
      <c r="P34" s="3275"/>
      <c r="Q34" s="1806" t="str">
        <f t="shared" si="11"/>
        <v>建筑结构</v>
      </c>
      <c r="R34" s="773" t="s">
        <v>17</v>
      </c>
      <c r="S34" s="774">
        <f t="shared" si="12"/>
        <v>100</v>
      </c>
      <c r="T34" s="773" t="s">
        <v>17</v>
      </c>
      <c r="U34" s="774">
        <f t="shared" si="13"/>
        <v>100</v>
      </c>
      <c r="V34" s="773" t="s">
        <v>17</v>
      </c>
      <c r="W34" s="774">
        <f t="shared" si="14"/>
        <v>100</v>
      </c>
      <c r="X34" s="1809"/>
      <c r="Y34" s="3277"/>
      <c r="Z34" s="1810" t="str">
        <f t="shared" si="15"/>
        <v>建筑结构</v>
      </c>
      <c r="AA34" s="1807">
        <f t="shared" si="3"/>
        <v>1</v>
      </c>
      <c r="AB34" s="1807">
        <f t="shared" si="4"/>
        <v>1</v>
      </c>
      <c r="AC34" s="1807">
        <f t="shared" si="5"/>
        <v>1</v>
      </c>
    </row>
    <row r="35" spans="1:29" ht="15">
      <c r="A35" s="471"/>
      <c r="B35" s="421" t="s">
        <v>2660</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6"/>
      <c r="M35" s="1127"/>
      <c r="N35" s="1127"/>
      <c r="O35" s="1127"/>
      <c r="P35" s="3275"/>
      <c r="Q35" s="1806" t="str">
        <f t="shared" si="11"/>
        <v>公共部分装修</v>
      </c>
      <c r="R35" s="773" t="s">
        <v>17</v>
      </c>
      <c r="S35" s="774">
        <f t="shared" si="12"/>
        <v>100</v>
      </c>
      <c r="T35" s="773" t="s">
        <v>17</v>
      </c>
      <c r="U35" s="774">
        <f t="shared" si="13"/>
        <v>100</v>
      </c>
      <c r="V35" s="773" t="s">
        <v>17</v>
      </c>
      <c r="W35" s="774">
        <f t="shared" si="14"/>
        <v>100</v>
      </c>
      <c r="X35" s="1809"/>
      <c r="Y35" s="3277"/>
      <c r="Z35" s="1810" t="str">
        <f t="shared" si="15"/>
        <v>公共部分装修</v>
      </c>
      <c r="AA35" s="1807">
        <f t="shared" si="3"/>
        <v>1</v>
      </c>
      <c r="AB35" s="1807">
        <f t="shared" si="4"/>
        <v>1</v>
      </c>
      <c r="AC35" s="1807">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275"/>
      <c r="Q36" s="1806" t="str">
        <f t="shared" si="11"/>
        <v>成新度</v>
      </c>
      <c r="R36" s="773" t="s">
        <v>17</v>
      </c>
      <c r="S36" s="774" t="e">
        <f t="shared" si="12"/>
        <v>#N/A</v>
      </c>
      <c r="T36" s="773" t="s">
        <v>17</v>
      </c>
      <c r="U36" s="774" t="e">
        <f t="shared" si="13"/>
        <v>#N/A</v>
      </c>
      <c r="V36" s="773" t="s">
        <v>17</v>
      </c>
      <c r="W36" s="774" t="e">
        <f t="shared" si="14"/>
        <v>#N/A</v>
      </c>
      <c r="X36" s="1809"/>
      <c r="Y36" s="3277"/>
      <c r="Z36" s="1810" t="str">
        <f t="shared" si="15"/>
        <v>成新度</v>
      </c>
      <c r="AA36" s="1807" t="e">
        <f t="shared" si="3"/>
        <v>#N/A</v>
      </c>
      <c r="AB36" s="1807" t="e">
        <f t="shared" si="4"/>
        <v>#N/A</v>
      </c>
      <c r="AC36" s="1807" t="e">
        <f t="shared" si="5"/>
        <v>#N/A</v>
      </c>
    </row>
    <row r="37" spans="1:29" s="116" customFormat="1" ht="15">
      <c r="A37" s="472"/>
      <c r="B37" s="421" t="s">
        <v>2662</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28"/>
      <c r="M37" s="1129"/>
      <c r="N37" s="1129"/>
      <c r="O37" s="1129"/>
      <c r="P37" s="3275"/>
      <c r="Q37" s="1791" t="str">
        <f t="shared" si="11"/>
        <v>市政基础设施</v>
      </c>
      <c r="R37" s="769" t="s">
        <v>17</v>
      </c>
      <c r="S37" s="770">
        <f t="shared" si="12"/>
        <v>100</v>
      </c>
      <c r="T37" s="769" t="s">
        <v>17</v>
      </c>
      <c r="U37" s="770">
        <f t="shared" si="13"/>
        <v>100</v>
      </c>
      <c r="V37" s="769" t="s">
        <v>17</v>
      </c>
      <c r="W37" s="770">
        <f t="shared" si="14"/>
        <v>100</v>
      </c>
      <c r="X37" s="771"/>
      <c r="Y37" s="3277"/>
      <c r="Z37" s="54" t="str">
        <f t="shared" si="15"/>
        <v>市政基础设施</v>
      </c>
      <c r="AA37" s="772">
        <f t="shared" si="3"/>
        <v>1</v>
      </c>
      <c r="AB37" s="772">
        <f t="shared" si="4"/>
        <v>1</v>
      </c>
      <c r="AC37" s="772">
        <f t="shared" si="5"/>
        <v>1</v>
      </c>
    </row>
    <row r="38" spans="1:29" ht="15">
      <c r="A38" s="471"/>
      <c r="B38" s="421" t="s">
        <v>2663</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6"/>
      <c r="M38" s="1127"/>
      <c r="N38" s="1127"/>
      <c r="O38" s="1127"/>
      <c r="P38" s="3275" t="s">
        <v>2564</v>
      </c>
      <c r="Q38" s="1806" t="str">
        <f t="shared" si="11"/>
        <v>业态</v>
      </c>
      <c r="R38" s="773" t="s">
        <v>17</v>
      </c>
      <c r="S38" s="774">
        <f t="shared" si="12"/>
        <v>100</v>
      </c>
      <c r="T38" s="773" t="s">
        <v>17</v>
      </c>
      <c r="U38" s="774">
        <f t="shared" si="13"/>
        <v>100</v>
      </c>
      <c r="V38" s="773" t="s">
        <v>17</v>
      </c>
      <c r="W38" s="774">
        <f t="shared" si="14"/>
        <v>100</v>
      </c>
      <c r="X38" s="1809"/>
      <c r="Y38" s="3277" t="s">
        <v>2564</v>
      </c>
      <c r="Z38" s="1810" t="str">
        <f t="shared" si="15"/>
        <v>业态</v>
      </c>
      <c r="AA38" s="1807">
        <f t="shared" si="3"/>
        <v>1</v>
      </c>
      <c r="AB38" s="1807">
        <f t="shared" si="4"/>
        <v>1</v>
      </c>
      <c r="AC38" s="1807">
        <f t="shared" si="5"/>
        <v>1</v>
      </c>
    </row>
    <row r="39" spans="1:29" ht="15">
      <c r="A39" s="471"/>
      <c r="B39" s="421" t="s">
        <v>2664</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6"/>
      <c r="M39" s="1127"/>
      <c r="N39" s="1127"/>
      <c r="O39" s="1127"/>
      <c r="P39" s="3275"/>
      <c r="Q39" s="1806" t="str">
        <f t="shared" si="11"/>
        <v>层高</v>
      </c>
      <c r="R39" s="773" t="s">
        <v>17</v>
      </c>
      <c r="S39" s="774">
        <f t="shared" si="12"/>
        <v>100</v>
      </c>
      <c r="T39" s="773" t="s">
        <v>17</v>
      </c>
      <c r="U39" s="774">
        <f t="shared" si="13"/>
        <v>100</v>
      </c>
      <c r="V39" s="773" t="s">
        <v>17</v>
      </c>
      <c r="W39" s="774">
        <f t="shared" si="14"/>
        <v>100</v>
      </c>
      <c r="X39" s="1809"/>
      <c r="Y39" s="3277"/>
      <c r="Z39" s="1810" t="str">
        <f t="shared" si="15"/>
        <v>层高</v>
      </c>
      <c r="AA39" s="1807">
        <f t="shared" si="3"/>
        <v>1</v>
      </c>
      <c r="AB39" s="1807">
        <f t="shared" si="4"/>
        <v>1</v>
      </c>
      <c r="AC39" s="1807">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275"/>
      <c r="Q40" s="1806" t="str">
        <f t="shared" si="11"/>
        <v>单套建筑面积</v>
      </c>
      <c r="R40" s="773" t="s">
        <v>17</v>
      </c>
      <c r="S40" s="774">
        <f t="shared" si="12"/>
        <v>100</v>
      </c>
      <c r="T40" s="773" t="s">
        <v>17</v>
      </c>
      <c r="U40" s="774">
        <f t="shared" si="13"/>
        <v>100</v>
      </c>
      <c r="V40" s="773" t="s">
        <v>17</v>
      </c>
      <c r="W40" s="774">
        <f t="shared" si="14"/>
        <v>100</v>
      </c>
      <c r="X40" s="1809"/>
      <c r="Y40" s="3277"/>
      <c r="Z40" s="1810" t="str">
        <f t="shared" si="15"/>
        <v>单套建筑面积</v>
      </c>
      <c r="AA40" s="1807">
        <f t="shared" si="3"/>
        <v>1</v>
      </c>
      <c r="AB40" s="1807">
        <f t="shared" si="4"/>
        <v>1</v>
      </c>
      <c r="AC40" s="1807">
        <f t="shared" si="5"/>
        <v>1</v>
      </c>
    </row>
    <row r="41" spans="1:29" s="470" customFormat="1" ht="15">
      <c r="A41" s="467"/>
      <c r="B41" s="1808"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275"/>
      <c r="Q41" s="775" t="str">
        <f t="shared" si="11"/>
        <v>进深比</v>
      </c>
      <c r="R41" s="776" t="s">
        <v>17</v>
      </c>
      <c r="S41" s="777">
        <f t="shared" si="12"/>
        <v>100</v>
      </c>
      <c r="T41" s="776" t="s">
        <v>17</v>
      </c>
      <c r="U41" s="777">
        <f t="shared" si="13"/>
        <v>100</v>
      </c>
      <c r="V41" s="776" t="s">
        <v>17</v>
      </c>
      <c r="W41" s="777">
        <f t="shared" si="14"/>
        <v>100</v>
      </c>
      <c r="X41" s="778"/>
      <c r="Y41" s="3277"/>
      <c r="Z41" s="779" t="str">
        <f t="shared" si="15"/>
        <v>进深比</v>
      </c>
      <c r="AA41" s="1807">
        <f t="shared" si="3"/>
        <v>1</v>
      </c>
      <c r="AB41" s="1807">
        <f t="shared" si="4"/>
        <v>1</v>
      </c>
      <c r="AC41" s="1807">
        <f t="shared" si="5"/>
        <v>1</v>
      </c>
    </row>
    <row r="42" spans="1:29" ht="15">
      <c r="A42" s="471"/>
      <c r="B42" s="421" t="s">
        <v>2667</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6"/>
      <c r="M42" s="1127"/>
      <c r="N42" s="1127"/>
      <c r="O42" s="1127"/>
      <c r="P42" s="3275"/>
      <c r="Q42" s="1806" t="str">
        <f t="shared" si="11"/>
        <v>内部装修</v>
      </c>
      <c r="R42" s="773" t="s">
        <v>17</v>
      </c>
      <c r="S42" s="774">
        <f t="shared" si="12"/>
        <v>100</v>
      </c>
      <c r="T42" s="773" t="s">
        <v>17</v>
      </c>
      <c r="U42" s="774">
        <f t="shared" si="13"/>
        <v>100</v>
      </c>
      <c r="V42" s="773" t="s">
        <v>17</v>
      </c>
      <c r="W42" s="774">
        <f t="shared" si="14"/>
        <v>100</v>
      </c>
      <c r="X42" s="1809"/>
      <c r="Y42" s="3277"/>
      <c r="Z42" s="1810" t="str">
        <f t="shared" si="15"/>
        <v>内部装修</v>
      </c>
      <c r="AA42" s="1807">
        <f t="shared" si="3"/>
        <v>1</v>
      </c>
      <c r="AB42" s="1807">
        <f t="shared" si="4"/>
        <v>1</v>
      </c>
      <c r="AC42" s="1807">
        <f t="shared" si="5"/>
        <v>1</v>
      </c>
    </row>
    <row r="43" spans="1:29" ht="15">
      <c r="A43" s="471"/>
      <c r="B43" s="421" t="s">
        <v>2575</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6"/>
      <c r="M43" s="1127"/>
      <c r="N43" s="1127"/>
      <c r="O43" s="1127"/>
      <c r="P43" s="3275"/>
      <c r="Q43" s="1806" t="str">
        <f t="shared" si="11"/>
        <v>内部装修维护情况</v>
      </c>
      <c r="R43" s="773" t="s">
        <v>17</v>
      </c>
      <c r="S43" s="774">
        <f t="shared" si="12"/>
        <v>100</v>
      </c>
      <c r="T43" s="773" t="s">
        <v>17</v>
      </c>
      <c r="U43" s="774">
        <f t="shared" si="13"/>
        <v>100</v>
      </c>
      <c r="V43" s="773" t="s">
        <v>17</v>
      </c>
      <c r="W43" s="774">
        <f t="shared" si="14"/>
        <v>100</v>
      </c>
      <c r="X43" s="1809"/>
      <c r="Y43" s="3277"/>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275"/>
      <c r="Q44" s="1791">
        <f t="shared" si="11"/>
        <v>111</v>
      </c>
      <c r="R44" s="769" t="s">
        <v>17</v>
      </c>
      <c r="S44" s="770">
        <f t="shared" si="12"/>
        <v>100</v>
      </c>
      <c r="T44" s="769" t="s">
        <v>17</v>
      </c>
      <c r="U44" s="770">
        <f t="shared" si="13"/>
        <v>100</v>
      </c>
      <c r="V44" s="769" t="s">
        <v>17</v>
      </c>
      <c r="W44" s="770">
        <f t="shared" si="14"/>
        <v>100</v>
      </c>
      <c r="X44" s="771"/>
      <c r="Y44" s="3277"/>
      <c r="Z44" s="54">
        <f t="shared" si="15"/>
        <v>111</v>
      </c>
      <c r="AA44" s="772">
        <f t="shared" si="3"/>
        <v>1</v>
      </c>
      <c r="AB44" s="772">
        <f t="shared" si="4"/>
        <v>1</v>
      </c>
      <c r="AC44" s="772">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275"/>
      <c r="Q45" s="1806">
        <f t="shared" si="11"/>
        <v>111</v>
      </c>
      <c r="R45" s="773" t="s">
        <v>17</v>
      </c>
      <c r="S45" s="774">
        <f t="shared" si="12"/>
        <v>100</v>
      </c>
      <c r="T45" s="773" t="s">
        <v>17</v>
      </c>
      <c r="U45" s="774">
        <f t="shared" si="13"/>
        <v>100</v>
      </c>
      <c r="V45" s="773" t="s">
        <v>17</v>
      </c>
      <c r="W45" s="774">
        <f t="shared" si="14"/>
        <v>100</v>
      </c>
      <c r="X45" s="1809"/>
      <c r="Y45" s="3277"/>
      <c r="Z45" s="1810">
        <f t="shared" si="15"/>
        <v>111</v>
      </c>
      <c r="AA45" s="1807">
        <f t="shared" si="3"/>
        <v>1</v>
      </c>
      <c r="AB45" s="1807">
        <f t="shared" si="4"/>
        <v>1</v>
      </c>
      <c r="AC45" s="1807">
        <f t="shared" si="5"/>
        <v>1</v>
      </c>
    </row>
    <row r="46" spans="1:29" ht="15.75"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276"/>
      <c r="Q46" s="1806">
        <f t="shared" si="11"/>
        <v>111</v>
      </c>
      <c r="R46" s="773" t="s">
        <v>17</v>
      </c>
      <c r="S46" s="774">
        <f t="shared" si="12"/>
        <v>100</v>
      </c>
      <c r="T46" s="773" t="s">
        <v>17</v>
      </c>
      <c r="U46" s="774">
        <f t="shared" si="13"/>
        <v>100</v>
      </c>
      <c r="V46" s="773" t="s">
        <v>17</v>
      </c>
      <c r="W46" s="774">
        <f t="shared" si="14"/>
        <v>100</v>
      </c>
      <c r="X46" s="1809"/>
      <c r="Y46" s="3278"/>
      <c r="Z46" s="1810">
        <f t="shared" si="15"/>
        <v>111</v>
      </c>
      <c r="AA46" s="1807">
        <f t="shared" si="3"/>
        <v>1</v>
      </c>
      <c r="AB46" s="1807">
        <f t="shared" si="4"/>
        <v>1</v>
      </c>
      <c r="AC46" s="1807">
        <f t="shared" si="5"/>
        <v>1</v>
      </c>
    </row>
    <row r="47" spans="1:29" ht="15">
      <c r="A47" s="478" t="s">
        <v>2576</v>
      </c>
      <c r="B47" s="479"/>
      <c r="C47" s="1403" t="s">
        <v>1</v>
      </c>
      <c r="D47" s="1404"/>
      <c r="E47" s="1405"/>
      <c r="F47" s="1406"/>
      <c r="G47" s="1407"/>
      <c r="H47" s="1408"/>
      <c r="I47" s="1405"/>
      <c r="J47" s="1408"/>
      <c r="K47" s="782"/>
      <c r="L47" s="1139"/>
      <c r="M47" s="1140"/>
      <c r="N47" s="1127"/>
      <c r="O47" s="1140"/>
      <c r="P47" s="3279" t="str">
        <f>A47</f>
        <v>成交单价（元/平方米）</v>
      </c>
      <c r="Q47" s="3279"/>
      <c r="R47" s="3267">
        <f>E47</f>
        <v>0</v>
      </c>
      <c r="S47" s="3267"/>
      <c r="T47" s="3267">
        <f>G47</f>
        <v>0</v>
      </c>
      <c r="U47" s="3267"/>
      <c r="V47" s="3267">
        <f>I47</f>
        <v>0</v>
      </c>
      <c r="W47" s="3267"/>
      <c r="X47" s="758"/>
      <c r="Y47" s="780"/>
      <c r="Z47" s="758"/>
      <c r="AA47" s="758"/>
      <c r="AB47" s="758"/>
      <c r="AC47" s="758"/>
    </row>
    <row r="48" spans="1:29" ht="15.75" thickBot="1">
      <c r="A48" s="485" t="s">
        <v>2668</v>
      </c>
      <c r="B48" s="486"/>
      <c r="C48" s="1409" t="e">
        <f>R49</f>
        <v>#DIV/0!</v>
      </c>
      <c r="D48" s="1410"/>
      <c r="E48" s="1411" t="e">
        <f>R48</f>
        <v>#DIV/0!</v>
      </c>
      <c r="F48" s="1411"/>
      <c r="G48" s="1409" t="e">
        <f>T48</f>
        <v>#DIV/0!</v>
      </c>
      <c r="H48" s="1410"/>
      <c r="I48" s="1411" t="e">
        <f>V48</f>
        <v>#DIV/0!</v>
      </c>
      <c r="J48" s="1410"/>
      <c r="K48" s="783"/>
      <c r="L48" s="1139"/>
      <c r="M48" s="1140"/>
      <c r="N48" s="1127"/>
      <c r="O48" s="1140"/>
      <c r="P48" s="3279" t="str">
        <f>A48</f>
        <v>比较价值（元/平方米）</v>
      </c>
      <c r="Q48" s="3279"/>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8"/>
      <c r="Y48" s="758"/>
      <c r="Z48" s="758"/>
      <c r="AA48" s="758"/>
      <c r="AB48" s="758"/>
      <c r="AC48" s="758"/>
    </row>
    <row r="49" spans="1:29" ht="15.75" thickBot="1">
      <c r="A49" s="491" t="s">
        <v>2669</v>
      </c>
      <c r="B49" s="492"/>
      <c r="C49" s="1413" t="e">
        <f>R49</f>
        <v>#DIV/0!</v>
      </c>
      <c r="D49" s="1413"/>
      <c r="E49" s="1413"/>
      <c r="F49" s="1413"/>
      <c r="G49" s="1413"/>
      <c r="H49" s="1413"/>
      <c r="I49" s="1413"/>
      <c r="J49" s="1413"/>
      <c r="K49" s="784"/>
      <c r="L49" s="1139"/>
      <c r="M49" s="1140"/>
      <c r="N49" s="1127"/>
      <c r="O49" s="1140"/>
      <c r="P49" s="3292" t="str">
        <f>A49</f>
        <v>估价对象XX用房的比较价值（楼面单价，元/平方米）</v>
      </c>
      <c r="Q49" s="3293"/>
      <c r="R49" s="3294" t="e">
        <f>IF(F1="售价",ROUND(AVERAGE(R48:V48),0),ROUND(AVERAGE(R48:V48),1))</f>
        <v>#DIV/0!</v>
      </c>
      <c r="S49" s="3294"/>
      <c r="T49" s="3294"/>
      <c r="U49" s="3294"/>
      <c r="V49" s="3294"/>
      <c r="W49" s="3294"/>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c r="P50" s="674"/>
      <c r="Q50" s="758"/>
      <c r="R50" s="758"/>
      <c r="S50" s="758"/>
      <c r="T50" s="758"/>
      <c r="U50" s="758"/>
      <c r="V50" s="758"/>
      <c r="W50" s="758"/>
      <c r="X50" s="758"/>
      <c r="Y50" s="758"/>
      <c r="Z50" s="758"/>
      <c r="AA50" s="758"/>
      <c r="AB50" s="758"/>
      <c r="AC50" s="758"/>
    </row>
    <row r="51" spans="1:29">
      <c r="A51" s="1140"/>
      <c r="B51" s="1140"/>
      <c r="C51" s="1140"/>
      <c r="D51" s="1140"/>
      <c r="E51" s="1140"/>
      <c r="F51" s="1140"/>
      <c r="G51" s="1140"/>
      <c r="H51" s="1140"/>
      <c r="I51" s="1140"/>
      <c r="J51" s="1140"/>
      <c r="K51" s="1101"/>
      <c r="L51" s="1102"/>
      <c r="M51" s="1140"/>
      <c r="N51" s="1140"/>
      <c r="O51" s="1140"/>
      <c r="P51" s="674"/>
      <c r="Q51" s="758"/>
      <c r="R51" s="758"/>
      <c r="S51" s="758"/>
      <c r="T51" s="758"/>
      <c r="U51" s="758"/>
      <c r="V51" s="758"/>
      <c r="W51" s="758"/>
      <c r="X51" s="758"/>
      <c r="Y51" s="758"/>
      <c r="Z51" s="758"/>
      <c r="AA51" s="758"/>
      <c r="AB51" s="758"/>
      <c r="AC51" s="758"/>
    </row>
    <row r="52" spans="1:29" ht="13.5" customHeight="1">
      <c r="A52" s="1140"/>
      <c r="B52" s="1140"/>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8"/>
      <c r="R52" s="758"/>
      <c r="S52" s="758"/>
      <c r="T52" s="758"/>
      <c r="U52" s="758"/>
      <c r="V52" s="758"/>
      <c r="W52" s="758"/>
      <c r="X52" s="758"/>
      <c r="Y52" s="758"/>
      <c r="Z52" s="758"/>
      <c r="AA52" s="758"/>
      <c r="AB52" s="758"/>
      <c r="AC52" s="758"/>
    </row>
    <row r="53" spans="1:29" ht="13.5" customHeight="1">
      <c r="A53" s="1140"/>
      <c r="B53" s="1140"/>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8"/>
      <c r="R53" s="758"/>
      <c r="S53" s="758"/>
      <c r="T53" s="758"/>
      <c r="U53" s="758"/>
      <c r="V53" s="758"/>
      <c r="W53" s="758"/>
      <c r="X53" s="758"/>
      <c r="Y53" s="758"/>
      <c r="Z53" s="758"/>
      <c r="AA53" s="758"/>
      <c r="AB53" s="758"/>
      <c r="AC53" s="758"/>
    </row>
    <row r="54" spans="1:29" s="501" customFormat="1" ht="13.5" customHeight="1">
      <c r="A54" s="1141"/>
      <c r="B54" s="1141"/>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59"/>
      <c r="Q54" s="759"/>
      <c r="R54" s="759"/>
      <c r="S54" s="759"/>
      <c r="T54" s="759"/>
      <c r="U54" s="759"/>
      <c r="V54" s="759"/>
      <c r="W54" s="759"/>
      <c r="X54" s="759"/>
      <c r="Y54" s="759"/>
      <c r="Z54" s="759"/>
      <c r="AA54" s="759"/>
      <c r="AB54" s="759"/>
      <c r="AC54" s="759"/>
    </row>
    <row r="55" spans="1:29" s="501" customFormat="1">
      <c r="A55" s="1141"/>
      <c r="B55" s="1142"/>
      <c r="C55" s="1146"/>
      <c r="D55" s="1141"/>
      <c r="E55" s="1141"/>
      <c r="F55" s="1141"/>
      <c r="G55" s="1141"/>
      <c r="H55" s="1141"/>
      <c r="I55" s="1141"/>
      <c r="J55" s="1141"/>
      <c r="K55" s="1144"/>
      <c r="L55" s="1145"/>
      <c r="M55" s="1141"/>
      <c r="N55" s="1141"/>
      <c r="O55" s="1141"/>
      <c r="P55" s="2659"/>
      <c r="Q55" s="759"/>
      <c r="R55" s="759"/>
      <c r="S55" s="759"/>
      <c r="T55" s="759"/>
      <c r="U55" s="759"/>
      <c r="V55" s="759"/>
      <c r="W55" s="759"/>
      <c r="X55" s="759"/>
      <c r="Y55" s="759"/>
      <c r="Z55" s="759"/>
      <c r="AA55" s="759"/>
      <c r="AB55" s="759"/>
      <c r="AC55" s="759"/>
    </row>
    <row r="56" spans="1:29">
      <c r="A56" s="1140"/>
      <c r="B56" s="1142"/>
      <c r="C56" s="1146"/>
      <c r="D56" s="1140"/>
      <c r="E56" s="1140"/>
      <c r="F56" s="1140"/>
      <c r="G56" s="1140"/>
      <c r="H56" s="1140"/>
      <c r="I56" s="1140"/>
      <c r="J56" s="1140"/>
      <c r="K56" s="1101"/>
      <c r="L56" s="1102"/>
      <c r="M56" s="1140"/>
      <c r="N56" s="1140"/>
      <c r="O56" s="1140"/>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57"/>
      <c r="M57" s="1155"/>
      <c r="N57" s="1155"/>
      <c r="O57" s="1155"/>
      <c r="P57" s="2660"/>
      <c r="Q57" s="2661"/>
      <c r="R57" s="758"/>
      <c r="S57" s="758"/>
      <c r="T57" s="758"/>
      <c r="U57" s="758"/>
      <c r="V57" s="758"/>
      <c r="W57" s="758"/>
      <c r="X57" s="758"/>
      <c r="Y57" s="758"/>
      <c r="Z57" s="758"/>
      <c r="AA57" s="758"/>
      <c r="AB57" s="758"/>
      <c r="AC57" s="758"/>
    </row>
    <row r="58" spans="1:29" s="507" customFormat="1" ht="15">
      <c r="A58" s="504" t="s">
        <v>2547</v>
      </c>
      <c r="B58" s="505"/>
      <c r="C58" s="1570" t="str">
        <f>YEAR(C7)&amp;"-"&amp;MONTH(C7)</f>
        <v>2018-3</v>
      </c>
      <c r="D58" s="1571">
        <f>EDATE(C58,-1)</f>
        <v>43132</v>
      </c>
      <c r="E58" s="1571">
        <f t="shared" ref="E58:N58" si="16">EDATE(D58,-1)</f>
        <v>43101</v>
      </c>
      <c r="F58" s="1571">
        <f t="shared" si="16"/>
        <v>43070</v>
      </c>
      <c r="G58" s="1571">
        <f t="shared" si="16"/>
        <v>43040</v>
      </c>
      <c r="H58" s="1571">
        <f t="shared" si="16"/>
        <v>43009</v>
      </c>
      <c r="I58" s="1571">
        <f t="shared" si="16"/>
        <v>42979</v>
      </c>
      <c r="J58" s="1571">
        <f t="shared" si="16"/>
        <v>42948</v>
      </c>
      <c r="K58" s="1571">
        <f t="shared" si="16"/>
        <v>42917</v>
      </c>
      <c r="L58" s="1571">
        <f t="shared" si="16"/>
        <v>42887</v>
      </c>
      <c r="M58" s="1571">
        <f t="shared" si="16"/>
        <v>42856</v>
      </c>
      <c r="N58" s="1571">
        <f t="shared" si="16"/>
        <v>42826</v>
      </c>
      <c r="O58" s="1571">
        <f>EDATE(N58,-1)</f>
        <v>42795</v>
      </c>
      <c r="P58" s="1566"/>
    </row>
    <row r="59" spans="1:29" s="116" customFormat="1" ht="15">
      <c r="A59" s="508"/>
      <c r="B59" s="509"/>
      <c r="C59" s="1569">
        <v>100</v>
      </c>
      <c r="D59" s="511"/>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2549</v>
      </c>
      <c r="B61" s="509"/>
      <c r="C61" s="521" t="s">
        <v>2651</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3"/>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35"/>
      <c r="E73" s="535"/>
      <c r="F73" s="535"/>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2654</v>
      </c>
      <c r="C82" s="659" t="s">
        <v>2674</v>
      </c>
      <c r="D82" s="659" t="s">
        <v>2675</v>
      </c>
      <c r="E82" s="659" t="s">
        <v>2676</v>
      </c>
      <c r="F82" s="659" t="s">
        <v>2677</v>
      </c>
      <c r="G82" s="659" t="s">
        <v>2678</v>
      </c>
      <c r="H82" s="538"/>
      <c r="I82" s="538"/>
      <c r="J82" s="538"/>
      <c r="K82" s="538"/>
      <c r="L82" s="538"/>
      <c r="M82" s="1378"/>
      <c r="N82" s="1149"/>
      <c r="O82" s="1149"/>
      <c r="P82" s="262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2679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3"/>
      <c r="Q87" s="503"/>
    </row>
    <row r="88" spans="1:17" s="116" customFormat="1" ht="15.75" thickTop="1">
      <c r="A88" s="578"/>
      <c r="B88" s="537" t="str">
        <f>B26</f>
        <v>平面位置/可视性</v>
      </c>
      <c r="C88" s="553"/>
      <c r="D88" s="553"/>
      <c r="E88" s="553"/>
      <c r="F88" s="2628"/>
      <c r="G88" s="553"/>
      <c r="H88" s="553"/>
      <c r="I88" s="553"/>
      <c r="J88" s="553"/>
      <c r="K88" s="553"/>
      <c r="L88" s="553"/>
      <c r="M88" s="580"/>
      <c r="N88" s="1147"/>
      <c r="O88" s="1147"/>
      <c r="P88" s="2623"/>
      <c r="Q88" s="503"/>
    </row>
    <row r="89" spans="1:17" s="116" customFormat="1" ht="15.75" thickBot="1">
      <c r="A89" s="578"/>
      <c r="B89" s="542"/>
      <c r="C89" s="559"/>
      <c r="D89" s="535"/>
      <c r="E89" s="535"/>
      <c r="F89" s="535"/>
      <c r="G89" s="535"/>
      <c r="H89" s="535"/>
      <c r="I89" s="535"/>
      <c r="J89" s="535"/>
      <c r="K89" s="535"/>
      <c r="L89" s="535"/>
      <c r="M89" s="535"/>
      <c r="N89" s="1149"/>
      <c r="O89" s="1149"/>
      <c r="P89" s="2623"/>
      <c r="Q89" s="503"/>
    </row>
    <row r="90" spans="1:17" s="470" customFormat="1" ht="15.75" thickTop="1">
      <c r="A90" s="552"/>
      <c r="B90" s="537" t="str">
        <f>B27</f>
        <v>人流量</v>
      </c>
      <c r="C90" s="553"/>
      <c r="D90" s="553"/>
      <c r="E90" s="553"/>
      <c r="F90" s="553"/>
      <c r="G90" s="553"/>
      <c r="H90" s="554"/>
      <c r="I90" s="554"/>
      <c r="J90" s="554"/>
      <c r="K90" s="554"/>
      <c r="L90" s="555"/>
      <c r="M90" s="556"/>
      <c r="N90" s="1150"/>
      <c r="O90" s="1150"/>
      <c r="P90" s="262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4"/>
      <c r="Q91" s="558"/>
    </row>
    <row r="92" spans="1:17" ht="15.75" thickTop="1">
      <c r="A92" s="533"/>
      <c r="B92" s="537" t="str">
        <f>B28</f>
        <v>楼层</v>
      </c>
      <c r="C92" s="553"/>
      <c r="D92" s="553"/>
      <c r="E92" s="553"/>
      <c r="F92" s="553"/>
      <c r="G92" s="553"/>
      <c r="H92" s="553"/>
      <c r="I92" s="553"/>
      <c r="J92" s="553"/>
      <c r="K92" s="553"/>
      <c r="L92" s="579"/>
      <c r="M92" s="580"/>
      <c r="N92" s="1148"/>
      <c r="O92" s="1148"/>
      <c r="P92" s="2623"/>
      <c r="Q92" s="503"/>
    </row>
    <row r="93" spans="1:17" ht="15.75" thickBot="1">
      <c r="A93" s="533"/>
      <c r="B93" s="542"/>
      <c r="C93" s="535"/>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35"/>
      <c r="E95" s="535"/>
      <c r="F95" s="535"/>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59"/>
      <c r="D97" s="535"/>
      <c r="E97" s="535"/>
      <c r="F97" s="535"/>
      <c r="G97" s="535"/>
      <c r="H97" s="535"/>
      <c r="I97" s="535"/>
      <c r="J97" s="535"/>
      <c r="K97" s="535"/>
      <c r="L97" s="535"/>
      <c r="M97" s="536"/>
      <c r="N97" s="1149"/>
      <c r="O97" s="1149"/>
      <c r="P97" s="2623"/>
      <c r="Q97" s="503"/>
    </row>
    <row r="98" spans="1:17" ht="15.75" thickTop="1">
      <c r="A98" s="533"/>
      <c r="B98" s="545">
        <f>B31</f>
        <v>111</v>
      </c>
      <c r="C98" s="553"/>
      <c r="D98" s="553"/>
      <c r="E98" s="553"/>
      <c r="F98" s="553"/>
      <c r="G98" s="586"/>
      <c r="H98" s="586"/>
      <c r="I98" s="586"/>
      <c r="J98" s="586"/>
      <c r="K98" s="587"/>
      <c r="L98" s="588"/>
      <c r="M98" s="589"/>
      <c r="N98" s="1148"/>
      <c r="O98" s="1148"/>
      <c r="P98" s="2623"/>
      <c r="Q98" s="503"/>
    </row>
    <row r="99" spans="1:17" ht="15.75" thickBot="1">
      <c r="A99" s="2629"/>
      <c r="B99" s="568"/>
      <c r="C99" s="569"/>
      <c r="D99" s="569"/>
      <c r="E99" s="569"/>
      <c r="F99" s="569"/>
      <c r="G99" s="590"/>
      <c r="H99" s="590"/>
      <c r="I99" s="590"/>
      <c r="J99" s="590"/>
      <c r="K99" s="590"/>
      <c r="L99" s="590"/>
      <c r="M99" s="591"/>
      <c r="N99" s="1149"/>
      <c r="O99" s="1149"/>
      <c r="P99" s="2623"/>
      <c r="Q99" s="503"/>
    </row>
    <row r="100" spans="1:17">
      <c r="A100" s="526" t="s">
        <v>2562</v>
      </c>
      <c r="B100" s="527" t="s">
        <v>2680</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3"/>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6"/>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3"/>
      <c r="Q106" s="503"/>
    </row>
    <row r="107" spans="1:17" ht="15" thickTop="1">
      <c r="A107" s="598"/>
      <c r="B107" s="537" t="s">
        <v>2615</v>
      </c>
      <c r="C107" s="553"/>
      <c r="D107" s="553"/>
      <c r="E107" s="553"/>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3"/>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3"/>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3"/>
      <c r="Q111" s="503"/>
    </row>
    <row r="112" spans="1:17" s="470" customFormat="1" ht="15" thickTop="1">
      <c r="A112" s="592"/>
      <c r="B112" s="537" t="s">
        <v>2617</v>
      </c>
      <c r="C112" s="553"/>
      <c r="D112" s="553"/>
      <c r="E112" s="553"/>
      <c r="F112" s="553"/>
      <c r="G112" s="553"/>
      <c r="H112" s="582"/>
      <c r="I112" s="582"/>
      <c r="J112" s="582"/>
      <c r="K112" s="583"/>
      <c r="L112" s="584"/>
      <c r="M112" s="585"/>
      <c r="N112" s="1150"/>
      <c r="O112" s="1150"/>
      <c r="P112" s="262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4"/>
      <c r="Q113" s="558"/>
    </row>
    <row r="114" spans="1:17" ht="15" thickTop="1">
      <c r="A114" s="598"/>
      <c r="B114" s="537" t="s">
        <v>2681</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3"/>
      <c r="Q115" s="503"/>
    </row>
    <row r="116" spans="1:17" ht="15" thickTop="1">
      <c r="A116" s="598"/>
      <c r="B116" s="537" t="s">
        <v>2682</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2683</v>
      </c>
      <c r="C118" s="626"/>
      <c r="D118" s="626"/>
      <c r="E118" s="626"/>
      <c r="F118" s="626"/>
      <c r="G118" s="626"/>
      <c r="H118" s="554"/>
      <c r="I118" s="554"/>
      <c r="J118" s="554"/>
      <c r="K118" s="554"/>
      <c r="L118" s="555"/>
      <c r="M118" s="556"/>
      <c r="N118" s="1148"/>
      <c r="O118" s="1148"/>
      <c r="P118" s="2623"/>
      <c r="Q118" s="503"/>
    </row>
    <row r="119" spans="1:17" ht="15.75" thickBot="1">
      <c r="A119" s="533"/>
      <c r="B119" s="542"/>
      <c r="C119" s="559"/>
      <c r="D119" s="535"/>
      <c r="E119" s="535"/>
      <c r="F119" s="535"/>
      <c r="G119" s="535"/>
      <c r="H119" s="535"/>
      <c r="I119" s="535"/>
      <c r="J119" s="535"/>
      <c r="K119" s="535"/>
      <c r="L119" s="535"/>
      <c r="M119" s="536"/>
      <c r="N119" s="1149"/>
      <c r="O119" s="1149"/>
      <c r="P119" s="2623"/>
      <c r="Q119" s="503"/>
    </row>
    <row r="120" spans="1:17" s="470" customFormat="1" ht="15" thickTop="1">
      <c r="A120" s="592"/>
      <c r="B120" s="537" t="s">
        <v>2684</v>
      </c>
      <c r="C120" s="582"/>
      <c r="D120" s="582"/>
      <c r="E120" s="582"/>
      <c r="F120" s="582"/>
      <c r="G120" s="554"/>
      <c r="H120" s="554"/>
      <c r="I120" s="554"/>
      <c r="J120" s="554"/>
      <c r="K120" s="554"/>
      <c r="L120" s="555"/>
      <c r="M120" s="556"/>
      <c r="N120" s="1150"/>
      <c r="O120" s="1150"/>
      <c r="P120" s="262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35"/>
      <c r="E129" s="535"/>
      <c r="F129" s="535"/>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6" zoomScaleNormal="100" zoomScaleSheetLayoutView="100" zoomScalePageLayoutView="80" workbookViewId="0">
      <selection activeCell="K31" sqref="K31"/>
    </sheetView>
  </sheetViews>
  <sheetFormatPr defaultColWidth="12.625" defaultRowHeight="21.75" customHeight="1"/>
  <cols>
    <col min="1" max="2" width="12.625" style="2415"/>
    <col min="3" max="4" width="12.625" style="2415" customWidth="1"/>
    <col min="5" max="9" width="12.625" style="2415"/>
    <col min="10" max="11" width="12.625" style="794" customWidth="1"/>
    <col min="12" max="12" width="12.625" style="794"/>
    <col min="13" max="13" width="14.125" style="794" bestFit="1" customWidth="1"/>
    <col min="14" max="26" width="12.625" style="794"/>
    <col min="27" max="35" width="12.625" style="2414"/>
    <col min="36" max="16384" width="12.625" style="2415"/>
  </cols>
  <sheetData>
    <row r="1" spans="1:12" ht="21.75" customHeight="1" thickBot="1">
      <c r="A1" s="2218" t="s">
        <v>2116</v>
      </c>
      <c r="B1" s="2409"/>
      <c r="C1" s="2410" t="s">
        <v>48</v>
      </c>
      <c r="D1" s="2409"/>
      <c r="E1" s="2409"/>
      <c r="F1" s="2411" t="s">
        <v>2117</v>
      </c>
      <c r="G1" s="2063" t="s">
        <v>3574</v>
      </c>
      <c r="H1" s="2412" t="str">
        <f>IF(G1="现房","——","估价对象范围")</f>
        <v>——</v>
      </c>
      <c r="I1" s="2413"/>
    </row>
    <row r="2" spans="1:12" ht="21.75" customHeight="1" thickBot="1">
      <c r="A2" s="3203" t="str">
        <f>项目基本情况!S2</f>
        <v>北京市大兴区黄村镇房地产</v>
      </c>
      <c r="B2" s="3204"/>
      <c r="C2" s="3204"/>
      <c r="D2" s="3204"/>
      <c r="E2" s="3204"/>
      <c r="F2" s="3204"/>
      <c r="G2" s="3204"/>
      <c r="H2" s="3204"/>
      <c r="I2" s="3205"/>
    </row>
    <row r="3" spans="1:12" ht="12.75">
      <c r="A3" s="3206" t="s">
        <v>2118</v>
      </c>
      <c r="B3" s="3207"/>
      <c r="C3" s="3207"/>
      <c r="D3" s="3207"/>
      <c r="E3" s="3207"/>
      <c r="F3" s="3207"/>
      <c r="G3" s="3207"/>
      <c r="H3" s="3207"/>
      <c r="I3" s="3207"/>
    </row>
    <row r="4" spans="1:12" ht="14.25">
      <c r="A4" s="2416" t="s">
        <v>2119</v>
      </c>
      <c r="B4" s="2417" t="s">
        <v>2120</v>
      </c>
      <c r="C4" s="2418" t="s">
        <v>3567</v>
      </c>
      <c r="D4" s="2418" t="s">
        <v>3561</v>
      </c>
      <c r="E4" s="3187" t="s">
        <v>2121</v>
      </c>
      <c r="F4" s="3200"/>
      <c r="G4" s="3200"/>
      <c r="H4" s="3200"/>
      <c r="I4" s="3188"/>
      <c r="K4" s="2419" t="str">
        <f>IF(ISNUMBER(FIND("比较法",'结果表（地下车库）'!C4)),"比较法",IF(ISNUMBER(FIND("成本法",'结果表（地下车库）'!C4)),"成本法",IF(ISNUMBER(FIND("假设开发法",'结果表（地下车库）'!C4)),"假设开发法",IF(ISNUMBER(FIND("收益法",'结果表（地下车库）'!C4)),"收益法","基准地价系数修正法"))))</f>
        <v>成本法</v>
      </c>
      <c r="L4" s="2419" t="str">
        <f>IF(ISNUMBER(FIND("比较法",'结果表（地下车库）'!D4)),"比较法",IF(ISNUMBER(FIND("成本法",'结果表（地下车库）'!D4)),"成本法",IF(ISNUMBER(FIND("假设开发法",'结果表（地下车库）'!D4)),"假设开发法",IF(ISNUMBER(FIND("收益法",'结果表（地下车库）'!D4)),"收益法","基准地价系数修正法"))))</f>
        <v>收益法</v>
      </c>
    </row>
    <row r="5" spans="1:12" ht="12.75">
      <c r="A5" s="3178" t="s">
        <v>2122</v>
      </c>
      <c r="B5" s="3104">
        <v>25</v>
      </c>
      <c r="C5" s="3208"/>
      <c r="D5" s="3196"/>
      <c r="E5" s="139" t="s">
        <v>2123</v>
      </c>
      <c r="F5" s="2420"/>
      <c r="G5" s="2420"/>
      <c r="H5" s="2420"/>
      <c r="I5" s="1827"/>
    </row>
    <row r="6" spans="1:12" ht="12.75">
      <c r="A6" s="3178"/>
      <c r="B6" s="3104"/>
      <c r="C6" s="3210"/>
      <c r="D6" s="3196"/>
      <c r="E6" s="139" t="s">
        <v>2124</v>
      </c>
      <c r="F6" s="2420"/>
      <c r="G6" s="2420"/>
      <c r="H6" s="2420"/>
      <c r="I6" s="1827"/>
    </row>
    <row r="7" spans="1:12" ht="12.75">
      <c r="A7" s="3178"/>
      <c r="B7" s="3104"/>
      <c r="C7" s="3209"/>
      <c r="D7" s="3196"/>
      <c r="E7" s="139" t="s">
        <v>2125</v>
      </c>
      <c r="F7" s="2420"/>
      <c r="G7" s="2420"/>
      <c r="H7" s="2420"/>
      <c r="I7" s="1827"/>
    </row>
    <row r="8" spans="1:12" ht="12.75">
      <c r="A8" s="3178" t="s">
        <v>2126</v>
      </c>
      <c r="B8" s="3104">
        <v>15</v>
      </c>
      <c r="C8" s="3208"/>
      <c r="D8" s="3196"/>
      <c r="E8" s="139" t="s">
        <v>2127</v>
      </c>
      <c r="F8" s="2420"/>
      <c r="G8" s="2420"/>
      <c r="H8" s="2420"/>
      <c r="I8" s="1827"/>
    </row>
    <row r="9" spans="1:12" ht="12.75">
      <c r="A9" s="3178"/>
      <c r="B9" s="3104"/>
      <c r="C9" s="3209"/>
      <c r="D9" s="3196"/>
      <c r="E9" s="139" t="s">
        <v>2128</v>
      </c>
      <c r="F9" s="2420"/>
      <c r="G9" s="2420"/>
      <c r="H9" s="2420"/>
      <c r="I9" s="1827"/>
    </row>
    <row r="10" spans="1:12" ht="12.75">
      <c r="A10" s="3178" t="s">
        <v>2129</v>
      </c>
      <c r="B10" s="3104">
        <v>15</v>
      </c>
      <c r="C10" s="3208"/>
      <c r="D10" s="3196"/>
      <c r="E10" s="139" t="s">
        <v>2130</v>
      </c>
      <c r="F10" s="2420"/>
      <c r="G10" s="2420"/>
      <c r="H10" s="2420"/>
      <c r="I10" s="1827"/>
    </row>
    <row r="11" spans="1:12" ht="12.75">
      <c r="A11" s="3178"/>
      <c r="B11" s="3104"/>
      <c r="C11" s="3209"/>
      <c r="D11" s="3196"/>
      <c r="E11" s="139" t="s">
        <v>2131</v>
      </c>
      <c r="F11" s="2420"/>
      <c r="G11" s="2420"/>
      <c r="H11" s="2420"/>
      <c r="I11" s="1827"/>
    </row>
    <row r="12" spans="1:12" ht="12.75">
      <c r="A12" s="3178" t="s">
        <v>2132</v>
      </c>
      <c r="B12" s="3104">
        <v>15</v>
      </c>
      <c r="C12" s="3208"/>
      <c r="D12" s="3196"/>
      <c r="E12" s="139" t="s">
        <v>2133</v>
      </c>
      <c r="F12" s="2420"/>
      <c r="G12" s="2420"/>
      <c r="H12" s="2420"/>
      <c r="I12" s="1827"/>
    </row>
    <row r="13" spans="1:12" ht="12.75">
      <c r="A13" s="3178"/>
      <c r="B13" s="3104"/>
      <c r="C13" s="3209"/>
      <c r="D13" s="3196"/>
      <c r="E13" s="139" t="s">
        <v>2134</v>
      </c>
      <c r="F13" s="2420"/>
      <c r="G13" s="2420"/>
      <c r="H13" s="2420"/>
      <c r="I13" s="1827"/>
    </row>
    <row r="14" spans="1:12" ht="12.75">
      <c r="A14" s="3178" t="s">
        <v>2135</v>
      </c>
      <c r="B14" s="3104">
        <v>30</v>
      </c>
      <c r="C14" s="3208">
        <v>4</v>
      </c>
      <c r="D14" s="3196">
        <v>6</v>
      </c>
      <c r="E14" s="139" t="s">
        <v>2136</v>
      </c>
      <c r="F14" s="2420"/>
      <c r="G14" s="2420"/>
      <c r="H14" s="2420"/>
      <c r="I14" s="1827"/>
    </row>
    <row r="15" spans="1:12" ht="12.75">
      <c r="A15" s="3178"/>
      <c r="B15" s="3104"/>
      <c r="C15" s="3210"/>
      <c r="D15" s="3196"/>
      <c r="E15" s="139" t="s">
        <v>2137</v>
      </c>
      <c r="F15" s="2420"/>
      <c r="G15" s="2420"/>
      <c r="H15" s="2420"/>
      <c r="I15" s="1827"/>
    </row>
    <row r="16" spans="1:12" ht="12.75">
      <c r="A16" s="3178"/>
      <c r="B16" s="3104"/>
      <c r="C16" s="3209"/>
      <c r="D16" s="3196"/>
      <c r="E16" s="139" t="s">
        <v>2138</v>
      </c>
      <c r="F16" s="2420"/>
      <c r="G16" s="2420"/>
      <c r="H16" s="2420"/>
      <c r="I16" s="1827"/>
    </row>
    <row r="17" spans="1:35" ht="15">
      <c r="A17" s="2421" t="s">
        <v>2139</v>
      </c>
      <c r="B17" s="63"/>
      <c r="C17" s="140">
        <f>SUM(C5:C16)</f>
        <v>4</v>
      </c>
      <c r="D17" s="140">
        <f>SUM(D5:D16)</f>
        <v>6</v>
      </c>
      <c r="E17" s="137"/>
      <c r="F17" s="137"/>
      <c r="G17" s="137"/>
      <c r="H17" s="137"/>
      <c r="I17" s="137"/>
      <c r="K17" s="2419"/>
      <c r="L17" s="2422" t="s">
        <v>2140</v>
      </c>
      <c r="M17" s="2422" t="s">
        <v>2141</v>
      </c>
    </row>
    <row r="18" spans="1:35" ht="15.75" thickBot="1">
      <c r="A18" s="2423" t="s">
        <v>2142</v>
      </c>
      <c r="B18" s="2424"/>
      <c r="C18" s="141">
        <f>ROUND(C17/SUM(C17:D17),2)</f>
        <v>0.4</v>
      </c>
      <c r="D18" s="141">
        <f>1-C18</f>
        <v>0.6</v>
      </c>
      <c r="E18" s="137"/>
      <c r="F18" s="137"/>
      <c r="G18" s="137"/>
      <c r="H18" s="137"/>
      <c r="I18" s="137"/>
      <c r="K18" s="2419" t="s">
        <v>2143</v>
      </c>
      <c r="L18" s="2419">
        <f>IF(C1="",'数据-汇总表'!E3,SUMIF(项目类型,C1,'数据-汇总表'!E17:E26)+SUMIF(项目类型,C1,'数据-汇总表'!I17:I26))</f>
        <v>8479.4599999999919</v>
      </c>
      <c r="M18" s="2419">
        <f>IF(C1="",'数据-汇总表'!E3,SUMIF(项目类型,C1,'数据-汇总表'!E17:E26))</f>
        <v>8479.4599999999919</v>
      </c>
    </row>
    <row r="19" spans="1:35" ht="15">
      <c r="A19" s="2425" t="s">
        <v>2144</v>
      </c>
      <c r="B19" s="2426" t="s">
        <v>2145</v>
      </c>
      <c r="C19" s="142">
        <f ca="1">SUMIF(INDIRECT("'"&amp;C4&amp;"'"&amp;"!A:A"),'结果表（地下车库）'!B19,INDIRECT("'"&amp;C4&amp;"'"&amp;"!B:B"))</f>
        <v>4116</v>
      </c>
      <c r="D19" s="143">
        <f ca="1">SUMIF(INDIRECT("'"&amp;D4&amp;"'"&amp;"!A:A"),'结果表（地下车库）'!B19,INDIRECT("'"&amp;D4&amp;"'"&amp;"!B:B"))</f>
        <v>9129</v>
      </c>
      <c r="E19" s="2425" t="s">
        <v>2146</v>
      </c>
      <c r="F19" s="2426" t="s">
        <v>2145</v>
      </c>
      <c r="G19" s="144">
        <f ca="1">ROUND(C19*$C$18+D19*$D$18,0)</f>
        <v>7124</v>
      </c>
      <c r="H19" s="2427" t="s">
        <v>2147</v>
      </c>
      <c r="I19" s="137"/>
      <c r="K19" s="2419" t="s">
        <v>2148</v>
      </c>
      <c r="L19" s="2419">
        <f>IF(C1="",'数据-汇总表'!D3,SUMIF(项目类型,C1,'数据-汇总表'!D17:D26)+SUMIF(项目类型,C1,'数据-汇总表'!H17:H27))</f>
        <v>1692.87</v>
      </c>
      <c r="M19" s="2419">
        <f>IF(C1="",'数据-汇总表'!D3,SUMIF(项目类型,C1,'数据-汇总表'!D17:D26))</f>
        <v>1692.87</v>
      </c>
    </row>
    <row r="20" spans="1:35" ht="15">
      <c r="A20" s="2428"/>
      <c r="B20" s="1243" t="s">
        <v>2149</v>
      </c>
      <c r="C20" s="145">
        <f ca="1">SUMIF(INDIRECT("'"&amp;C4&amp;"'"&amp;"!A:A"),'结果表（地下车库）'!B20,INDIRECT("'"&amp;C4&amp;"'"&amp;"!B:B"))</f>
        <v>4854</v>
      </c>
      <c r="D20" s="146">
        <f ca="1">SUMIF(INDIRECT("'"&amp;D4&amp;"'"&amp;"!A:A"),'结果表（地下车库）'!B20,INDIRECT("'"&amp;D4&amp;"'"&amp;"!B:B"))</f>
        <v>10766</v>
      </c>
      <c r="E20" s="2428"/>
      <c r="F20" s="1243" t="s">
        <v>2149</v>
      </c>
      <c r="G20" s="147">
        <f ca="1">ROUND(C20*$C$18+D20*$D$18,0)</f>
        <v>8401</v>
      </c>
      <c r="H20" s="976" t="s">
        <v>2150</v>
      </c>
      <c r="I20" s="137"/>
    </row>
    <row r="21" spans="1:35" ht="15" customHeight="1" thickBot="1">
      <c r="A21" s="996"/>
      <c r="B21" s="2429" t="s">
        <v>2151</v>
      </c>
      <c r="C21" s="788">
        <f ca="1">ROUND(C19*10000/L19,0)</f>
        <v>24314</v>
      </c>
      <c r="D21" s="789">
        <f ca="1">ROUND(D19*10000/L19,0)</f>
        <v>53926</v>
      </c>
      <c r="E21" s="996"/>
      <c r="F21" s="2429" t="s">
        <v>2151</v>
      </c>
      <c r="G21" s="148">
        <f ca="1">ROUND(G19*10000/L19,0)</f>
        <v>42082</v>
      </c>
      <c r="H21" s="2430" t="s">
        <v>2150</v>
      </c>
      <c r="I21" s="137"/>
    </row>
    <row r="22" spans="1:35" ht="15" thickBot="1">
      <c r="A22" s="2273" t="s">
        <v>2152</v>
      </c>
      <c r="B22" s="2431"/>
      <c r="C22" s="2432"/>
      <c r="D22" s="790">
        <f ca="1">IF(C19&lt;D19,D19/C19-1,C19/D19-1)</f>
        <v>1.2179300291545188</v>
      </c>
      <c r="E22" s="137"/>
      <c r="F22" s="137"/>
      <c r="G22" s="137"/>
      <c r="H22" s="137"/>
      <c r="I22" s="137"/>
    </row>
    <row r="23" spans="1:35" ht="13.5" thickBot="1">
      <c r="A23" s="2409"/>
      <c r="B23" s="2409"/>
      <c r="C23" s="2409"/>
      <c r="D23" s="2409"/>
      <c r="E23" s="137"/>
      <c r="F23" s="137"/>
      <c r="G23" s="137"/>
      <c r="H23" s="137"/>
      <c r="I23" s="137"/>
    </row>
    <row r="24" spans="1:35" ht="14.25">
      <c r="A24" s="3217" t="s">
        <v>2153</v>
      </c>
      <c r="B24" s="2426" t="s">
        <v>2145</v>
      </c>
      <c r="C24" s="144">
        <f>IF(B30=0,0,D30)</f>
        <v>0</v>
      </c>
      <c r="D24" s="2433"/>
      <c r="E24" s="137"/>
      <c r="F24" s="137"/>
      <c r="G24" s="137"/>
      <c r="H24" s="137"/>
      <c r="I24" s="137"/>
    </row>
    <row r="25" spans="1:35" ht="14.25">
      <c r="A25" s="3218"/>
      <c r="B25" s="1243" t="s">
        <v>2149</v>
      </c>
      <c r="C25" s="149">
        <f>IF(B30=0,0,C30)</f>
        <v>0</v>
      </c>
      <c r="D25" s="2434"/>
      <c r="E25" s="137"/>
      <c r="F25" s="137"/>
      <c r="G25" s="137"/>
      <c r="H25" s="137"/>
      <c r="I25" s="137"/>
    </row>
    <row r="26" spans="1:35" ht="13.5" customHeight="1">
      <c r="A26" s="2435" t="s">
        <v>2154</v>
      </c>
      <c r="B26" s="150" t="s">
        <v>2155</v>
      </c>
      <c r="C26" s="150" t="s">
        <v>2156</v>
      </c>
      <c r="D26" s="151" t="s">
        <v>2157</v>
      </c>
      <c r="E26" s="137"/>
      <c r="F26" s="137"/>
      <c r="G26" s="137"/>
      <c r="H26" s="137"/>
      <c r="I26" s="137"/>
    </row>
    <row r="27" spans="1:35" ht="14.25">
      <c r="A27" s="2435"/>
      <c r="B27" s="150">
        <v>0</v>
      </c>
      <c r="C27" s="150">
        <v>0</v>
      </c>
      <c r="D27" s="151">
        <f>ROUND(C27*B27/10000,0)</f>
        <v>0</v>
      </c>
      <c r="E27" s="137"/>
      <c r="F27" s="137"/>
      <c r="G27" s="137"/>
      <c r="H27" s="137"/>
      <c r="I27" s="137"/>
    </row>
    <row r="28" spans="1:35" ht="14.25">
      <c r="A28" s="2435"/>
      <c r="B28" s="150"/>
      <c r="C28" s="150"/>
      <c r="D28" s="151"/>
      <c r="E28" s="137"/>
      <c r="F28" s="137"/>
      <c r="G28" s="137"/>
      <c r="H28" s="137"/>
      <c r="I28" s="137"/>
    </row>
    <row r="29" spans="1:35" ht="14.25">
      <c r="A29" s="2435"/>
      <c r="B29" s="150"/>
      <c r="C29" s="150"/>
      <c r="D29" s="151"/>
      <c r="E29" s="137"/>
      <c r="F29" s="137"/>
      <c r="G29" s="137"/>
      <c r="H29" s="137"/>
      <c r="I29" s="137"/>
    </row>
    <row r="30" spans="1:35" ht="14.25">
      <c r="A30" s="150" t="s">
        <v>2158</v>
      </c>
      <c r="B30" s="150"/>
      <c r="C30" s="150"/>
      <c r="D30" s="150"/>
      <c r="E30" s="2918" t="s">
        <v>3040</v>
      </c>
      <c r="F30" s="137"/>
      <c r="G30" s="137"/>
      <c r="H30" s="137"/>
      <c r="I30" s="137"/>
    </row>
    <row r="31" spans="1:35" s="2437" customFormat="1" ht="15"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75" thickBot="1">
      <c r="A32" s="2438" t="s">
        <v>2159</v>
      </c>
      <c r="B32" s="2439"/>
      <c r="C32" s="152">
        <f ca="1">IF(D32="总价",G19-C24,G20-C25)</f>
        <v>7124</v>
      </c>
      <c r="D32" s="2440" t="s">
        <v>2160</v>
      </c>
      <c r="E32" s="137"/>
      <c r="F32" s="137"/>
      <c r="G32" s="137"/>
      <c r="H32" s="137"/>
      <c r="I32" s="137"/>
    </row>
    <row r="33" spans="1:15" ht="15">
      <c r="A33" s="953" t="s">
        <v>2161</v>
      </c>
      <c r="B33" s="2441"/>
      <c r="C33" s="2442" t="s">
        <v>3575</v>
      </c>
      <c r="D33" s="2443" t="s">
        <v>3567</v>
      </c>
      <c r="E33" s="2444" t="s">
        <v>2162</v>
      </c>
      <c r="F33" s="2970" t="str">
        <f>IF(D32="楼面单价","取值（单价）","取值（总价）")</f>
        <v>取值（总价）</v>
      </c>
      <c r="G33" s="137"/>
      <c r="H33" s="137"/>
      <c r="I33" s="137"/>
    </row>
    <row r="34" spans="1:15" ht="15">
      <c r="A34" s="2446"/>
      <c r="B34" s="2447" t="s">
        <v>2163</v>
      </c>
      <c r="C34" s="156">
        <f ca="1">IF(C33="自定义",F34,C32-C35)</f>
        <v>1888</v>
      </c>
      <c r="D34" s="1051">
        <f ca="1">IF(C33="自定义",ROUND(C34/C32,3),IF(C33="收益比率",SUMIF(INDIRECT("'"&amp;D33&amp;"'"&amp;"!b:b"),"土地收益比率",INDIRECT("'"&amp;D33&amp;"'"&amp;"!c:c")),SUMIF(INDIRECT("'"&amp;D33&amp;"'"&amp;"!b:b"),"土地成本比率",INDIRECT("'"&amp;D33&amp;"'"&amp;"!c:c"))))</f>
        <v>0.26500000000000001</v>
      </c>
      <c r="E34" s="2448" t="s">
        <v>2164</v>
      </c>
      <c r="F34" s="1732"/>
      <c r="G34" s="137"/>
      <c r="H34" s="137"/>
      <c r="I34" s="137"/>
    </row>
    <row r="35" spans="1:15" ht="15.75" thickBot="1">
      <c r="A35" s="2449"/>
      <c r="B35" s="2450" t="s">
        <v>2165</v>
      </c>
      <c r="C35" s="1437">
        <f ca="1">IF(C33="自定义",F35,ROUND(C32*D35,0))</f>
        <v>5236</v>
      </c>
      <c r="D35" s="1438">
        <f ca="1">IF(C33="自定义",ROUND(C35/C32,3),IF(C33="收益比率",SUMIF(INDIRECT("'"&amp;D33&amp;"'"&amp;"!b:b"),"建筑物收益比率",INDIRECT("'"&amp;D33&amp;"'"&amp;"!c:c")),SUMIF(INDIRECT("'"&amp;D33&amp;"'"&amp;"!b:b"),"建筑物成本比率",INDIRECT("'"&amp;D33&amp;"'"&amp;"!c:c"))))</f>
        <v>0.73499999999999999</v>
      </c>
      <c r="E35" s="2451" t="s">
        <v>2166</v>
      </c>
      <c r="F35" s="162"/>
      <c r="G35" s="137"/>
      <c r="H35" s="137"/>
      <c r="I35" s="137"/>
    </row>
    <row r="36" spans="1:15" ht="15.75" thickBot="1">
      <c r="A36" s="3197" t="s">
        <v>2167</v>
      </c>
      <c r="B36" s="2452" t="s">
        <v>2168</v>
      </c>
      <c r="C36" s="153"/>
      <c r="D36" s="2453"/>
      <c r="E36" s="2454"/>
      <c r="F36" s="2455"/>
      <c r="G36" s="137"/>
      <c r="H36" s="137"/>
      <c r="I36" s="137"/>
    </row>
    <row r="37" spans="1:15" ht="15.75" thickBot="1">
      <c r="A37" s="3198"/>
      <c r="B37" s="2259" t="s">
        <v>2169</v>
      </c>
      <c r="C37" s="155"/>
      <c r="D37" s="1388"/>
      <c r="E37" s="1388"/>
      <c r="F37" s="2455"/>
      <c r="G37" s="137"/>
      <c r="H37" s="137"/>
      <c r="I37" s="137"/>
    </row>
    <row r="38" spans="1:15" ht="15.75" thickBot="1">
      <c r="A38" s="3199"/>
      <c r="B38" s="2456" t="s">
        <v>2170</v>
      </c>
      <c r="C38" s="726"/>
      <c r="D38" s="2457" t="s">
        <v>2171</v>
      </c>
      <c r="E38" s="1388"/>
      <c r="F38" s="2455"/>
      <c r="G38" s="137"/>
      <c r="H38" s="137"/>
      <c r="I38" s="137"/>
    </row>
    <row r="39" spans="1:15" ht="15">
      <c r="A39" s="2428" t="s">
        <v>2172</v>
      </c>
      <c r="B39" s="2458" t="s">
        <v>2155</v>
      </c>
      <c r="C39" s="2459" t="s">
        <v>2156</v>
      </c>
      <c r="D39" s="2459" t="s">
        <v>2175</v>
      </c>
      <c r="E39" s="2460" t="s">
        <v>2157</v>
      </c>
      <c r="F39" s="2455"/>
      <c r="G39" s="137"/>
      <c r="H39" s="137"/>
      <c r="I39" s="137"/>
    </row>
    <row r="40" spans="1:15" ht="14.25">
      <c r="A40" s="2461" t="s">
        <v>2177</v>
      </c>
      <c r="B40" s="157"/>
      <c r="C40" s="158"/>
      <c r="D40" s="158"/>
      <c r="E40" s="159"/>
      <c r="F40" s="2455"/>
      <c r="G40" s="137"/>
      <c r="H40" s="137"/>
      <c r="I40" s="137"/>
    </row>
    <row r="41" spans="1:15" ht="14.25">
      <c r="A41" s="2461" t="s">
        <v>2178</v>
      </c>
      <c r="B41" s="157"/>
      <c r="C41" s="158"/>
      <c r="D41" s="158"/>
      <c r="E41" s="159"/>
      <c r="F41" s="2455"/>
      <c r="G41" s="137"/>
      <c r="H41" s="137"/>
      <c r="I41" s="137"/>
    </row>
    <row r="42" spans="1:15" ht="15" thickBot="1">
      <c r="A42" s="2462"/>
      <c r="B42" s="160"/>
      <c r="C42" s="161"/>
      <c r="D42" s="161"/>
      <c r="E42" s="162"/>
      <c r="F42" s="2455"/>
      <c r="G42" s="137"/>
      <c r="H42" s="137"/>
      <c r="I42" s="137"/>
    </row>
    <row r="43" spans="1:15" ht="12.75">
      <c r="A43" s="2158"/>
      <c r="B43" s="2158"/>
      <c r="C43" s="2158"/>
      <c r="D43" s="2158"/>
      <c r="E43" s="2158"/>
      <c r="F43" s="2463"/>
      <c r="G43" s="2463"/>
      <c r="H43" s="2463"/>
      <c r="I43" s="2464"/>
    </row>
    <row r="44" spans="1:15" ht="18.75">
      <c r="A44" s="2465" t="s">
        <v>2179</v>
      </c>
      <c r="B44" s="2466"/>
      <c r="C44" s="2466"/>
      <c r="D44" s="2467"/>
      <c r="E44" s="2467"/>
      <c r="F44" s="2468"/>
      <c r="G44" s="2468"/>
      <c r="H44" s="2468"/>
      <c r="I44" s="2468"/>
      <c r="J44" s="2469" t="s">
        <v>2180</v>
      </c>
      <c r="K44" s="2470"/>
      <c r="L44" s="2470"/>
      <c r="M44" s="2470"/>
      <c r="N44" s="2470"/>
      <c r="O44" s="2470"/>
    </row>
    <row r="45" spans="1:15" ht="14.25" customHeight="1" thickBot="1">
      <c r="A45" s="3214" t="s">
        <v>2181</v>
      </c>
      <c r="B45" s="3215"/>
      <c r="C45" s="3216"/>
      <c r="D45" s="163">
        <f ca="1">ROUND(H101*F45,0)</f>
        <v>7124</v>
      </c>
      <c r="E45" s="164" t="s">
        <v>2182</v>
      </c>
      <c r="F45" s="165">
        <v>1</v>
      </c>
      <c r="G45" s="166" t="s">
        <v>2183</v>
      </c>
      <c r="H45" s="137"/>
      <c r="I45" s="137"/>
      <c r="J45" s="3133" t="s">
        <v>2184</v>
      </c>
      <c r="K45" s="3133"/>
      <c r="L45" s="3133"/>
      <c r="M45" s="3133"/>
      <c r="N45" s="3133"/>
      <c r="O45" s="3133"/>
    </row>
    <row r="46" spans="1:15" ht="14.25" customHeight="1">
      <c r="A46" s="3211" t="s">
        <v>2185</v>
      </c>
      <c r="B46" s="3212"/>
      <c r="C46" s="3212"/>
      <c r="D46" s="3212"/>
      <c r="E46" s="3212"/>
      <c r="F46" s="3212"/>
      <c r="G46" s="3213"/>
      <c r="H46" s="2471"/>
      <c r="I46" s="167"/>
      <c r="J46" s="2982">
        <v>1</v>
      </c>
      <c r="K46" s="3133" t="s">
        <v>2186</v>
      </c>
      <c r="L46" s="3133"/>
      <c r="M46" s="3134"/>
      <c r="N46" s="3134"/>
      <c r="O46" s="3134"/>
    </row>
    <row r="47" spans="1:15" ht="12" customHeight="1">
      <c r="A47" s="168" t="s">
        <v>2187</v>
      </c>
      <c r="B47" s="169"/>
      <c r="C47" s="170"/>
      <c r="D47" s="171" t="s">
        <v>2188</v>
      </c>
      <c r="E47" s="23" t="s">
        <v>2189</v>
      </c>
      <c r="F47" s="172" t="s">
        <v>2190</v>
      </c>
      <c r="G47" s="173" t="s">
        <v>2191</v>
      </c>
      <c r="H47" s="2471"/>
      <c r="I47" s="167"/>
      <c r="J47" s="2982">
        <v>2</v>
      </c>
      <c r="K47" s="3133" t="s">
        <v>2192</v>
      </c>
      <c r="L47" s="3133"/>
      <c r="M47" s="3135">
        <f>'数据-取费表'!B2</f>
        <v>43182</v>
      </c>
      <c r="N47" s="3135"/>
      <c r="O47" s="3135"/>
    </row>
    <row r="48" spans="1:15" ht="25.5">
      <c r="A48" s="3201" t="s">
        <v>2193</v>
      </c>
      <c r="B48" s="3202"/>
      <c r="C48" s="3202"/>
      <c r="D48" s="139">
        <f>IF(H48="情况1",0,IF(H48="情况2",D52,IF(H48="情况3",D53,IF(H48="情况4",D54))))</f>
        <v>0</v>
      </c>
      <c r="E48" s="2974" t="str">
        <f>IF(H48="情况4","(销售额-原购置价)×税（费）率","销售额×税（费）率")</f>
        <v>销售额×税（费）率</v>
      </c>
      <c r="F48" s="174" t="str">
        <f>IF(H48="情况1","免征",'数据-取费表'!B41)</f>
        <v>免征</v>
      </c>
      <c r="G48" s="2472" t="s">
        <v>2194</v>
      </c>
      <c r="H48" s="2473" t="s">
        <v>2195</v>
      </c>
      <c r="I48" s="2471"/>
      <c r="J48" s="2982">
        <v>3</v>
      </c>
      <c r="K48" s="3133" t="s">
        <v>2196</v>
      </c>
      <c r="L48" s="3133"/>
      <c r="M48" s="3136">
        <f ca="1">H101</f>
        <v>7124</v>
      </c>
      <c r="N48" s="3136"/>
      <c r="O48" s="3136"/>
    </row>
    <row r="49" spans="1:35" ht="25.5" customHeight="1">
      <c r="A49" s="175" t="s">
        <v>2197</v>
      </c>
      <c r="B49" s="3181" t="s">
        <v>2198</v>
      </c>
      <c r="C49" s="3181"/>
      <c r="D49" s="176">
        <v>0</v>
      </c>
      <c r="E49" s="22" t="s">
        <v>2199</v>
      </c>
      <c r="F49" s="27" t="s">
        <v>34</v>
      </c>
      <c r="G49" s="3162"/>
      <c r="H49" s="137"/>
      <c r="I49" s="2474"/>
      <c r="J49" s="2982">
        <v>4</v>
      </c>
      <c r="K49" s="3133" t="str">
        <f>IF(项目基本情况!E8="房地产抵押价值","房地产抵押价值","抵押担保权已注销时的房地产抵押价值")</f>
        <v>抵押担保权已注销时的房地产抵押价值</v>
      </c>
      <c r="L49" s="3133"/>
      <c r="M49" s="3136">
        <f ca="1">IF(项目基本情况!E8="房地产抵押价值",H107,H109)</f>
        <v>7124</v>
      </c>
      <c r="N49" s="3136"/>
      <c r="O49" s="3136"/>
    </row>
    <row r="50" spans="1:35" ht="25.5" customHeight="1">
      <c r="A50" s="177"/>
      <c r="B50" s="3181" t="s">
        <v>2200</v>
      </c>
      <c r="C50" s="3181"/>
      <c r="D50" s="178"/>
      <c r="E50" s="30"/>
      <c r="F50" s="179"/>
      <c r="G50" s="3163"/>
      <c r="H50" s="137"/>
      <c r="I50" s="2474"/>
      <c r="J50" s="3133" t="s">
        <v>2201</v>
      </c>
      <c r="K50" s="3133"/>
      <c r="L50" s="3133"/>
      <c r="M50" s="3133"/>
      <c r="N50" s="3133"/>
      <c r="O50" s="3133"/>
    </row>
    <row r="51" spans="1:35" ht="12" customHeight="1">
      <c r="A51" s="180"/>
      <c r="B51" s="3181" t="s">
        <v>2202</v>
      </c>
      <c r="C51" s="3181"/>
      <c r="D51" s="181"/>
      <c r="E51" s="29"/>
      <c r="F51" s="179"/>
      <c r="G51" s="3164"/>
      <c r="H51" s="137"/>
      <c r="I51" s="2474"/>
      <c r="J51" s="2981" t="s">
        <v>2203</v>
      </c>
      <c r="K51" s="3133" t="s">
        <v>2204</v>
      </c>
      <c r="L51" s="3133"/>
      <c r="M51" s="2981" t="s">
        <v>2205</v>
      </c>
      <c r="N51" s="2981" t="s">
        <v>2206</v>
      </c>
      <c r="O51" s="2981" t="s">
        <v>2207</v>
      </c>
    </row>
    <row r="52" spans="1:35" ht="24" customHeight="1">
      <c r="A52" s="182" t="s">
        <v>2208</v>
      </c>
      <c r="B52" s="3181" t="s">
        <v>2209</v>
      </c>
      <c r="C52" s="3181"/>
      <c r="D52" s="181">
        <f ca="1">ROUND(D45*'数据-取费表'!B41/(1+'数据-取费表'!C42),0)</f>
        <v>373</v>
      </c>
      <c r="E52" s="11" t="s">
        <v>2210</v>
      </c>
      <c r="F52" s="183">
        <f>'数据-取费表'!B41</f>
        <v>5.5000000000000007E-2</v>
      </c>
      <c r="G52" s="2476"/>
      <c r="H52" s="137"/>
      <c r="I52" s="2474"/>
      <c r="J52" s="2982">
        <v>1</v>
      </c>
      <c r="K52" s="3156" t="s">
        <v>2211</v>
      </c>
      <c r="L52" s="3156"/>
      <c r="M52" s="1747">
        <f>D48</f>
        <v>0</v>
      </c>
      <c r="N52" s="2982" t="str">
        <f>E48</f>
        <v>销售额×税（费）率</v>
      </c>
      <c r="O52" s="1748" t="str">
        <f>F48</f>
        <v>免征</v>
      </c>
    </row>
    <row r="53" spans="1:35" ht="12" customHeight="1">
      <c r="A53" s="182" t="s">
        <v>2212</v>
      </c>
      <c r="B53" s="3182" t="s">
        <v>2213</v>
      </c>
      <c r="C53" s="3183"/>
      <c r="D53" s="181">
        <f ca="1">ROUND(D45*'数据-取费表'!B41/(1+'数据-取费表'!C42),0)</f>
        <v>373</v>
      </c>
      <c r="E53" s="11" t="s">
        <v>2210</v>
      </c>
      <c r="F53" s="183">
        <f>'数据-取费表'!B41</f>
        <v>5.5000000000000007E-2</v>
      </c>
      <c r="G53" s="2476"/>
      <c r="H53" s="137"/>
      <c r="I53" s="2474"/>
      <c r="J53" s="2982">
        <v>2</v>
      </c>
      <c r="K53" s="3156" t="s">
        <v>2214</v>
      </c>
      <c r="L53" s="3156"/>
      <c r="M53" s="1747">
        <f t="shared" ref="M53:O54" ca="1" si="0">D55</f>
        <v>4</v>
      </c>
      <c r="N53" s="2982" t="str">
        <f t="shared" si="0"/>
        <v>销售额×税（费）率</v>
      </c>
      <c r="O53" s="1748">
        <f t="shared" si="0"/>
        <v>5.0000000000000001E-4</v>
      </c>
    </row>
    <row r="54" spans="1:35" ht="12" customHeight="1">
      <c r="A54" s="182" t="s">
        <v>2215</v>
      </c>
      <c r="B54" s="3182" t="s">
        <v>2216</v>
      </c>
      <c r="C54" s="3183"/>
      <c r="D54" s="181">
        <f ca="1">C68</f>
        <v>373</v>
      </c>
      <c r="E54" s="29" t="s">
        <v>2217</v>
      </c>
      <c r="F54" s="183">
        <f>'数据-取费表'!B41</f>
        <v>5.5000000000000007E-2</v>
      </c>
      <c r="G54" s="2476"/>
      <c r="H54" s="2477"/>
      <c r="I54" s="2474"/>
      <c r="J54" s="2982">
        <v>3</v>
      </c>
      <c r="K54" s="3156" t="s">
        <v>2218</v>
      </c>
      <c r="L54" s="3156"/>
      <c r="M54" s="1747">
        <f t="shared" ca="1" si="0"/>
        <v>4039</v>
      </c>
      <c r="N54" s="2982" t="str">
        <f t="shared" si="0"/>
        <v>增值额×税（费）率</v>
      </c>
      <c r="O54" s="1749" t="str">
        <f t="shared" si="0"/>
        <v>——</v>
      </c>
    </row>
    <row r="55" spans="1:35" ht="24" customHeight="1">
      <c r="A55" s="3220" t="s">
        <v>2219</v>
      </c>
      <c r="B55" s="3202"/>
      <c r="C55" s="3202"/>
      <c r="D55" s="184">
        <f ca="1">IF(H55="个人住宅",0,ROUND(D45*I55,0))</f>
        <v>4</v>
      </c>
      <c r="E55" s="11" t="s">
        <v>2220</v>
      </c>
      <c r="F55" s="183">
        <f>IF(H55="正常",I55,"免征")</f>
        <v>5.0000000000000001E-4</v>
      </c>
      <c r="G55" s="2476"/>
      <c r="H55" s="2473" t="s">
        <v>2221</v>
      </c>
      <c r="I55" s="185">
        <f>'数据-取费表'!B49</f>
        <v>5.0000000000000001E-4</v>
      </c>
      <c r="J55" s="2982" t="str">
        <f>IF(H59="非个人房产","",4)</f>
        <v/>
      </c>
      <c r="K55" s="3156" t="str">
        <f>IF(H59="非个人房产","——","个人所得税")</f>
        <v>——</v>
      </c>
      <c r="L55" s="3156"/>
      <c r="M55" s="1750" t="str">
        <f>D59</f>
        <v>——</v>
      </c>
      <c r="N55" s="2983" t="str">
        <f>E59</f>
        <v>——</v>
      </c>
      <c r="O55" s="1751" t="str">
        <f>F59</f>
        <v>——</v>
      </c>
    </row>
    <row r="56" spans="1:35" ht="24.75">
      <c r="A56" s="3220" t="s">
        <v>2222</v>
      </c>
      <c r="B56" s="3202"/>
      <c r="C56" s="3202"/>
      <c r="D56" s="184">
        <f ca="1">IF(H56="个人住宅",D57,D58)</f>
        <v>4039</v>
      </c>
      <c r="E56" s="11" t="s">
        <v>2223</v>
      </c>
      <c r="F56" s="183" t="str">
        <f>IF(H56="正常",F58,"免征")</f>
        <v>——</v>
      </c>
      <c r="G56" s="2478" t="s">
        <v>2224</v>
      </c>
      <c r="H56" s="2479" t="s">
        <v>2221</v>
      </c>
      <c r="I56" s="2480"/>
      <c r="J56" s="2982" t="str">
        <f>IF(项目基本情况!K6="上海银行",IF(J55="",4,J55+1),"")</f>
        <v/>
      </c>
      <c r="K56" s="3139" t="str">
        <f>IF(项目基本情况!K6="上海银行","其他处置费用","")</f>
        <v/>
      </c>
      <c r="L56" s="3140"/>
      <c r="M56" s="1747" t="str">
        <f>IF(项目基本情况!K6="上海银行",M69,"")</f>
        <v/>
      </c>
      <c r="N56" s="3142" t="str">
        <f>IF(项目基本情况!K6="上海银行","包含处置中涉及的律师、诉讼、拍卖、评估等费用","")</f>
        <v/>
      </c>
      <c r="O56" s="3143"/>
    </row>
    <row r="57" spans="1:35" ht="12.75">
      <c r="A57" s="182" t="s">
        <v>2197</v>
      </c>
      <c r="B57" s="3187" t="s">
        <v>2225</v>
      </c>
      <c r="C57" s="3188"/>
      <c r="D57" s="186">
        <v>0</v>
      </c>
      <c r="E57" s="22" t="s">
        <v>2199</v>
      </c>
      <c r="F57" s="154"/>
      <c r="G57" s="2476"/>
      <c r="H57" s="2480"/>
      <c r="I57" s="2480"/>
      <c r="J57" s="3156">
        <f>IF(AND(J55="",J56=""),4,IF(项目基本情况!K6="上海银行",'结果表（地下车库）'!J56+1,'结果表（地下车库）'!J55+1))</f>
        <v>4</v>
      </c>
      <c r="K57" s="3156" t="s">
        <v>2226</v>
      </c>
      <c r="L57" s="2481" t="s">
        <v>2227</v>
      </c>
      <c r="M57" s="1752"/>
      <c r="N57" s="1753">
        <f ca="1">SUMIF(M52:M56,"&lt;9e307")</f>
        <v>4043</v>
      </c>
      <c r="O57" s="2482"/>
      <c r="P57" s="1746">
        <f ca="1">N57/M49</f>
        <v>0.56751824817518248</v>
      </c>
    </row>
    <row r="58" spans="1:35" ht="24.75">
      <c r="A58" s="182" t="s">
        <v>2208</v>
      </c>
      <c r="B58" s="3187" t="s">
        <v>2228</v>
      </c>
      <c r="C58" s="3200"/>
      <c r="D58" s="184">
        <f ca="1">IF(H58="转让取得",C81,C97)</f>
        <v>4039</v>
      </c>
      <c r="E58" s="11" t="s">
        <v>2223</v>
      </c>
      <c r="F58" s="23" t="s">
        <v>34</v>
      </c>
      <c r="G58" s="2476"/>
      <c r="H58" s="2479" t="s">
        <v>2229</v>
      </c>
      <c r="I58" s="2480"/>
      <c r="J58" s="3156"/>
      <c r="K58" s="3156"/>
      <c r="L58" s="2481" t="s">
        <v>2230</v>
      </c>
      <c r="M58" s="1754"/>
      <c r="N58" s="2483" t="str">
        <f ca="1">NUMBERSTRING(INT(N57*10000),2)&amp;"元整"</f>
        <v>肆仟零肆拾叁万元整</v>
      </c>
      <c r="O58" s="2484"/>
    </row>
    <row r="59" spans="1:35" ht="24.75" thickBot="1">
      <c r="A59" s="3160" t="s">
        <v>2231</v>
      </c>
      <c r="B59" s="3161"/>
      <c r="C59" s="3161"/>
      <c r="D59" s="187" t="str">
        <f>IF(H59="非个人房产","——",IF(H59="个人住宅",0,ROUND(D45*I59,0)))</f>
        <v>——</v>
      </c>
      <c r="E59" s="188" t="str">
        <f>IF(H59="非个人房产","——","销售额×税（费）率")</f>
        <v>——</v>
      </c>
      <c r="F59" s="189" t="str">
        <f>IF(H59="非个人房产","——",IF(H59="个人住宅","免征",I59))</f>
        <v>——</v>
      </c>
      <c r="G59" s="2485" t="s">
        <v>2224</v>
      </c>
      <c r="H59" s="2479" t="s">
        <v>2232</v>
      </c>
      <c r="I59" s="190">
        <v>0.01</v>
      </c>
      <c r="J59" s="3158">
        <f>J57+1</f>
        <v>5</v>
      </c>
      <c r="K59" s="3156" t="s">
        <v>2233</v>
      </c>
      <c r="L59" s="2982" t="s">
        <v>2227</v>
      </c>
      <c r="M59" s="1755"/>
      <c r="N59" s="1756">
        <f ca="1">M49-N57</f>
        <v>3081</v>
      </c>
      <c r="O59" s="2486"/>
    </row>
    <row r="60" spans="1:35" ht="12" customHeight="1">
      <c r="A60" s="2487"/>
      <c r="B60" s="2409"/>
      <c r="C60" s="2409"/>
      <c r="D60" s="2409"/>
      <c r="E60" s="2159"/>
      <c r="F60" s="2480"/>
      <c r="G60" s="2480"/>
      <c r="H60" s="2488"/>
      <c r="I60" s="137"/>
      <c r="J60" s="3159"/>
      <c r="K60" s="3156"/>
      <c r="L60" s="2481" t="s">
        <v>2230</v>
      </c>
      <c r="M60" s="1754"/>
      <c r="N60" s="2483" t="str">
        <f ca="1">NUMBERSTRING(INT(N59*10000),2)&amp;"元整"</f>
        <v>叁仟零捌拾壹万元整</v>
      </c>
      <c r="O60" s="2484"/>
    </row>
    <row r="61" spans="1:35" ht="13.5" thickBot="1">
      <c r="A61" s="3219" t="s">
        <v>2234</v>
      </c>
      <c r="B61" s="3219"/>
      <c r="C61" s="3219"/>
      <c r="D61" s="3219"/>
      <c r="E61" s="3219"/>
      <c r="F61" s="2480"/>
      <c r="G61" s="2480"/>
      <c r="H61" s="2488"/>
      <c r="I61" s="137"/>
      <c r="J61" s="2982">
        <f>J59+1</f>
        <v>6</v>
      </c>
      <c r="K61" s="3156" t="s">
        <v>2235</v>
      </c>
      <c r="L61" s="3156"/>
      <c r="M61" s="1757"/>
      <c r="N61" s="1758">
        <f ca="1">ROUND(N59*10000/'数据-汇总表'!E3,0)</f>
        <v>639</v>
      </c>
      <c r="O61" s="2489"/>
    </row>
    <row r="62" spans="1:35" ht="12.75">
      <c r="A62" s="3176" t="s">
        <v>2236</v>
      </c>
      <c r="B62" s="3177"/>
      <c r="C62" s="2977"/>
      <c r="D62" s="2977" t="s">
        <v>2237</v>
      </c>
      <c r="E62" s="191" t="s">
        <v>2238</v>
      </c>
      <c r="F62" s="2480"/>
      <c r="G62" s="2480"/>
      <c r="H62" s="2488"/>
      <c r="I62" s="137"/>
    </row>
    <row r="63" spans="1:35" ht="12.75">
      <c r="A63" s="202" t="s">
        <v>775</v>
      </c>
      <c r="B63" s="192" t="s">
        <v>2239</v>
      </c>
      <c r="C63" s="193">
        <f ca="1">ROUND((C64+C65)/(1+'数据-取费表'!C42),0)</f>
        <v>6785</v>
      </c>
      <c r="D63" s="194"/>
      <c r="E63" s="195"/>
      <c r="F63" s="2480"/>
      <c r="G63" s="2480"/>
      <c r="H63" s="2488"/>
      <c r="I63" s="137"/>
      <c r="J63" s="3141" t="s">
        <v>2240</v>
      </c>
      <c r="K63" s="2986" t="s">
        <v>2241</v>
      </c>
      <c r="L63" s="1745">
        <f ca="1">IF(M49&gt;10000,M49*0.5%,IF(AND(M49&gt;1000,M49&lt;=10000),M49*1%,IF(AND(M49&gt;100,M49&lt;=1000),M49*3%,IF(AND(M49&gt;10,M49&lt;=100),M49*5%,M49*8%))))</f>
        <v>71.239999999999995</v>
      </c>
      <c r="M63" s="23">
        <f ca="1">ROUND(L63,1)</f>
        <v>71.2</v>
      </c>
      <c r="Z63" s="2414"/>
      <c r="AI63" s="2415"/>
    </row>
    <row r="64" spans="1:35" ht="14.25" customHeight="1">
      <c r="A64" s="196" t="s">
        <v>770</v>
      </c>
      <c r="B64" s="197" t="s">
        <v>2242</v>
      </c>
      <c r="C64" s="198">
        <f ca="1">D45</f>
        <v>7124</v>
      </c>
      <c r="D64" s="199" t="s">
        <v>32</v>
      </c>
      <c r="E64" s="200"/>
      <c r="F64" s="2480"/>
      <c r="G64" s="2480"/>
      <c r="H64" s="2488"/>
      <c r="I64" s="137"/>
      <c r="J64" s="3141"/>
      <c r="K64" s="2986" t="s">
        <v>2243</v>
      </c>
      <c r="L64" s="1745">
        <f ca="1">IF(M49&gt;2000,M49*0.5%,IF(AND(M49&gt;1000,M49&lt;=2000),M49*0.6%,IF(AND(M49&gt;500,M49&lt;=1000),M49*0.7%,IF(AND(M49&gt;200,M49&lt;=500),M49*0.8%,IF(AND(M49&gt;100,M49&lt;=200),M49*0.9%,IF(AND(M49&gt;50,M49&lt;=100),M49*1%,IF(AND(M49&gt;20,M49&lt;=50),M49*1.5%,IF(AND(M49&gt;10,M49&lt;=20),M49*2%,IF(AND(M49&gt;1,M49&lt;=10),M49*2.5%)))))))))</f>
        <v>35.619999999999997</v>
      </c>
      <c r="M64" s="23">
        <f t="shared" ref="M64:M65" ca="1" si="1">ROUND(L64,1)</f>
        <v>35.6</v>
      </c>
      <c r="N64" s="137" t="s">
        <v>2244</v>
      </c>
      <c r="Z64" s="2414"/>
      <c r="AI64" s="2415"/>
    </row>
    <row r="65" spans="1:35" ht="14.25" customHeight="1">
      <c r="A65" s="196" t="s">
        <v>771</v>
      </c>
      <c r="B65" s="197" t="s">
        <v>2245</v>
      </c>
      <c r="C65" s="201"/>
      <c r="D65" s="199"/>
      <c r="E65" s="200"/>
      <c r="F65" s="2480"/>
      <c r="G65" s="2480"/>
      <c r="H65" s="2488"/>
      <c r="I65" s="137"/>
      <c r="J65" s="3141"/>
      <c r="K65" s="2986" t="s">
        <v>2246</v>
      </c>
      <c r="L65" s="1745">
        <f ca="1">IF(M49&gt;1000,M49*0.1%,IF(AND(M49&gt;500,M49&lt;=1000),M49*0.5%,IF(AND(M49&gt;50,M49&lt;=500),M49*1%,IF(AND(M49&gt;1,M49&lt;=50),M49*1.5%))))</f>
        <v>7.1240000000000006</v>
      </c>
      <c r="M65" s="23">
        <f t="shared" ca="1" si="1"/>
        <v>7.1</v>
      </c>
      <c r="N65" s="137" t="s">
        <v>2244</v>
      </c>
      <c r="Z65" s="2414"/>
      <c r="AI65" s="2415"/>
    </row>
    <row r="66" spans="1:35" ht="14.25" customHeight="1">
      <c r="A66" s="202" t="s">
        <v>772</v>
      </c>
      <c r="B66" s="203" t="s">
        <v>2247</v>
      </c>
      <c r="C66" s="204"/>
      <c r="D66" s="205" t="s">
        <v>32</v>
      </c>
      <c r="E66" s="1769" t="s">
        <v>1371</v>
      </c>
      <c r="F66" s="2480"/>
      <c r="G66" s="2480"/>
      <c r="H66" s="2488"/>
      <c r="I66" s="137"/>
      <c r="J66" s="3141"/>
      <c r="K66" s="2986" t="s">
        <v>2248</v>
      </c>
      <c r="L66" s="1745">
        <f ca="1">M49*0.5%</f>
        <v>35.619999999999997</v>
      </c>
      <c r="M66" s="23">
        <f ca="1">IF(L66&gt;0.5,0.5,ROUND(L66,0))</f>
        <v>0.5</v>
      </c>
      <c r="N66" s="137" t="s">
        <v>2249</v>
      </c>
      <c r="Z66" s="2414"/>
      <c r="AI66" s="2415"/>
    </row>
    <row r="67" spans="1:35" ht="14.25" customHeight="1">
      <c r="A67" s="202" t="s">
        <v>773</v>
      </c>
      <c r="B67" s="203" t="s">
        <v>2250</v>
      </c>
      <c r="C67" s="206">
        <f ca="1">C63-C66</f>
        <v>6785</v>
      </c>
      <c r="D67" s="199" t="s">
        <v>32</v>
      </c>
      <c r="E67" s="200"/>
      <c r="F67" s="2480"/>
      <c r="G67" s="2480"/>
      <c r="H67" s="2488"/>
      <c r="I67" s="137"/>
      <c r="J67" s="3141"/>
      <c r="K67" s="2986" t="s">
        <v>2251</v>
      </c>
      <c r="L67" s="1745">
        <f ca="1">IF(M49&gt;=10000,(8.25+(M49-10000)*0.01%),IF(AND(M49&gt;=8000,M49&lt;10000),(7.85+(M49-8000)*0.02%),IF(AND(M49&gt;=5000,M49&lt;8000),(6.65+(M49-5000)*0.04%),IF(AND(M49&gt;=2000,M49&lt;5000),(4.25+(PM49-2000)*0.08%),IF(AND(M49&gt;=1000,M49&lt;2000),(2.75+(M49-1000)*0.15%),IF(AND(M49&gt;=100,M49&lt;1000),(0.5+(M49-100)*0.25%),IF(AND(M49&gt;0,M49&lt;100),M49*0.5%)))))))</f>
        <v>7.4996</v>
      </c>
      <c r="M67" s="23">
        <f ca="1">ROUND(L67*0.9,1)</f>
        <v>6.7</v>
      </c>
      <c r="Z67" s="2414"/>
      <c r="AI67" s="2415"/>
    </row>
    <row r="68" spans="1:35" ht="14.25" customHeight="1" thickBot="1">
      <c r="A68" s="207" t="s">
        <v>774</v>
      </c>
      <c r="B68" s="208" t="s">
        <v>2252</v>
      </c>
      <c r="C68" s="209">
        <f ca="1">IF(C67&lt;=0,0,ROUND(C67*D68,0))</f>
        <v>373</v>
      </c>
      <c r="D68" s="210">
        <f>'数据-取费表'!B41</f>
        <v>5.5000000000000007E-2</v>
      </c>
      <c r="E68" s="211"/>
      <c r="F68" s="2480"/>
      <c r="G68" s="2480"/>
      <c r="H68" s="2488"/>
      <c r="I68" s="137"/>
      <c r="J68" s="3141"/>
      <c r="K68" s="2986" t="s">
        <v>2253</v>
      </c>
      <c r="L68" s="1745">
        <f ca="1">IF(M49&gt;10000,M49*0.5%,IF(AND(M49&gt;5000,M49&lt;=10000),M49*1%,IF(AND(M49&gt;1000,M49&lt;=5000),M49*2%,IF(AND(M49&gt;200,M49&lt;=1000),M49*3%,M49*5%))))</f>
        <v>71.239999999999995</v>
      </c>
      <c r="M68" s="23">
        <f ca="1">ROUND(L68,1)</f>
        <v>71.2</v>
      </c>
      <c r="Z68" s="2414"/>
      <c r="AI68" s="2415"/>
    </row>
    <row r="69" spans="1:35" s="2437" customFormat="1" ht="16.5" customHeight="1">
      <c r="A69" s="2491"/>
      <c r="B69" s="2492"/>
      <c r="C69" s="2493"/>
      <c r="D69" s="2494"/>
      <c r="E69" s="2495"/>
      <c r="F69" s="2159"/>
      <c r="G69" s="2159"/>
      <c r="H69" s="2158"/>
      <c r="I69" s="2409"/>
      <c r="J69" s="3141"/>
      <c r="K69" s="2986" t="s">
        <v>2254</v>
      </c>
      <c r="L69" s="2496"/>
      <c r="M69" s="23">
        <f ca="1">ROUND(SUM(M63:M68),0)</f>
        <v>192</v>
      </c>
      <c r="N69" s="1746">
        <f ca="1">M69/M49</f>
        <v>2.695115103874228E-2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5" thickBot="1">
      <c r="A70" s="3185" t="s">
        <v>2255</v>
      </c>
      <c r="B70" s="3186"/>
      <c r="C70" s="3186"/>
      <c r="D70" s="3186"/>
      <c r="E70" s="3186"/>
      <c r="F70" s="3186"/>
      <c r="G70" s="3186"/>
      <c r="H70" s="3186"/>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76" t="s">
        <v>2236</v>
      </c>
      <c r="B71" s="3177"/>
      <c r="C71" s="2977"/>
      <c r="D71" s="2977"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2" t="s">
        <v>775</v>
      </c>
      <c r="B72" s="203" t="s">
        <v>2256</v>
      </c>
      <c r="C72" s="206">
        <f ca="1">ROUND(D45/(1+'数据-取费表'!C42),0)</f>
        <v>6785</v>
      </c>
      <c r="D72" s="199" t="s">
        <v>32</v>
      </c>
      <c r="E72" s="2976"/>
      <c r="F72" s="2971"/>
      <c r="G72" s="2971"/>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2" t="s">
        <v>772</v>
      </c>
      <c r="B73" s="172" t="s">
        <v>2257</v>
      </c>
      <c r="C73" s="206">
        <f ca="1">C74+C78</f>
        <v>34</v>
      </c>
      <c r="D73" s="199" t="s">
        <v>32</v>
      </c>
      <c r="E73" s="2976"/>
      <c r="F73" s="2971"/>
      <c r="G73" s="2971"/>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2976"/>
      <c r="F74" s="2971"/>
      <c r="G74" s="2971"/>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82" t="s">
        <v>2264</v>
      </c>
      <c r="F76" s="3181"/>
      <c r="G76" s="3181"/>
      <c r="H76" s="3184"/>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2987" t="s">
        <v>2266</v>
      </c>
      <c r="F77" s="223"/>
      <c r="G77" s="2504" t="s">
        <v>2267</v>
      </c>
      <c r="H77" s="297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34</v>
      </c>
      <c r="D78" s="225">
        <f>'数据-取费表'!B43</f>
        <v>5.000000000000001E-3</v>
      </c>
      <c r="E78" s="3173" t="s">
        <v>2269</v>
      </c>
      <c r="F78" s="3174"/>
      <c r="G78" s="3174"/>
      <c r="H78" s="3175"/>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3" t="s">
        <v>2270</v>
      </c>
      <c r="C79" s="206">
        <f ca="1">C72-C73</f>
        <v>6751</v>
      </c>
      <c r="D79" s="199" t="s">
        <v>32</v>
      </c>
      <c r="E79" s="2976"/>
      <c r="F79" s="2971"/>
      <c r="G79" s="2971"/>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198.55882352941177</v>
      </c>
      <c r="D80" s="199" t="s">
        <v>32</v>
      </c>
      <c r="E80" s="2987" t="str">
        <f ca="1">IF(C80&gt;=200%,"增值额超过扣除项目金额200%",IF(C80&gt;=100%,"增值额超过扣除项目金额100%，未超过200%",IF(C80&gt;=50%,"增值额超过扣除项目金额50%，未超过100%",IF(C80&lt;50%,"增值额未超过扣除项目金额50%"))))</f>
        <v>增值额超过扣除项目金额200%</v>
      </c>
      <c r="F80" s="2971"/>
      <c r="G80" s="2971"/>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8" t="s">
        <v>2272</v>
      </c>
      <c r="C81" s="227">
        <f ca="1">ROUND(IF(C79&lt;=0,0,IF(C80&gt;=200%,C79*60%-C73*35%,IF(C80&gt;=100%,C79*50%-C73*15%,IF(C80&gt;=50%,C79*40%-C73*5%,IF(C80&lt;50%,C79*30%,0))))),0)</f>
        <v>4039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85" t="s">
        <v>2273</v>
      </c>
      <c r="B83" s="3186"/>
      <c r="C83" s="3186"/>
      <c r="D83" s="3186"/>
      <c r="E83" s="3186"/>
      <c r="F83" s="3186"/>
      <c r="G83" s="3186"/>
      <c r="H83" s="3186"/>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76" t="s">
        <v>2236</v>
      </c>
      <c r="B84" s="3177"/>
      <c r="C84" s="2977"/>
      <c r="D84" s="2977"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2" t="s">
        <v>775</v>
      </c>
      <c r="B85" s="203" t="s">
        <v>2256</v>
      </c>
      <c r="C85" s="206">
        <f ca="1">ROUND(D45/(1+'数据-取费表'!C42),0)</f>
        <v>6785</v>
      </c>
      <c r="D85" s="199" t="s">
        <v>32</v>
      </c>
      <c r="E85" s="2976"/>
      <c r="F85" s="2971"/>
      <c r="G85" s="2971"/>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2" t="s">
        <v>772</v>
      </c>
      <c r="B86" s="172" t="s">
        <v>2257</v>
      </c>
      <c r="C86" s="206">
        <f ca="1">IF(H88="仅含出让金",C87+C90+C91+C92+C93+C94,C87+C91+C92+C93+C94)</f>
        <v>34</v>
      </c>
      <c r="D86" s="234"/>
      <c r="E86" s="2976"/>
      <c r="F86" s="2971"/>
      <c r="G86" s="2971"/>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6" t="s">
        <v>770</v>
      </c>
      <c r="B87" s="197" t="s">
        <v>2274</v>
      </c>
      <c r="C87" s="224">
        <f>C88+C89</f>
        <v>0</v>
      </c>
      <c r="D87" s="225"/>
      <c r="E87" s="2972"/>
      <c r="F87" s="2973"/>
      <c r="G87" s="2973"/>
      <c r="H87" s="2975"/>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6" t="s">
        <v>776</v>
      </c>
      <c r="B88" s="197" t="s">
        <v>2275</v>
      </c>
      <c r="C88" s="235"/>
      <c r="D88" s="225"/>
      <c r="E88" s="236" t="s">
        <v>2276</v>
      </c>
      <c r="F88" s="2973"/>
      <c r="G88" s="237" t="s">
        <v>2277</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6" t="s">
        <v>777</v>
      </c>
      <c r="B89" s="197" t="s">
        <v>2265</v>
      </c>
      <c r="C89" s="224">
        <f>ROUND(C88*D89,0)</f>
        <v>0</v>
      </c>
      <c r="D89" s="225">
        <f>'数据-取费表'!B48+'数据-取费表'!B49</f>
        <v>3.0499999999999999E-2</v>
      </c>
      <c r="E89" s="236" t="s">
        <v>2278</v>
      </c>
      <c r="F89" s="2973"/>
      <c r="G89" s="2973"/>
      <c r="H89" s="2975"/>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6" t="s">
        <v>771</v>
      </c>
      <c r="B90" s="197" t="s">
        <v>2279</v>
      </c>
      <c r="C90" s="235"/>
      <c r="D90" s="225"/>
      <c r="E90" s="236" t="str">
        <f>IF(H88="-","土地取得成本中已包含该笔费用"," ")</f>
        <v xml:space="preserve"> </v>
      </c>
      <c r="F90" s="2973"/>
      <c r="G90" s="2973"/>
      <c r="H90" s="2975"/>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IF(H91="——",'成本法（办公）'!C33,I91)</f>
        <v>0</v>
      </c>
      <c r="D91" s="225"/>
      <c r="E91" s="3173" t="s">
        <v>2282</v>
      </c>
      <c r="F91" s="3174"/>
      <c r="G91" s="3174"/>
      <c r="H91" s="2509" t="s">
        <v>2283</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2284</v>
      </c>
      <c r="B92" s="197" t="s">
        <v>2285</v>
      </c>
      <c r="C92" s="224">
        <f>ROUND((C87+C90+C91)*D92,0)</f>
        <v>0</v>
      </c>
      <c r="D92" s="225">
        <v>0.1</v>
      </c>
      <c r="E92" s="3173" t="s">
        <v>2286</v>
      </c>
      <c r="F92" s="3174"/>
      <c r="G92" s="3174"/>
      <c r="H92" s="3175"/>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2287</v>
      </c>
      <c r="B93" s="197" t="s">
        <v>2268</v>
      </c>
      <c r="C93" s="224">
        <f ca="1">ROUND(D45*D93/(1+'数据-取费表'!C42),0)</f>
        <v>34</v>
      </c>
      <c r="D93" s="225">
        <f>'数据-取费表'!B43</f>
        <v>5.000000000000001E-3</v>
      </c>
      <c r="E93" s="3173" t="s">
        <v>2269</v>
      </c>
      <c r="F93" s="3174"/>
      <c r="G93" s="3174"/>
      <c r="H93" s="3175"/>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2288</v>
      </c>
      <c r="B94" s="197" t="s">
        <v>2289</v>
      </c>
      <c r="C94" s="235">
        <f>ROUND((C87+C90+C91)*D94,0)</f>
        <v>0</v>
      </c>
      <c r="D94" s="225">
        <v>0.2</v>
      </c>
      <c r="E94" s="3221" t="s">
        <v>2290</v>
      </c>
      <c r="F94" s="3222"/>
      <c r="G94" s="3222"/>
      <c r="H94" s="3223"/>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3" t="s">
        <v>2270</v>
      </c>
      <c r="C95" s="206">
        <f ca="1">ROUND(C85-C86,0)</f>
        <v>6751</v>
      </c>
      <c r="D95" s="199" t="s">
        <v>32</v>
      </c>
      <c r="E95" s="2976"/>
      <c r="F95" s="2971"/>
      <c r="G95" s="2971"/>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198.55882352941177</v>
      </c>
      <c r="D96" s="199" t="s">
        <v>32</v>
      </c>
      <c r="E96" s="2987" t="str">
        <f ca="1">IF(C96&gt;=200%,"增值额超过扣除项目金额200%",IF(C96&gt;=100%,"增值额超过扣除项目金额100%，未超过200%",IF(C96&gt;=50%,"增值额超过扣除项目金额50%，未超过100%",IF(C96&lt;50%,"增值额未超过扣除项目金额50%"))))</f>
        <v>增值额超过扣除项目金额200%</v>
      </c>
      <c r="F96" s="2971"/>
      <c r="G96" s="2971"/>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8" t="s">
        <v>2272</v>
      </c>
      <c r="C97" s="227">
        <f ca="1">ROUND(IF(C95&lt;=0,0,IF(C96&gt;=200%,C95*60%-C86*35%,IF(C96&gt;=100%,C95*50%-C86*15%,IF(C96&gt;=50%,C95*40%-C86*5%,IF(C96&lt;50%,C95*30%,0))))),0)</f>
        <v>4039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9"/>
      <c r="F98" s="2159"/>
      <c r="G98" s="2159"/>
      <c r="H98" s="2158"/>
      <c r="I98" s="137"/>
    </row>
    <row r="99" spans="1:35" ht="21.75" customHeight="1" thickBot="1">
      <c r="A99" s="2465" t="s">
        <v>2291</v>
      </c>
      <c r="B99" s="2409"/>
      <c r="C99" s="2409"/>
      <c r="D99" s="2409"/>
      <c r="E99" s="2159"/>
      <c r="F99" s="2159"/>
      <c r="G99" s="2159"/>
      <c r="H99" s="2158"/>
      <c r="I99" s="137"/>
    </row>
    <row r="100" spans="1:35" ht="18.75" customHeight="1">
      <c r="A100" s="3125" t="s">
        <v>2292</v>
      </c>
      <c r="B100" s="3126"/>
      <c r="C100" s="3126"/>
      <c r="D100" s="3157"/>
      <c r="E100" s="3126" t="s">
        <v>2293</v>
      </c>
      <c r="F100" s="3126"/>
      <c r="G100" s="3126"/>
      <c r="H100" s="3157"/>
      <c r="I100" s="137"/>
    </row>
    <row r="101" spans="1:35" ht="18.75" customHeight="1">
      <c r="A101" s="3165" t="s">
        <v>2294</v>
      </c>
      <c r="B101" s="3166"/>
      <c r="C101" s="735" t="str">
        <f>C4</f>
        <v>成本法（地下车库）</v>
      </c>
      <c r="D101" s="736" t="str">
        <f>D4</f>
        <v>收益法（地下车库）</v>
      </c>
      <c r="E101" s="3137" t="s">
        <v>2295</v>
      </c>
      <c r="F101" s="3138"/>
      <c r="G101" s="2511" t="s">
        <v>2296</v>
      </c>
      <c r="H101" s="1041">
        <f ca="1">H118</f>
        <v>7124</v>
      </c>
      <c r="I101" s="137"/>
    </row>
    <row r="102" spans="1:35" ht="18.75" customHeight="1">
      <c r="A102" s="3167" t="s">
        <v>2297</v>
      </c>
      <c r="B102" s="2511" t="s">
        <v>2296</v>
      </c>
      <c r="C102" s="735">
        <f ca="1">C19</f>
        <v>4116</v>
      </c>
      <c r="D102" s="736">
        <f ca="1">D19</f>
        <v>9129</v>
      </c>
      <c r="E102" s="3137"/>
      <c r="F102" s="3138"/>
      <c r="G102" s="2511" t="s">
        <v>2298</v>
      </c>
      <c r="H102" s="370">
        <f ca="1">I118</f>
        <v>8401</v>
      </c>
      <c r="I102" s="137"/>
    </row>
    <row r="103" spans="1:35" ht="42.75" customHeight="1">
      <c r="A103" s="3167"/>
      <c r="B103" s="2511" t="s">
        <v>2298</v>
      </c>
      <c r="C103" s="737">
        <f ca="1">C20</f>
        <v>4854</v>
      </c>
      <c r="D103" s="738">
        <f ca="1">D20</f>
        <v>10766</v>
      </c>
      <c r="E103" s="3131" t="s">
        <v>2299</v>
      </c>
      <c r="F103" s="3132"/>
      <c r="G103" s="2512" t="s">
        <v>2300</v>
      </c>
      <c r="H103" s="1041">
        <f>IF(D36="正常操作",H104+H105+H106,H105+H106)</f>
        <v>0</v>
      </c>
      <c r="I103" s="137"/>
    </row>
    <row r="104" spans="1:35" ht="18.75" customHeight="1">
      <c r="A104" s="3167" t="s">
        <v>2301</v>
      </c>
      <c r="B104" s="2513" t="s">
        <v>2296</v>
      </c>
      <c r="C104" s="739">
        <f ca="1">H118</f>
        <v>7124</v>
      </c>
      <c r="D104" s="740"/>
      <c r="E104" s="2259" t="s">
        <v>2302</v>
      </c>
      <c r="F104" s="2251"/>
      <c r="G104" s="2512" t="s">
        <v>2300</v>
      </c>
      <c r="H104" s="1042">
        <f>IF(D36="同一抵押权人同一抵押物续贷",C36&amp;"（未扣减，详见特别提示）",C36)</f>
        <v>0</v>
      </c>
      <c r="I104" s="137"/>
    </row>
    <row r="105" spans="1:35" ht="18.75" customHeight="1" thickBot="1">
      <c r="A105" s="3179"/>
      <c r="B105" s="2514" t="s">
        <v>2298</v>
      </c>
      <c r="C105" s="741">
        <f ca="1">I118</f>
        <v>8401</v>
      </c>
      <c r="D105" s="742"/>
      <c r="E105" s="2259" t="s">
        <v>2303</v>
      </c>
      <c r="F105" s="2251"/>
      <c r="G105" s="2512" t="s">
        <v>2300</v>
      </c>
      <c r="H105" s="1042">
        <f>C37</f>
        <v>0</v>
      </c>
      <c r="I105" s="137"/>
    </row>
    <row r="106" spans="1:35" ht="18.75" customHeight="1">
      <c r="A106" s="2409" t="s">
        <v>2304</v>
      </c>
      <c r="B106" s="2409"/>
      <c r="C106" s="2409"/>
      <c r="D106" s="2409"/>
      <c r="E106" s="2515" t="s">
        <v>2305</v>
      </c>
      <c r="F106" s="2251"/>
      <c r="G106" s="2512" t="s">
        <v>2300</v>
      </c>
      <c r="H106" s="1042">
        <f>C38</f>
        <v>0</v>
      </c>
      <c r="I106" s="137"/>
    </row>
    <row r="107" spans="1:35" ht="18.75" customHeight="1">
      <c r="A107" s="137"/>
      <c r="B107" s="137"/>
      <c r="C107" s="137"/>
      <c r="D107" s="137"/>
      <c r="E107" s="3168" t="str">
        <f>IF(项目基本情况!E8="已注销","——","3.房地产抵押价值")</f>
        <v>——</v>
      </c>
      <c r="F107" s="3138"/>
      <c r="G107" s="2511" t="s">
        <v>2296</v>
      </c>
      <c r="H107" s="1041" t="str">
        <f>IF(E107="——","——",H101-H103)</f>
        <v>——</v>
      </c>
      <c r="I107" s="137"/>
    </row>
    <row r="108" spans="1:35" ht="18.75" customHeight="1">
      <c r="A108" s="137"/>
      <c r="B108" s="137"/>
      <c r="C108" s="137"/>
      <c r="D108" s="137"/>
      <c r="E108" s="3168"/>
      <c r="F108" s="3138"/>
      <c r="G108" s="2511" t="s">
        <v>2298</v>
      </c>
      <c r="H108" s="370" t="e">
        <f>ROUND(H107*10000/'数据-汇总表'!E3,0)</f>
        <v>#VALUE!</v>
      </c>
      <c r="I108" s="137"/>
    </row>
    <row r="109" spans="1:35" ht="18.75" customHeight="1">
      <c r="A109" s="137"/>
      <c r="B109" s="137"/>
      <c r="C109" s="137"/>
      <c r="D109" s="137"/>
      <c r="E109" s="3168" t="str">
        <f>IF(项目基本情况!E8="已注销及未注销","4.抵押担保权已注销时的房地产抵押价值",IF(项目基本情况!E8="已注销","3.抵押担保权已注销时的房地产抵押价值","——"))</f>
        <v>3.抵押担保权已注销时的房地产抵押价值</v>
      </c>
      <c r="F109" s="3138"/>
      <c r="G109" s="2511" t="s">
        <v>2296</v>
      </c>
      <c r="H109" s="347">
        <f ca="1">IF(E109="——","——",H101-H105-H106)</f>
        <v>7124</v>
      </c>
      <c r="I109" s="137"/>
    </row>
    <row r="110" spans="1:35" ht="18.75" customHeight="1">
      <c r="A110" s="137"/>
      <c r="B110" s="137"/>
      <c r="C110" s="137"/>
      <c r="D110" s="137"/>
      <c r="E110" s="3168"/>
      <c r="F110" s="3138"/>
      <c r="G110" s="2511" t="s">
        <v>2298</v>
      </c>
      <c r="H110" s="370">
        <f ca="1">IF(H109="——","——",ROUND(H109*10000/'数据-汇总表'!E3,0))</f>
        <v>1478</v>
      </c>
      <c r="I110" s="137"/>
    </row>
    <row r="111" spans="1:35" ht="18.75" customHeight="1">
      <c r="A111" s="137"/>
      <c r="B111" s="137"/>
      <c r="C111" s="137"/>
      <c r="D111" s="137"/>
      <c r="E111" s="3169" t="str">
        <f>IF(项目基本情况!E9="抵押净值",IF(OR(项目基本情况!E8="已注销",项目基本情况!E8="房地产抵押价值"),"4.抵押净值","5.抵押净值"),"——")</f>
        <v>——</v>
      </c>
      <c r="F111" s="3170"/>
      <c r="G111" s="2511" t="s">
        <v>2296</v>
      </c>
      <c r="H111" s="1041" t="str">
        <f>IF(E111="——","——",N59)</f>
        <v>——</v>
      </c>
      <c r="I111" s="137"/>
    </row>
    <row r="112" spans="1:35" ht="18.75" customHeight="1" thickBot="1">
      <c r="A112" s="137"/>
      <c r="B112" s="137"/>
      <c r="C112" s="137"/>
      <c r="D112" s="137"/>
      <c r="E112" s="3171"/>
      <c r="F112" s="3172"/>
      <c r="G112" s="2516" t="s">
        <v>2298</v>
      </c>
      <c r="H112" s="789" t="str">
        <f>IF(E111="——","——",N61)</f>
        <v>——</v>
      </c>
      <c r="I112" s="137"/>
    </row>
    <row r="113" spans="1:11" ht="18.75" customHeight="1">
      <c r="A113" s="137"/>
      <c r="B113" s="137"/>
      <c r="C113" s="137"/>
      <c r="D113" s="137"/>
      <c r="E113" s="3180" t="s">
        <v>2304</v>
      </c>
      <c r="F113" s="3180"/>
      <c r="G113" s="3180"/>
      <c r="H113" s="3180"/>
      <c r="I113" s="137"/>
    </row>
    <row r="114" spans="1:11" ht="3.75" customHeight="1">
      <c r="A114" s="2409"/>
      <c r="B114" s="2409"/>
      <c r="C114" s="2409"/>
      <c r="D114" s="2409"/>
      <c r="E114" s="2487"/>
      <c r="F114" s="2487"/>
      <c r="G114" s="2487"/>
      <c r="H114" s="2487"/>
      <c r="I114" s="2409"/>
    </row>
    <row r="115" spans="1:11" ht="18.75" customHeight="1">
      <c r="A115" s="3193" t="s">
        <v>2306</v>
      </c>
      <c r="B115" s="3194"/>
      <c r="C115" s="3194"/>
      <c r="D115" s="3194"/>
      <c r="E115" s="3194"/>
      <c r="F115" s="3194"/>
      <c r="G115" s="3194"/>
      <c r="H115" s="3194"/>
      <c r="I115" s="3195"/>
    </row>
    <row r="116" spans="1:11" ht="27" customHeight="1">
      <c r="A116" s="3104" t="s">
        <v>2307</v>
      </c>
      <c r="B116" s="3147" t="s">
        <v>2308</v>
      </c>
      <c r="C116" s="3147" t="s">
        <v>2309</v>
      </c>
      <c r="D116" s="3153" t="s">
        <v>2310</v>
      </c>
      <c r="E116" s="3154"/>
      <c r="F116" s="3189" t="s">
        <v>2311</v>
      </c>
      <c r="G116" s="3189"/>
      <c r="H116" s="3104" t="s">
        <v>2312</v>
      </c>
      <c r="I116" s="3104"/>
    </row>
    <row r="117" spans="1:11" ht="18.75" customHeight="1">
      <c r="A117" s="3104"/>
      <c r="B117" s="3148"/>
      <c r="C117" s="3148"/>
      <c r="D117" s="2969" t="s">
        <v>2313</v>
      </c>
      <c r="E117" s="2969" t="s">
        <v>2314</v>
      </c>
      <c r="F117" s="2969" t="s">
        <v>2313</v>
      </c>
      <c r="G117" s="2969" t="s">
        <v>2315</v>
      </c>
      <c r="H117" s="2969" t="s">
        <v>2313</v>
      </c>
      <c r="I117" s="2969" t="s">
        <v>2315</v>
      </c>
    </row>
    <row r="118" spans="1:11" ht="24.75" customHeight="1">
      <c r="A118" s="2517" t="str">
        <f>项目基本情况!S2</f>
        <v>北京市大兴区黄村镇房地产</v>
      </c>
      <c r="B118" s="2969">
        <f>M18</f>
        <v>8479.4599999999919</v>
      </c>
      <c r="C118" s="2969">
        <f>M19</f>
        <v>1692.87</v>
      </c>
      <c r="D118" s="2969">
        <f ca="1">ROUND(IF(D32="总价",C34,E118*B118/10000),0)</f>
        <v>1888</v>
      </c>
      <c r="E118" s="2969">
        <f ca="1">ROUND(IF(C33="自定义",IF(D32="楼面单价",C34,D118*10000/B118),I118-G118),0)</f>
        <v>2226</v>
      </c>
      <c r="F118" s="2969">
        <f ca="1">ROUND(IF(D32="总价",C35,G118*B118/10000),0)</f>
        <v>5236</v>
      </c>
      <c r="G118" s="2969">
        <f ca="1">ROUND(IF(D32="楼面单价",C35,F118*10000/B118),0)</f>
        <v>6175</v>
      </c>
      <c r="H118" s="2969">
        <f ca="1">ROUND(IF(D32="总价",C32,I118*B118/10000),0)</f>
        <v>7124</v>
      </c>
      <c r="I118" s="2969">
        <f ca="1">ROUND(IF(D32="楼面单价",C32,H118*10000/B118),0)</f>
        <v>8401</v>
      </c>
    </row>
    <row r="119" spans="1:11" ht="18.75" customHeight="1">
      <c r="A119" s="3104" t="s">
        <v>2316</v>
      </c>
      <c r="B119" s="3104"/>
      <c r="C119" s="3104"/>
      <c r="D119" s="3149" t="str">
        <f ca="1">NUMBERSTRING(INT(D118*10000),2)&amp;"元整"</f>
        <v>壹仟捌佰捌拾捌万元整</v>
      </c>
      <c r="E119" s="3150"/>
      <c r="F119" s="3149" t="str">
        <f ca="1">NUMBERSTRING(INT(F118*10000),2)&amp;"元整"</f>
        <v>伍仟贰佰叁拾陆万元整</v>
      </c>
      <c r="G119" s="3150"/>
      <c r="H119" s="3149" t="str">
        <f ca="1">NUMBERSTRING(INT(H118*10000),2)&amp;"元整"</f>
        <v>柒仟壹佰贰拾肆万元整</v>
      </c>
      <c r="I119" s="3150"/>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4" t="str">
        <f>IF(D120=0,"故，本次评估不存在"&amp;A120,"故，本次评估"&amp;A120&amp;"为人民币"&amp;D120&amp;"万元整。")</f>
        <v>故，本次评估不存在估价师知悉的法定优先受偿款</v>
      </c>
    </row>
    <row r="121" spans="1:11" ht="18.75" customHeight="1">
      <c r="A121" s="3190" t="s">
        <v>2316</v>
      </c>
      <c r="B121" s="3191"/>
      <c r="C121" s="3192"/>
      <c r="D121" s="3149" t="str">
        <f>IF(D120=0,"零元整",NUMBERSTRING(INT(D120*10000),2)&amp;"元整")</f>
        <v>零元整</v>
      </c>
      <c r="E121" s="3151"/>
      <c r="F121" s="3151"/>
      <c r="G121" s="3151"/>
      <c r="H121" s="3151"/>
      <c r="I121" s="3150"/>
    </row>
    <row r="122" spans="1:11" ht="18.75" customHeight="1">
      <c r="A122" s="3155" t="str">
        <f>IF(项目基本情况!B9="房地产市场价值","",MID(E107,3,LEN(E107)-2))</f>
        <v/>
      </c>
      <c r="B122" s="3155"/>
      <c r="C122" s="3155"/>
      <c r="D122" s="3144" t="str">
        <f>H107</f>
        <v>——</v>
      </c>
      <c r="E122" s="3145"/>
      <c r="F122" s="3145"/>
      <c r="G122" s="3145"/>
      <c r="H122" s="3145"/>
      <c r="I122" s="3146"/>
    </row>
    <row r="123" spans="1:11" ht="18.75" customHeight="1">
      <c r="A123" s="3104" t="s">
        <v>2316</v>
      </c>
      <c r="B123" s="3104"/>
      <c r="C123" s="3104"/>
      <c r="D123" s="3149" t="e">
        <f>NUMBERSTRING(INT(D122*10000),2)&amp;"元整"</f>
        <v>#VALUE!</v>
      </c>
      <c r="E123" s="3151"/>
      <c r="F123" s="3151"/>
      <c r="G123" s="3151"/>
      <c r="H123" s="3151"/>
      <c r="I123" s="3150"/>
    </row>
    <row r="124" spans="1:11" ht="18.75" customHeight="1">
      <c r="A124" s="3155" t="str">
        <f>IF(项目基本情况!B9="房地产市场价值","",MID(E109,3,LEN(E109)-2))</f>
        <v>抵押担保权已注销时的房地产抵押价值</v>
      </c>
      <c r="B124" s="3155"/>
      <c r="C124" s="3155"/>
      <c r="D124" s="3144">
        <f ca="1">H109</f>
        <v>7124</v>
      </c>
      <c r="E124" s="3145"/>
      <c r="F124" s="3145"/>
      <c r="G124" s="3145"/>
      <c r="H124" s="3145"/>
      <c r="I124" s="3146"/>
    </row>
    <row r="125" spans="1:11" ht="18.75" customHeight="1">
      <c r="A125" s="3104" t="s">
        <v>2316</v>
      </c>
      <c r="B125" s="3104"/>
      <c r="C125" s="3104"/>
      <c r="D125" s="3149" t="str">
        <f ca="1">NUMBERSTRING(INT(D124*10000),2)&amp;"元整"</f>
        <v>柒仟壹佰贰拾肆万元整</v>
      </c>
      <c r="E125" s="3151"/>
      <c r="F125" s="3151"/>
      <c r="G125" s="3151"/>
      <c r="H125" s="3151"/>
      <c r="I125" s="3150"/>
    </row>
    <row r="126" spans="1:11" ht="18.75" customHeight="1">
      <c r="A126" s="3155" t="str">
        <f>IF(项目基本情况!B9="房地产市场价值","",MID(E111,3,LEN(E111)-2))</f>
        <v/>
      </c>
      <c r="B126" s="3155"/>
      <c r="C126" s="3155"/>
      <c r="D126" s="3144" t="str">
        <f>H111</f>
        <v>——</v>
      </c>
      <c r="E126" s="3145"/>
      <c r="F126" s="3145"/>
      <c r="G126" s="3145"/>
      <c r="H126" s="3145"/>
      <c r="I126" s="3146"/>
    </row>
    <row r="127" spans="1:11" ht="18.75" customHeight="1">
      <c r="A127" s="3104" t="s">
        <v>2316</v>
      </c>
      <c r="B127" s="3104"/>
      <c r="C127" s="3104"/>
      <c r="D127" s="3149" t="e">
        <f>NUMBERSTRING(INT(D126*10000),2)&amp;"元整"</f>
        <v>#VALUE!</v>
      </c>
      <c r="E127" s="3151"/>
      <c r="F127" s="3151"/>
      <c r="G127" s="3151"/>
      <c r="H127" s="3151"/>
      <c r="I127" s="3150"/>
    </row>
    <row r="128" spans="1:11" ht="21.75" customHeight="1">
      <c r="A128" s="3152" t="s">
        <v>2317</v>
      </c>
      <c r="B128" s="3152"/>
      <c r="C128" s="3152"/>
      <c r="D128" s="3152"/>
      <c r="E128" s="3152"/>
      <c r="F128" s="3152"/>
      <c r="G128" s="3152"/>
      <c r="H128" s="3152"/>
      <c r="I128" s="3152"/>
    </row>
    <row r="129" spans="1:35" ht="21.75" customHeight="1">
      <c r="A129" s="2518" t="s">
        <v>2318</v>
      </c>
      <c r="B129" s="2519"/>
      <c r="C129" s="2520" t="s">
        <v>2319</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2320</v>
      </c>
      <c r="G135" s="2535"/>
      <c r="H135" s="2535"/>
      <c r="I135" s="2536" t="s">
        <v>2321</v>
      </c>
    </row>
    <row r="136" spans="1:35" ht="21.75" customHeight="1">
      <c r="A136" s="794"/>
      <c r="B136" s="2537"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2323</v>
      </c>
    </row>
    <row r="139" spans="1:35" ht="21.75" customHeight="1">
      <c r="A139" s="794"/>
      <c r="B139" s="2537" t="s">
        <v>2324</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2323</v>
      </c>
    </row>
    <row r="142" spans="1:35" ht="21.75" customHeight="1">
      <c r="A142" s="794"/>
      <c r="B142" s="2537"/>
      <c r="C142" s="2538"/>
      <c r="D142" s="2539"/>
      <c r="E142" s="2539"/>
      <c r="F142" s="2333"/>
      <c r="G142" s="794"/>
      <c r="H142" s="794"/>
      <c r="I142" s="794"/>
    </row>
    <row r="143" spans="1:35" s="138" customFormat="1" ht="21.75" customHeight="1">
      <c r="A143" s="794"/>
      <c r="B143" s="2537"/>
      <c r="C143" s="2538"/>
      <c r="D143" s="2539"/>
      <c r="E143" s="2539"/>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11" priority="10" stopIfTrue="1" operator="equal">
      <formula>25</formula>
    </cfRule>
  </conditionalFormatting>
  <conditionalFormatting sqref="C8:C9">
    <cfRule type="cellIs" dxfId="110" priority="9" stopIfTrue="1" operator="equal">
      <formula>15</formula>
    </cfRule>
  </conditionalFormatting>
  <conditionalFormatting sqref="C14:C16">
    <cfRule type="cellIs" dxfId="109" priority="8" stopIfTrue="1" operator="equal">
      <formula>30</formula>
    </cfRule>
  </conditionalFormatting>
  <conditionalFormatting sqref="D5:D7">
    <cfRule type="cellIs" dxfId="108" priority="7" stopIfTrue="1" operator="equal">
      <formula>25</formula>
    </cfRule>
  </conditionalFormatting>
  <conditionalFormatting sqref="D8:D9">
    <cfRule type="cellIs" dxfId="107" priority="6" stopIfTrue="1" operator="equal">
      <formula>15</formula>
    </cfRule>
  </conditionalFormatting>
  <conditionalFormatting sqref="C10:D13">
    <cfRule type="cellIs" dxfId="106" priority="5" stopIfTrue="1" operator="equal">
      <formula>15</formula>
    </cfRule>
  </conditionalFormatting>
  <conditionalFormatting sqref="D14:D16">
    <cfRule type="cellIs" dxfId="105" priority="4" stopIfTrue="1" operator="equal">
      <formula>30</formula>
    </cfRule>
  </conditionalFormatting>
  <conditionalFormatting sqref="C90">
    <cfRule type="expression" dxfId="104" priority="3" stopIfTrue="1">
      <formula>$H$88&lt;&gt;"仅含出让金"</formula>
    </cfRule>
  </conditionalFormatting>
  <conditionalFormatting sqref="C91">
    <cfRule type="expression" dxfId="103" priority="2" stopIfTrue="1">
      <formula>$H$91="由企业提供"</formula>
    </cfRule>
  </conditionalFormatting>
  <conditionalFormatting sqref="E36">
    <cfRule type="expression" dxfId="10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33" t="s">
        <v>48</v>
      </c>
      <c r="C1" s="241"/>
      <c r="D1" s="241"/>
      <c r="E1" s="241"/>
      <c r="F1" s="241"/>
      <c r="G1" s="1375">
        <f>MATCH(B1,'数据-取费表'!A6:A16,0)+5</f>
        <v>8</v>
      </c>
    </row>
    <row r="2" spans="1:9" s="243" customFormat="1" ht="18" customHeight="1">
      <c r="A2" s="244" t="s">
        <v>1394</v>
      </c>
      <c r="B2" s="245">
        <f ca="1">IF(D2="——",C52,C52-E2)</f>
        <v>4116</v>
      </c>
      <c r="C2" s="242" t="s">
        <v>2327</v>
      </c>
      <c r="D2" s="2540" t="s">
        <v>70</v>
      </c>
      <c r="E2" s="1436" t="e">
        <f ca="1">SUMIF(INDIRECT("'"&amp;G2&amp;"'"&amp;"!A:A"),"承租人权益价值",INDIRECT("'"&amp;G2&amp;"'"&amp;"!c:c"))</f>
        <v>#REF!</v>
      </c>
      <c r="F2" s="2541" t="s">
        <v>2327</v>
      </c>
      <c r="G2" s="2542"/>
    </row>
    <row r="3" spans="1:9" s="243" customFormat="1" ht="18" customHeight="1" thickBot="1">
      <c r="A3" s="246" t="s">
        <v>1395</v>
      </c>
      <c r="B3" s="247">
        <f ca="1">ROUND(B2*10000/(IF(B1="",'数据-汇总表'!E3,INDIRECT("'数据-取费表'!k"&amp;$G$1))),0)</f>
        <v>4854</v>
      </c>
      <c r="C3" s="242" t="s">
        <v>2329</v>
      </c>
      <c r="D3" s="242"/>
      <c r="E3" s="242"/>
      <c r="F3" s="242"/>
      <c r="G3" s="242"/>
    </row>
    <row r="4" spans="1:9" s="251" customFormat="1" ht="15.75">
      <c r="A4" s="248" t="s">
        <v>2330</v>
      </c>
      <c r="B4" s="249"/>
      <c r="C4" s="249"/>
      <c r="D4" s="249"/>
      <c r="E4" s="249"/>
      <c r="F4" s="249"/>
      <c r="G4" s="250"/>
    </row>
    <row r="5" spans="1:9" s="257" customFormat="1" ht="13.5" customHeight="1">
      <c r="A5" s="298" t="s">
        <v>782</v>
      </c>
      <c r="B5" s="253" t="s">
        <v>2332</v>
      </c>
      <c r="C5" s="254">
        <f>C6+C7+C8</f>
        <v>793</v>
      </c>
      <c r="D5" s="254" t="s">
        <v>2333</v>
      </c>
      <c r="E5" s="255" t="s">
        <v>2334</v>
      </c>
      <c r="F5" s="255" t="s">
        <v>2335</v>
      </c>
      <c r="G5" s="256"/>
    </row>
    <row r="6" spans="1:9" s="257" customFormat="1" ht="13.5" customHeight="1">
      <c r="A6" s="945" t="s">
        <v>791</v>
      </c>
      <c r="B6" s="258" t="s">
        <v>2337</v>
      </c>
      <c r="C6" s="259">
        <f>'土地比较法-住宅、综合'!F65</f>
        <v>770</v>
      </c>
      <c r="D6" s="260"/>
      <c r="E6" s="261"/>
      <c r="F6" s="261"/>
      <c r="G6" s="262"/>
    </row>
    <row r="7" spans="1:9" s="257" customFormat="1" ht="13.5" customHeight="1">
      <c r="A7" s="945" t="s">
        <v>792</v>
      </c>
      <c r="B7" s="258" t="s">
        <v>2339</v>
      </c>
      <c r="C7" s="263">
        <f>ROUND(C6*F7,0)</f>
        <v>23</v>
      </c>
      <c r="D7" s="263"/>
      <c r="E7" s="261"/>
      <c r="F7" s="264">
        <f>'数据-取费表'!B48+'数据-取费表'!B49</f>
        <v>3.0499999999999999E-2</v>
      </c>
      <c r="G7" s="262"/>
    </row>
    <row r="8" spans="1:9" s="266" customFormat="1">
      <c r="A8" s="945" t="s">
        <v>793</v>
      </c>
      <c r="B8" s="258" t="s">
        <v>2341</v>
      </c>
      <c r="C8" s="263" t="str">
        <f>IF(G8="已包含在土地购买价格中","0",IF(B1="",'数据-取费表'!B29,IF(G9="全部缴纳",C9+C10,H9)))</f>
        <v>0</v>
      </c>
      <c r="D8" s="265"/>
      <c r="E8" s="263"/>
      <c r="F8" s="264"/>
      <c r="G8" s="2543" t="s">
        <v>1148</v>
      </c>
    </row>
    <row r="9" spans="1:9" s="257" customFormat="1" ht="13.5" customHeight="1">
      <c r="A9" s="946" t="s">
        <v>800</v>
      </c>
      <c r="B9" s="267" t="s">
        <v>2342</v>
      </c>
      <c r="C9" s="268">
        <f ca="1">ROUND(D9*E9/10000,0)</f>
        <v>0</v>
      </c>
      <c r="D9" s="1028">
        <f ca="1">IF(B1="",'数据-汇总表'!E5,IF(INDIRECT("'数据-取费表'!c"&amp;$G$1)="住宅",INDIRECT("'数据-取费表'!k"&amp;$G$1),0))</f>
        <v>0</v>
      </c>
      <c r="E9" s="268">
        <f>'数据-取费表'!B27</f>
        <v>0</v>
      </c>
      <c r="F9" s="264"/>
      <c r="G9" s="2544"/>
      <c r="H9" s="1386"/>
      <c r="I9" s="2545" t="s">
        <v>2343</v>
      </c>
    </row>
    <row r="10" spans="1:9" s="257" customFormat="1" ht="13.5" customHeight="1">
      <c r="A10" s="946" t="s">
        <v>801</v>
      </c>
      <c r="B10" s="267" t="s">
        <v>2344</v>
      </c>
      <c r="C10" s="268">
        <f ca="1">ROUND(D10*E10/10000,0)</f>
        <v>170</v>
      </c>
      <c r="D10" s="1028">
        <f ca="1">IF(B1="",'数据-汇总表'!E6,IF(INDIRECT("'数据-取费表'!c"&amp;$G$1)="住宅",INDIRECT("'数据-取费表'!s"&amp;$G$1),INDIRECT("'数据-取费表'!k"&amp;$G$1)+INDIRECT("'数据-取费表'!s"&amp;$G$1)))</f>
        <v>8479.4599999999919</v>
      </c>
      <c r="E10" s="268">
        <f>'数据-取费表'!B28</f>
        <v>200</v>
      </c>
      <c r="F10" s="264"/>
      <c r="G10" s="269"/>
    </row>
    <row r="11" spans="1:9" s="257" customFormat="1" ht="13.5" hidden="1" customHeight="1">
      <c r="A11" s="270" t="s">
        <v>7</v>
      </c>
      <c r="B11" s="258" t="s">
        <v>2345</v>
      </c>
      <c r="C11" s="254"/>
      <c r="D11" s="1030"/>
      <c r="E11" s="261"/>
      <c r="F11" s="261"/>
      <c r="G11" s="262"/>
    </row>
    <row r="12" spans="1:9" s="257" customFormat="1" ht="13.5" hidden="1" customHeight="1">
      <c r="A12" s="270" t="s">
        <v>8</v>
      </c>
      <c r="B12" s="258" t="s">
        <v>2346</v>
      </c>
      <c r="C12" s="254">
        <v>0</v>
      </c>
      <c r="D12" s="1030"/>
      <c r="E12" s="271"/>
      <c r="F12" s="264">
        <v>3.0499999999999999E-2</v>
      </c>
      <c r="G12" s="262"/>
    </row>
    <row r="13" spans="1:9" s="257" customFormat="1" ht="13.5" hidden="1" customHeight="1">
      <c r="A13" s="270" t="s">
        <v>9</v>
      </c>
      <c r="B13" s="258" t="s">
        <v>2347</v>
      </c>
      <c r="C13" s="254"/>
      <c r="D13" s="1030"/>
      <c r="E13" s="261"/>
      <c r="F13" s="261"/>
      <c r="G13" s="262"/>
    </row>
    <row r="14" spans="1:9" s="257" customFormat="1" ht="13.5" hidden="1" customHeight="1">
      <c r="A14" s="270" t="s">
        <v>10</v>
      </c>
      <c r="B14" s="258" t="s">
        <v>2341</v>
      </c>
      <c r="C14" s="254"/>
      <c r="D14" s="1030"/>
      <c r="E14" s="261"/>
      <c r="F14" s="261"/>
      <c r="G14" s="262" t="s">
        <v>2349</v>
      </c>
    </row>
    <row r="15" spans="1:9" s="257" customFormat="1" ht="13.5" hidden="1" customHeight="1">
      <c r="A15" s="270" t="s">
        <v>11</v>
      </c>
      <c r="B15" s="258" t="s">
        <v>2350</v>
      </c>
      <c r="C15" s="263"/>
      <c r="D15" s="1030"/>
      <c r="E15" s="261"/>
      <c r="F15" s="261"/>
      <c r="G15" s="262" t="s">
        <v>2351</v>
      </c>
    </row>
    <row r="16" spans="1:9" s="257" customFormat="1" ht="13.5" hidden="1" customHeight="1">
      <c r="A16" s="270" t="s">
        <v>12</v>
      </c>
      <c r="B16" s="258" t="s">
        <v>2341</v>
      </c>
      <c r="C16" s="263"/>
      <c r="D16" s="1030"/>
      <c r="E16" s="261"/>
      <c r="F16" s="261"/>
      <c r="G16" s="262"/>
    </row>
    <row r="17" spans="1:7" s="257" customFormat="1" ht="13.5" hidden="1" customHeight="1">
      <c r="A17" s="270" t="s">
        <v>13</v>
      </c>
      <c r="B17" s="258" t="s">
        <v>2352</v>
      </c>
      <c r="C17" s="272"/>
      <c r="D17" s="1031"/>
      <c r="E17" s="272"/>
      <c r="F17" s="272"/>
      <c r="G17" s="262" t="s">
        <v>2351</v>
      </c>
    </row>
    <row r="18" spans="1:7" s="257" customFormat="1" ht="13.5" hidden="1" customHeight="1">
      <c r="A18" s="270" t="s">
        <v>14</v>
      </c>
      <c r="B18" s="258" t="s">
        <v>2353</v>
      </c>
      <c r="C18" s="263">
        <v>0</v>
      </c>
      <c r="D18" s="1030"/>
      <c r="E18" s="261"/>
      <c r="F18" s="264">
        <v>3.0499999999999999E-2</v>
      </c>
      <c r="G18" s="262" t="s">
        <v>2354</v>
      </c>
    </row>
    <row r="19" spans="1:7" s="266" customFormat="1" ht="13.5" customHeight="1">
      <c r="A19" s="298" t="s">
        <v>2355</v>
      </c>
      <c r="B19" s="253" t="s">
        <v>2356</v>
      </c>
      <c r="C19" s="254" t="str">
        <f>IF(G19="已包含在土地取得成本中","0",ROUND(D19*E19/10000,0))</f>
        <v>0</v>
      </c>
      <c r="D19" s="1032">
        <f ca="1">D9+D10</f>
        <v>8479.4599999999919</v>
      </c>
      <c r="E19" s="254">
        <f>'数据-取费表'!B31</f>
        <v>200</v>
      </c>
      <c r="F19" s="274"/>
      <c r="G19" s="2543" t="s">
        <v>3054</v>
      </c>
    </row>
    <row r="20" spans="1:7" s="257" customFormat="1" ht="13.5" customHeight="1">
      <c r="A20" s="298" t="s">
        <v>2357</v>
      </c>
      <c r="B20" s="253" t="s">
        <v>2358</v>
      </c>
      <c r="C20" s="275">
        <f>ROUND((C5+C19)*F20,0)</f>
        <v>16</v>
      </c>
      <c r="D20" s="275"/>
      <c r="E20" s="275"/>
      <c r="F20" s="276">
        <f>'数据-取费表'!B37</f>
        <v>0.02</v>
      </c>
      <c r="G20" s="277" t="s">
        <v>2359</v>
      </c>
    </row>
    <row r="21" spans="1:7" s="257" customFormat="1" ht="13.5" customHeight="1">
      <c r="A21" s="298" t="s">
        <v>2360</v>
      </c>
      <c r="B21" s="253" t="s">
        <v>2361</v>
      </c>
      <c r="C21" s="278">
        <f>F21</f>
        <v>0.02</v>
      </c>
      <c r="D21" s="279" t="s">
        <v>2362</v>
      </c>
      <c r="E21" s="275"/>
      <c r="F21" s="276">
        <f>'数据-取费表'!B38</f>
        <v>0.02</v>
      </c>
      <c r="G21" s="277" t="s">
        <v>2363</v>
      </c>
    </row>
    <row r="22" spans="1:7" s="257" customFormat="1" ht="13.5" customHeight="1">
      <c r="A22" s="298" t="s">
        <v>2364</v>
      </c>
      <c r="B22" s="253" t="s">
        <v>2365</v>
      </c>
      <c r="C22" s="1350">
        <f ca="1">ROUND(SUM(C23:C25),0)</f>
        <v>119</v>
      </c>
      <c r="D22" s="278">
        <f ca="1">C26</f>
        <v>1.4E-3</v>
      </c>
      <c r="E22" s="279" t="s">
        <v>2362</v>
      </c>
      <c r="F22" s="280">
        <f ca="1">'数据-取费表'!B40</f>
        <v>4.7500000000000001E-2</v>
      </c>
      <c r="G22" s="277" t="str">
        <f>IF('数据-取费表'!B22&lt;=1,"单利计息","复利计息")</f>
        <v>复利计息</v>
      </c>
    </row>
    <row r="23" spans="1:7" s="257" customFormat="1" ht="13.5" customHeight="1">
      <c r="A23" s="947" t="s">
        <v>791</v>
      </c>
      <c r="B23" s="258" t="s">
        <v>2367</v>
      </c>
      <c r="C23" s="1351">
        <f ca="1">ROUND(IF('数据-取费表'!B22&lt;=1,C5*F22*'数据-取费表'!B23,C5*(POWER((1+F22),'数据-取费表'!B23)-1)),0)</f>
        <v>118</v>
      </c>
      <c r="D23" s="281"/>
      <c r="E23" s="281"/>
      <c r="F23" s="282"/>
      <c r="G23" s="283" t="s">
        <v>2368</v>
      </c>
    </row>
    <row r="24" spans="1:7" s="257" customFormat="1" ht="13.5" customHeight="1">
      <c r="A24" s="947" t="s">
        <v>792</v>
      </c>
      <c r="B24" s="258" t="s">
        <v>2370</v>
      </c>
      <c r="C24" s="1351">
        <f ca="1">ROUND(IF('数据-取费表'!B22&lt;=1,C19*F22*('数据-取费表'!B19/2+'数据-取费表'!B21),C19*(POWER((1+F22),('数据-取费表'!B19/2+'数据-取费表'!B21))-1)),0)</f>
        <v>0</v>
      </c>
      <c r="D24" s="281"/>
      <c r="E24" s="281"/>
      <c r="F24" s="282"/>
      <c r="G24" s="283" t="s">
        <v>2371</v>
      </c>
    </row>
    <row r="25" spans="1:7" s="257" customFormat="1" ht="24">
      <c r="A25" s="947" t="s">
        <v>793</v>
      </c>
      <c r="B25" s="258" t="s">
        <v>2373</v>
      </c>
      <c r="C25" s="1351">
        <f ca="1">ROUND(IF('数据-取费表'!B22&lt;=1,C20*F22*'数据-取费表'!B23/2,C20*(POWER((1+F22),'数据-取费表'!B23/2)-1)),0)</f>
        <v>1</v>
      </c>
      <c r="D25" s="281"/>
      <c r="E25" s="284"/>
      <c r="F25" s="282"/>
      <c r="G25" s="285" t="s">
        <v>2374</v>
      </c>
    </row>
    <row r="26" spans="1:7" s="257" customFormat="1">
      <c r="A26" s="947" t="s">
        <v>795</v>
      </c>
      <c r="B26" s="258" t="s">
        <v>2375</v>
      </c>
      <c r="C26" s="281">
        <f ca="1">ROUND(IF('数据-取费表'!B22&lt;=1,F21*F22*'数据-取费表'!B23/2,F21*(POWER((1+F22),'数据-取费表'!B23/2)-1)),4)</f>
        <v>1.4E-3</v>
      </c>
      <c r="D26" s="281"/>
      <c r="E26" s="284"/>
      <c r="F26" s="282"/>
      <c r="G26" s="286"/>
    </row>
    <row r="27" spans="1:7" s="257" customFormat="1" ht="24.75">
      <c r="A27" s="298" t="s">
        <v>2376</v>
      </c>
      <c r="B27" s="287" t="s">
        <v>2377</v>
      </c>
      <c r="C27" s="288">
        <f ca="1">C28</f>
        <v>81</v>
      </c>
      <c r="D27" s="278">
        <f ca="1">C29</f>
        <v>2E-3</v>
      </c>
      <c r="E27" s="279" t="s">
        <v>2362</v>
      </c>
      <c r="F27" s="289">
        <f ca="1">IF(B1="",'数据-取费表'!Q16,INDIRECT("'数据-取费表'!q"&amp;$G$1))</f>
        <v>0.1</v>
      </c>
      <c r="G27" s="290" t="s">
        <v>2379</v>
      </c>
    </row>
    <row r="28" spans="1:7" s="257" customFormat="1" ht="13.5" customHeight="1">
      <c r="A28" s="947" t="s">
        <v>791</v>
      </c>
      <c r="B28" s="291" t="s">
        <v>2380</v>
      </c>
      <c r="C28" s="292">
        <f ca="1">ROUND((C5+C19+C20)*F27*'数据-取费表'!B21/'数据-取费表'!B20,0)</f>
        <v>81</v>
      </c>
      <c r="D28" s="278"/>
      <c r="E28" s="279"/>
      <c r="F28" s="289"/>
      <c r="G28" s="290"/>
    </row>
    <row r="29" spans="1:7" s="257" customFormat="1" ht="13.5" customHeight="1">
      <c r="A29" s="947" t="s">
        <v>792</v>
      </c>
      <c r="B29" s="291" t="s">
        <v>2381</v>
      </c>
      <c r="C29" s="281">
        <f ca="1">ROUND(C21*F27*'数据-取费表'!B21/'数据-取费表'!B20,4)</f>
        <v>2E-3</v>
      </c>
      <c r="D29" s="278"/>
      <c r="E29" s="279"/>
      <c r="F29" s="289"/>
      <c r="G29" s="290"/>
    </row>
    <row r="30" spans="1:7" s="257" customFormat="1" ht="13.5" customHeight="1">
      <c r="A30" s="298" t="s">
        <v>2382</v>
      </c>
      <c r="B30" s="253" t="s">
        <v>2383</v>
      </c>
      <c r="C30" s="278">
        <f>ROUND(F30/(1+'数据-取费表'!C42),4)</f>
        <v>5.2400000000000002E-2</v>
      </c>
      <c r="D30" s="279" t="s">
        <v>2362</v>
      </c>
      <c r="E30" s="284"/>
      <c r="F30" s="280">
        <f>'数据-取费表'!B41</f>
        <v>5.5000000000000007E-2</v>
      </c>
      <c r="G30" s="277" t="s">
        <v>2384</v>
      </c>
    </row>
    <row r="31" spans="1:7" ht="16.5" customHeight="1">
      <c r="A31" s="252">
        <v>1</v>
      </c>
      <c r="B31" s="253" t="s">
        <v>2385</v>
      </c>
      <c r="C31" s="254">
        <f ca="1">ROUND((C5+C19+C20+C22+C27)/(1-C21-D22-D27-C30),0)</f>
        <v>1092</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2386</v>
      </c>
      <c r="D33" s="275"/>
      <c r="E33" s="255"/>
      <c r="F33" s="284"/>
      <c r="G33" s="277"/>
    </row>
    <row r="34" spans="1:7" s="301" customFormat="1" ht="13.5" customHeight="1">
      <c r="A34" s="947" t="s">
        <v>791</v>
      </c>
      <c r="B34" s="258" t="s">
        <v>2389</v>
      </c>
      <c r="C34" s="263">
        <f ca="1">IF(B1="",IF(F34=100%,'数据-取费表'!M16,'数据-取费表'!O16),IF(F34=100%,INDIRECT("'数据-取费表'!m"&amp;$G$1)+INDIRECT("'数据-取费表'!t"&amp;$G$1),INDIRECT("'数据-取费表'!o"&amp;$G$1)+INDIRECT("'数据-取费表'!aq"&amp;$G$1)))</f>
        <v>2120</v>
      </c>
      <c r="D34" s="260"/>
      <c r="E34" s="263"/>
      <c r="F34" s="300">
        <f ca="1">IF('数据-取费表'!B24=0,1,IF(B1="",'数据-取费表'!N16,INDIRECT("'数据-取费表'!n"&amp;$G$1)))</f>
        <v>1</v>
      </c>
      <c r="G34" s="262" t="s">
        <v>2390</v>
      </c>
    </row>
    <row r="35" spans="1:7" ht="13.5" customHeight="1">
      <c r="A35" s="947" t="s">
        <v>796</v>
      </c>
      <c r="B35" s="258" t="s">
        <v>2391</v>
      </c>
      <c r="C35" s="263">
        <f ca="1">ROUND(C34*F35,0)</f>
        <v>64</v>
      </c>
      <c r="D35" s="263"/>
      <c r="E35" s="263"/>
      <c r="F35" s="302">
        <f>'数据-取费表'!B33</f>
        <v>0.03</v>
      </c>
      <c r="G35" s="262" t="s">
        <v>2392</v>
      </c>
    </row>
    <row r="36" spans="1:7" ht="24">
      <c r="A36" s="947"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47" t="s">
        <v>798</v>
      </c>
      <c r="B37" s="258" t="s">
        <v>2395</v>
      </c>
      <c r="C37" s="292">
        <f ca="1">ROUND(E37*D37*F34/10000,0)</f>
        <v>170</v>
      </c>
      <c r="D37" s="260">
        <f ca="1">D19</f>
        <v>8479.4599999999919</v>
      </c>
      <c r="E37" s="292">
        <f>'数据-取费表'!B35</f>
        <v>200</v>
      </c>
      <c r="F37" s="302"/>
      <c r="G37" s="304" t="s">
        <v>2396</v>
      </c>
    </row>
    <row r="38" spans="1:7" ht="13.5" customHeight="1">
      <c r="A38" s="947" t="s">
        <v>799</v>
      </c>
      <c r="B38" s="258" t="s">
        <v>2397</v>
      </c>
      <c r="C38" s="263">
        <f ca="1">ROUND(C34*F38,0)</f>
        <v>32</v>
      </c>
      <c r="D38" s="263"/>
      <c r="E38" s="263"/>
      <c r="F38" s="302">
        <f>'数据-取费表'!B36</f>
        <v>1.4999999999999999E-2</v>
      </c>
      <c r="G38" s="262" t="s">
        <v>2392</v>
      </c>
    </row>
    <row r="39" spans="1:7" s="257" customFormat="1" ht="13.5" customHeight="1">
      <c r="A39" s="298" t="s">
        <v>2355</v>
      </c>
      <c r="B39" s="253" t="s">
        <v>2358</v>
      </c>
      <c r="C39" s="275">
        <f ca="1">ROUND(C33*F20,0)</f>
        <v>48</v>
      </c>
      <c r="D39" s="275"/>
      <c r="E39" s="275"/>
      <c r="F39" s="276"/>
      <c r="G39" s="277" t="s">
        <v>2400</v>
      </c>
    </row>
    <row r="40" spans="1:7" s="257" customFormat="1" ht="13.5" customHeight="1">
      <c r="A40" s="298" t="s">
        <v>2357</v>
      </c>
      <c r="B40" s="253" t="s">
        <v>2361</v>
      </c>
      <c r="C40" s="1724">
        <f>F21</f>
        <v>0.02</v>
      </c>
      <c r="D40" s="279" t="s">
        <v>2403</v>
      </c>
      <c r="E40" s="275"/>
      <c r="F40" s="276"/>
      <c r="G40" s="277" t="s">
        <v>2404</v>
      </c>
    </row>
    <row r="41" spans="1:7" s="257" customFormat="1" ht="13.5" customHeight="1">
      <c r="A41" s="298" t="s">
        <v>2360</v>
      </c>
      <c r="B41" s="253" t="s">
        <v>2365</v>
      </c>
      <c r="C41" s="275">
        <f ca="1">ROUND(SUM(C42:C43),0)</f>
        <v>175</v>
      </c>
      <c r="D41" s="278">
        <f ca="1">C44</f>
        <v>1.4E-3</v>
      </c>
      <c r="E41" s="279" t="s">
        <v>2403</v>
      </c>
      <c r="F41" s="280"/>
      <c r="G41" s="277" t="str">
        <f>IF('数据-取费表'!B22&lt;=1,"单利计息","复利计息")</f>
        <v>复利计息</v>
      </c>
    </row>
    <row r="42" spans="1:7" ht="13.5" customHeight="1">
      <c r="A42" s="947" t="s">
        <v>791</v>
      </c>
      <c r="B42" s="258" t="s">
        <v>2367</v>
      </c>
      <c r="C42" s="281">
        <f ca="1">ROUND(IF('数据-取费表'!B22&lt;=1,C33*F22*'数据-取费表'!B21/2,C33*(POWER((1+F22),'数据-取费表'!B21/2)-1)),0)</f>
        <v>172</v>
      </c>
      <c r="D42" s="281"/>
      <c r="E42" s="281"/>
      <c r="F42" s="282"/>
      <c r="G42" s="3224" t="s">
        <v>2408</v>
      </c>
    </row>
    <row r="43" spans="1:7" ht="13.5" customHeight="1">
      <c r="A43" s="947" t="s">
        <v>792</v>
      </c>
      <c r="B43" s="258" t="s">
        <v>2370</v>
      </c>
      <c r="C43" s="281">
        <f ca="1">ROUND(IF('数据-取费表'!B22&lt;=1,C39*F22*'数据-取费表'!B21/2,C39*(POWER((1+F22),'数据-取费表'!B21/2)-1)),0)</f>
        <v>3</v>
      </c>
      <c r="D43" s="281"/>
      <c r="E43" s="281"/>
      <c r="F43" s="282"/>
      <c r="G43" s="3225"/>
    </row>
    <row r="44" spans="1:7" ht="13.5" customHeight="1">
      <c r="A44" s="947" t="s">
        <v>793</v>
      </c>
      <c r="B44" s="258" t="s">
        <v>2373</v>
      </c>
      <c r="C44" s="281">
        <f ca="1">ROUND(IF('数据-取费表'!B22&lt;=1,C40*F22*'数据-取费表'!B21/2,C40*(POWER((1+F22),'数据-取费表'!B21/2)-1)),4)</f>
        <v>1.4E-3</v>
      </c>
      <c r="D44" s="281"/>
      <c r="E44" s="281"/>
      <c r="F44" s="282"/>
      <c r="G44" s="3226"/>
    </row>
    <row r="45" spans="1:7" s="257" customFormat="1" ht="13.5" customHeight="1">
      <c r="A45" s="298" t="s">
        <v>2364</v>
      </c>
      <c r="B45" s="287" t="s">
        <v>2377</v>
      </c>
      <c r="C45" s="288">
        <f ca="1">C46</f>
        <v>243</v>
      </c>
      <c r="D45" s="278">
        <f ca="1">C47</f>
        <v>2E-3</v>
      </c>
      <c r="E45" s="279" t="s">
        <v>2403</v>
      </c>
      <c r="F45" s="289"/>
      <c r="G45" s="290" t="s">
        <v>2412</v>
      </c>
    </row>
    <row r="46" spans="1:7" s="257" customFormat="1" ht="13.5" customHeight="1">
      <c r="A46" s="947" t="s">
        <v>791</v>
      </c>
      <c r="B46" s="291" t="s">
        <v>2413</v>
      </c>
      <c r="C46" s="292">
        <f ca="1">ROUND((C33+C39)*F27,0)</f>
        <v>243</v>
      </c>
      <c r="D46" s="306"/>
      <c r="E46" s="279"/>
      <c r="F46" s="289"/>
      <c r="G46" s="290"/>
    </row>
    <row r="47" spans="1:7" s="257" customFormat="1" ht="13.5" customHeight="1">
      <c r="A47" s="947" t="s">
        <v>792</v>
      </c>
      <c r="B47" s="291" t="s">
        <v>2414</v>
      </c>
      <c r="C47" s="281">
        <f ca="1">ROUND(C40*F27,4)</f>
        <v>2E-3</v>
      </c>
      <c r="D47" s="306"/>
      <c r="E47" s="279"/>
      <c r="F47" s="289"/>
      <c r="G47" s="290"/>
    </row>
    <row r="48" spans="1:7" s="257" customFormat="1" ht="13.5" customHeight="1">
      <c r="A48" s="298" t="s">
        <v>2376</v>
      </c>
      <c r="B48" s="253" t="s">
        <v>2415</v>
      </c>
      <c r="C48" s="1724">
        <f>ROUND(F30/(1+'数据-取费表'!C42),4)</f>
        <v>5.2400000000000002E-2</v>
      </c>
      <c r="D48" s="279" t="s">
        <v>2403</v>
      </c>
      <c r="E48" s="275"/>
      <c r="F48" s="280"/>
      <c r="G48" s="277" t="s">
        <v>2416</v>
      </c>
    </row>
    <row r="49" spans="1:7" ht="16.5" customHeight="1">
      <c r="A49" s="298" t="s">
        <v>2382</v>
      </c>
      <c r="B49" s="253" t="s">
        <v>2417</v>
      </c>
      <c r="C49" s="275">
        <f ca="1">ROUND((C33+C39+C41+C45)/(1-C40-D41-D45-C48),0)</f>
        <v>3086</v>
      </c>
      <c r="D49" s="275"/>
      <c r="E49" s="275"/>
      <c r="F49" s="307"/>
      <c r="G49" s="277" t="s">
        <v>2418</v>
      </c>
    </row>
    <row r="50" spans="1:7" s="301" customFormat="1" ht="24">
      <c r="A50" s="298" t="s">
        <v>2419</v>
      </c>
      <c r="B50" s="253" t="s">
        <v>2420</v>
      </c>
      <c r="C50" s="275"/>
      <c r="D50" s="275"/>
      <c r="E50" s="275"/>
      <c r="F50" s="307">
        <f>IF('数据-取费表'!B24=0,'数据-取费表'!N16,1)</f>
        <v>0.98</v>
      </c>
      <c r="G50" s="290" t="s">
        <v>2421</v>
      </c>
    </row>
    <row r="51" spans="1:7" ht="16.5" customHeight="1">
      <c r="A51" s="298" t="s">
        <v>2422</v>
      </c>
      <c r="B51" s="253" t="s">
        <v>2423</v>
      </c>
      <c r="C51" s="275">
        <f ca="1">ROUND(C49*F50,0)</f>
        <v>3024</v>
      </c>
      <c r="D51" s="275"/>
      <c r="E51" s="275"/>
      <c r="F51" s="307"/>
      <c r="G51" s="277" t="s">
        <v>2424</v>
      </c>
    </row>
    <row r="52" spans="1:7" s="251" customFormat="1" ht="16.5" thickBot="1">
      <c r="A52" s="308" t="s">
        <v>2425</v>
      </c>
      <c r="B52" s="309"/>
      <c r="C52" s="310">
        <f ca="1">C31+C51</f>
        <v>4116</v>
      </c>
      <c r="D52" s="309"/>
      <c r="E52" s="309"/>
      <c r="F52" s="309"/>
      <c r="G52" s="311"/>
    </row>
    <row r="55" spans="1:7" ht="15">
      <c r="B55" s="313" t="s">
        <v>2426</v>
      </c>
      <c r="C55" s="314"/>
    </row>
    <row r="56" spans="1:7">
      <c r="B56" s="316" t="s">
        <v>1514</v>
      </c>
      <c r="C56" s="318">
        <f ca="1">1-C57</f>
        <v>0.26500000000000001</v>
      </c>
    </row>
    <row r="57" spans="1:7">
      <c r="B57" s="316" t="s">
        <v>1515</v>
      </c>
      <c r="C57" s="317">
        <f ca="1">ROUND(C51/C52,3)</f>
        <v>0.73499999999999999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t="s">
        <v>48</v>
      </c>
      <c r="D1" s="1816" t="s">
        <v>70</v>
      </c>
      <c r="E1" s="1817" t="s">
        <v>1387</v>
      </c>
      <c r="F1" s="1279">
        <f ca="1">J53</f>
        <v>46.2</v>
      </c>
      <c r="G1" s="1832">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1516</v>
      </c>
      <c r="B2" s="1840">
        <f ca="1">C40+J29+L46</f>
        <v>9129</v>
      </c>
      <c r="C2" s="1841" t="s">
        <v>1517</v>
      </c>
      <c r="D2" s="1841"/>
      <c r="E2" s="1842"/>
      <c r="F2" s="1843"/>
      <c r="G2" s="1844"/>
      <c r="H2" s="1836"/>
      <c r="I2" s="1836"/>
      <c r="J2" s="1836"/>
      <c r="K2" s="1837"/>
      <c r="L2" s="1836"/>
      <c r="M2" s="1836"/>
    </row>
    <row r="3" spans="1:37" ht="18" customHeight="1" thickBot="1">
      <c r="A3" s="1845" t="s">
        <v>1518</v>
      </c>
      <c r="B3" s="1846">
        <f ca="1">IF(ISERROR(B2*10000/F43),0,ROUND(B2*10000/F43,0))</f>
        <v>10766</v>
      </c>
      <c r="C3" s="1841" t="s">
        <v>1519</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88">
        <f ca="1">C6+C10+C12</f>
        <v>500</v>
      </c>
      <c r="D5" s="1818" t="s">
        <v>1402</v>
      </c>
      <c r="E5" s="1289"/>
      <c r="F5" s="1290"/>
      <c r="G5" s="1847"/>
      <c r="H5" s="343">
        <v>1</v>
      </c>
      <c r="I5" s="344" t="s">
        <v>1401</v>
      </c>
      <c r="J5" s="1288">
        <f ca="1">J6+J10+J12</f>
        <v>0</v>
      </c>
      <c r="K5" s="1818" t="s">
        <v>1402</v>
      </c>
      <c r="L5" s="1289"/>
      <c r="M5" s="1290"/>
    </row>
    <row r="6" spans="1:37" ht="18" customHeight="1">
      <c r="A6" s="1287" t="s">
        <v>1035</v>
      </c>
      <c r="B6" s="3229" t="s">
        <v>1403</v>
      </c>
      <c r="C6" s="1292">
        <f ca="1">ROUND(F6*F8*F7*(1-F9)/10000,0)</f>
        <v>500</v>
      </c>
      <c r="D6" s="163" t="s">
        <v>3034</v>
      </c>
      <c r="E6" s="346" t="s">
        <v>1405</v>
      </c>
      <c r="F6" s="347">
        <f ca="1">INDIRECT("'数据-取费表'!u"&amp;$G$1)</f>
        <v>1.7</v>
      </c>
      <c r="G6" s="1847"/>
      <c r="H6" s="1287" t="s">
        <v>1035</v>
      </c>
      <c r="I6" s="3229" t="s">
        <v>1403</v>
      </c>
      <c r="J6" s="345">
        <f ca="1">ROUND(M6*M8*M7*(1-M9)/10000,0)</f>
        <v>0</v>
      </c>
      <c r="K6" s="163" t="s">
        <v>3033</v>
      </c>
      <c r="L6" s="346" t="s">
        <v>1405</v>
      </c>
      <c r="M6" s="347">
        <f ca="1">INDIRECT("'数据-取费表'!z"&amp;$G$1)</f>
        <v>0</v>
      </c>
    </row>
    <row r="7" spans="1:37" ht="18" customHeight="1">
      <c r="A7" s="1291"/>
      <c r="B7" s="3230"/>
      <c r="C7" s="1293"/>
      <c r="D7" s="351"/>
      <c r="E7" s="2988" t="s">
        <v>1406</v>
      </c>
      <c r="F7" s="347">
        <f ca="1">IF(INDIRECT("'数据-取费表'!ah"&amp;$G$1)="",INDIRECT("'数据-取费表'!k"&amp;$G$1),INDIRECT("'数据-取费表'!ah"&amp;$G$1))</f>
        <v>8479.4599999999919</v>
      </c>
      <c r="G7" s="1847"/>
      <c r="H7" s="348"/>
      <c r="I7" s="3230"/>
      <c r="J7" s="350"/>
      <c r="K7" s="351"/>
      <c r="L7" s="346" t="s">
        <v>1406</v>
      </c>
      <c r="M7" s="347">
        <f ca="1">F7</f>
        <v>8479.4599999999919</v>
      </c>
    </row>
    <row r="8" spans="1:37" ht="18" customHeight="1">
      <c r="A8" s="348"/>
      <c r="B8" s="3230"/>
      <c r="C8" s="350"/>
      <c r="D8" s="351"/>
      <c r="E8" s="346" t="s">
        <v>1407</v>
      </c>
      <c r="F8" s="347">
        <f ca="1">INDIRECT("'数据-取费表'!ai"&amp;$G$1)</f>
        <v>365</v>
      </c>
      <c r="G8" s="1847"/>
      <c r="H8" s="348"/>
      <c r="I8" s="3230"/>
      <c r="J8" s="350"/>
      <c r="K8" s="351"/>
      <c r="L8" s="346" t="s">
        <v>1407</v>
      </c>
      <c r="M8" s="347">
        <f ca="1">INDIRECT("'数据-取费表'!ai"&amp;$G$1)</f>
        <v>365</v>
      </c>
    </row>
    <row r="9" spans="1:37" ht="18" customHeight="1">
      <c r="A9" s="348"/>
      <c r="B9" s="3231"/>
      <c r="C9" s="350"/>
      <c r="D9" s="351"/>
      <c r="E9" s="346" t="s">
        <v>1408</v>
      </c>
      <c r="F9" s="356">
        <f ca="1">INDIRECT("'数据-取费表'!w"&amp;$G$1)</f>
        <v>0.05</v>
      </c>
      <c r="G9" s="1847"/>
      <c r="H9" s="348"/>
      <c r="I9" s="3231"/>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ROUND(IF(F10="押一",F6*F8*F7/12*F11,IF(F10="押二",F6*F8*F7/12*2*F11,IF(F10="押三",F6*F8*F7/12*3*F11,C11*F11)))/10000,0)</f>
        <v>0</v>
      </c>
      <c r="D10" s="1820" t="s">
        <v>3030</v>
      </c>
      <c r="E10" s="357" t="s">
        <v>1411</v>
      </c>
      <c r="F10" s="1362" t="s">
        <v>3573</v>
      </c>
      <c r="G10" s="1847"/>
      <c r="H10" s="1287" t="s">
        <v>1039</v>
      </c>
      <c r="I10" s="1819" t="s">
        <v>1409</v>
      </c>
      <c r="J10" s="345">
        <f ca="1">ROUND(IF(M10="押一",M6*M8*M7/12*M11,IF(M10="押二",M6*M8*M7/12*2*M11,IF(M10="押三",M6*M8*M7/12*3*M11,J11*M11)))/10000,0)</f>
        <v>0</v>
      </c>
      <c r="K10" s="1820" t="s">
        <v>3030</v>
      </c>
      <c r="L10" s="357" t="s">
        <v>1411</v>
      </c>
      <c r="M10" s="1362" t="s">
        <v>1412</v>
      </c>
    </row>
    <row r="11" spans="1:37" ht="18" customHeight="1">
      <c r="A11" s="352"/>
      <c r="B11" s="1821" t="s">
        <v>1388</v>
      </c>
      <c r="C11" s="1174"/>
      <c r="D11" s="1822"/>
      <c r="E11" s="357" t="s">
        <v>1413</v>
      </c>
      <c r="F11" s="358">
        <f ca="1">'数据-取费表'!B39</f>
        <v>1.4999999999999999E-2</v>
      </c>
      <c r="G11" s="1847"/>
      <c r="H11" s="1295"/>
      <c r="I11" s="1821" t="s">
        <v>1388</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3024</v>
      </c>
      <c r="D13" s="1327" t="s">
        <v>1416</v>
      </c>
      <c r="E13" s="1327" t="s">
        <v>1417</v>
      </c>
      <c r="F13" s="1328">
        <f ca="1">INDIRECT("'数据-取费表'!y"&amp;$G$1)</f>
        <v>0.98</v>
      </c>
      <c r="G13" s="1847"/>
      <c r="H13" s="1325">
        <v>2</v>
      </c>
      <c r="I13" s="1326" t="s">
        <v>1415</v>
      </c>
      <c r="J13" s="1286">
        <f ca="1">ROUND(J14*J15,0)</f>
        <v>0</v>
      </c>
      <c r="K13" s="1333" t="s">
        <v>1416</v>
      </c>
      <c r="L13" s="1848"/>
      <c r="M13" s="1849"/>
    </row>
    <row r="14" spans="1:37" ht="18" customHeight="1">
      <c r="A14" s="1197" t="s">
        <v>1034</v>
      </c>
      <c r="B14" s="346" t="s">
        <v>1418</v>
      </c>
      <c r="C14" s="362">
        <f ca="1">INDIRECT("'数据-取费表'!m"&amp;$G$1)+INDIRECT("'数据-取费表'!t"&amp;$G$1)</f>
        <v>2120</v>
      </c>
      <c r="D14" s="2976" t="s">
        <v>1419</v>
      </c>
      <c r="E14" s="2971"/>
      <c r="F14" s="363"/>
      <c r="G14" s="1847"/>
      <c r="H14" s="1197" t="s">
        <v>1035</v>
      </c>
      <c r="I14" s="346" t="s">
        <v>1420</v>
      </c>
      <c r="J14" s="23">
        <f ca="1">C29</f>
        <v>3086</v>
      </c>
      <c r="K14" s="2987"/>
      <c r="L14" s="975"/>
      <c r="M14" s="976"/>
    </row>
    <row r="15" spans="1:37" s="1854" customFormat="1" ht="18" customHeight="1" thickBot="1">
      <c r="A15" s="1197" t="s">
        <v>1036</v>
      </c>
      <c r="B15" s="346" t="s">
        <v>1421</v>
      </c>
      <c r="C15" s="23">
        <f ca="1">ROUND(C14*F15,0)</f>
        <v>64</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ROUND(INDIRECT("'数据-取费表'!m"&amp;$G$1)*F16,0)</f>
        <v>0</v>
      </c>
      <c r="D16" s="346" t="s">
        <v>1422</v>
      </c>
      <c r="E16" s="346" t="s">
        <v>1423</v>
      </c>
      <c r="F16" s="366">
        <f ca="1">IF(INDIRECT("'数据-取费表'!c"&amp;$G$1)="住宅",'数据-取费表'!B34,0)</f>
        <v>0</v>
      </c>
      <c r="G16" s="1847"/>
      <c r="H16" s="1325" t="s">
        <v>1030</v>
      </c>
      <c r="I16" s="1326" t="s">
        <v>1425</v>
      </c>
      <c r="J16" s="354">
        <f ca="1">ROUND(J17+J22+J23+J24,0)</f>
        <v>88</v>
      </c>
      <c r="K16" s="1333" t="s">
        <v>1426</v>
      </c>
      <c r="L16" s="2978"/>
      <c r="M16" s="1290"/>
    </row>
    <row r="17" spans="1:37" s="1854" customFormat="1" ht="18" customHeight="1">
      <c r="A17" s="1197" t="s">
        <v>1390</v>
      </c>
      <c r="B17" s="346" t="s">
        <v>1427</v>
      </c>
      <c r="C17" s="23">
        <f ca="1">ROUND(F17*(F43+INDIRECT("'数据-取费表'!S"&amp;$G$1))/10000,0)</f>
        <v>170</v>
      </c>
      <c r="D17" s="346" t="s">
        <v>1428</v>
      </c>
      <c r="E17" s="346" t="s">
        <v>1429</v>
      </c>
      <c r="F17" s="25">
        <f>'数据-取费表'!B35</f>
        <v>200</v>
      </c>
      <c r="G17" s="1850"/>
      <c r="H17" s="1197" t="s">
        <v>1035</v>
      </c>
      <c r="I17" s="346" t="s">
        <v>1430</v>
      </c>
      <c r="J17" s="23">
        <f ca="1">ROUND(IF(项目基本情况!B11="自然人",J5*M17,J18+J19+J20),1)</f>
        <v>26.2</v>
      </c>
      <c r="K17" s="2976" t="s">
        <v>1431</v>
      </c>
      <c r="L17" s="297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32</v>
      </c>
      <c r="D18" s="346" t="s">
        <v>1422</v>
      </c>
      <c r="E18" s="346" t="s">
        <v>1423</v>
      </c>
      <c r="F18" s="366">
        <f>'数据-取费表'!B36</f>
        <v>1.4999999999999999E-2</v>
      </c>
      <c r="G18" s="1850"/>
      <c r="H18" s="1197" t="s">
        <v>1034</v>
      </c>
      <c r="I18" s="346" t="s">
        <v>1434</v>
      </c>
      <c r="J18" s="23">
        <f ca="1">ROUND(J5*M18/(1+'数据-取费表'!C42),2)</f>
        <v>0</v>
      </c>
      <c r="K18" s="297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2386</v>
      </c>
      <c r="D19" s="139" t="s">
        <v>1437</v>
      </c>
      <c r="E19" s="2985"/>
      <c r="F19" s="25"/>
      <c r="G19" s="1847"/>
      <c r="H19" s="1197" t="s">
        <v>1036</v>
      </c>
      <c r="I19" s="346" t="s">
        <v>1438</v>
      </c>
      <c r="J19" s="23">
        <f ca="1">IF(K19="按租金收入计税",ROUND(J5*M19,2),ROUND(C29*M19*0.7,2))</f>
        <v>25.92</v>
      </c>
      <c r="K19" s="1824" t="s">
        <v>1439</v>
      </c>
      <c r="L19" s="346" t="s">
        <v>1423</v>
      </c>
      <c r="M19" s="366">
        <f>IF(K19="按租金收入计税",'数据-取费表'!B51,'数据-取费表'!B50)</f>
        <v>1.2E-2</v>
      </c>
    </row>
    <row r="20" spans="1:37" s="1854" customFormat="1" ht="18" customHeight="1">
      <c r="A20" s="1197" t="s">
        <v>1039</v>
      </c>
      <c r="B20" s="346" t="s">
        <v>1440</v>
      </c>
      <c r="C20" s="23">
        <f ca="1">ROUND(C19*F20,0)</f>
        <v>48</v>
      </c>
      <c r="D20" s="368" t="s">
        <v>1441</v>
      </c>
      <c r="E20" s="346" t="s">
        <v>1423</v>
      </c>
      <c r="F20" s="366">
        <f>'数据-取费表'!B37</f>
        <v>0.02</v>
      </c>
      <c r="G20" s="1850"/>
      <c r="H20" s="1197" t="s">
        <v>1389</v>
      </c>
      <c r="I20" s="163" t="s">
        <v>1442</v>
      </c>
      <c r="J20" s="24">
        <f ca="1">ROUND(M20*M21/10000,2)</f>
        <v>0.25</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18</v>
      </c>
      <c r="D21" s="368" t="s">
        <v>1446</v>
      </c>
      <c r="E21" s="346" t="s">
        <v>1447</v>
      </c>
      <c r="F21" s="366">
        <f>'数据-取费表'!B38</f>
        <v>0.02</v>
      </c>
      <c r="G21" s="1850"/>
      <c r="H21" s="371"/>
      <c r="I21" s="355"/>
      <c r="J21" s="28"/>
      <c r="K21" s="372"/>
      <c r="L21" s="346" t="s">
        <v>1448</v>
      </c>
      <c r="M21" s="347">
        <f ca="1">INDIRECT("'数据-取费表'!r"&amp;$G$1)</f>
        <v>1692.87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2985"/>
      <c r="F22" s="25"/>
      <c r="G22" s="1847"/>
      <c r="H22" s="1197" t="s">
        <v>1039</v>
      </c>
      <c r="I22" s="346" t="s">
        <v>1450</v>
      </c>
      <c r="J22" s="23">
        <f ca="1">ROUND(J14*M22,1)</f>
        <v>61.7</v>
      </c>
      <c r="K22" s="2974" t="s">
        <v>1451</v>
      </c>
      <c r="L22" s="346" t="s">
        <v>1423</v>
      </c>
      <c r="M22" s="373">
        <f ca="1">INDIRECT("'数据-取费表'!Ak"&amp;$G$1)</f>
        <v>0.02</v>
      </c>
    </row>
    <row r="23" spans="1:37" s="1854" customFormat="1" ht="18" customHeight="1">
      <c r="A23" s="1197" t="s">
        <v>1034</v>
      </c>
      <c r="B23" s="346" t="s">
        <v>1452</v>
      </c>
      <c r="C23" s="23">
        <f ca="1">IF('数据-取费表'!B22&lt;=1,ROUND(C19*F24*F23/2,0)+ROUND(C20*F24*F23/2,0),ROUND(C19*(POWER((1+F24),F23/2)-1),0)+ROUND(C20*(POWER((1+F24),F23/2)-1),0))</f>
        <v>175</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ROUND(J13*M23,1)</f>
        <v>0</v>
      </c>
      <c r="K23" s="2974" t="s">
        <v>1455</v>
      </c>
      <c r="L23" s="346" t="s">
        <v>1423</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1392</v>
      </c>
      <c r="I24" s="1336" t="s">
        <v>1440</v>
      </c>
      <c r="J24" s="1337">
        <f ca="1">ROUND(J5*M24,1)</f>
        <v>0</v>
      </c>
      <c r="K24" s="1338" t="s">
        <v>1460</v>
      </c>
      <c r="L24" s="1336" t="s">
        <v>1423</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1461</v>
      </c>
      <c r="B25" s="346" t="s">
        <v>1462</v>
      </c>
      <c r="C25" s="23"/>
      <c r="D25" s="139" t="s">
        <v>1463</v>
      </c>
      <c r="E25" s="2985"/>
      <c r="F25" s="25"/>
      <c r="G25" s="1847"/>
      <c r="H25" s="1325" t="s">
        <v>1031</v>
      </c>
      <c r="I25" s="1340" t="s">
        <v>1464</v>
      </c>
      <c r="J25" s="354">
        <f ca="1">J5-J16</f>
        <v>-88</v>
      </c>
      <c r="K25" s="1341" t="s">
        <v>1465</v>
      </c>
      <c r="L25" s="1342"/>
      <c r="M25" s="1343"/>
    </row>
    <row r="26" spans="1:37">
      <c r="A26" s="1197" t="s">
        <v>1034</v>
      </c>
      <c r="B26" s="346" t="s">
        <v>1466</v>
      </c>
      <c r="C26" s="23">
        <f ca="1">ROUND((C19+C20)*F26,0)</f>
        <v>243</v>
      </c>
      <c r="D26" s="368" t="s">
        <v>1467</v>
      </c>
      <c r="E26" s="357" t="s">
        <v>1468</v>
      </c>
      <c r="F26" s="356">
        <f ca="1">INDIRECT("'数据-取费表'!q"&amp;$G$1)</f>
        <v>0.1</v>
      </c>
      <c r="G26" s="1847"/>
      <c r="H26" s="343" t="s">
        <v>1032</v>
      </c>
      <c r="I26" s="344" t="s">
        <v>1469</v>
      </c>
      <c r="J26" s="345">
        <f ca="1">IF(J5&lt;&gt;0,ROUND(J25*(1-((1+M28)/(1+M26))^M27)/(M26-M28),0),0)</f>
        <v>0</v>
      </c>
      <c r="K26" s="369" t="s">
        <v>1470</v>
      </c>
      <c r="L26" s="346" t="s">
        <v>1471</v>
      </c>
      <c r="M26" s="356">
        <f ca="1">INDIRECT("'数据-取费表'!I"&amp;$G$1)</f>
        <v>0.05</v>
      </c>
    </row>
    <row r="27" spans="1:37" ht="18" customHeight="1">
      <c r="A27" s="1197" t="s">
        <v>1036</v>
      </c>
      <c r="B27" s="346" t="s">
        <v>1472</v>
      </c>
      <c r="C27" s="23">
        <f ca="1">ROUND(F21*F26,4)</f>
        <v>2E-3</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3086</v>
      </c>
      <c r="D29" s="1338"/>
      <c r="E29" s="1336"/>
      <c r="F29" s="1339"/>
      <c r="G29" s="1850"/>
      <c r="H29" s="379" t="s">
        <v>1033</v>
      </c>
      <c r="I29" s="380" t="s">
        <v>1480</v>
      </c>
      <c r="J29" s="381">
        <f ca="1">ROUND(J26/(1+F40)^F41,0)</f>
        <v>0</v>
      </c>
      <c r="K29" s="382" t="s">
        <v>1481</v>
      </c>
      <c r="L29" s="383"/>
      <c r="M29" s="384">
        <f ca="1">INDIRECT("'数据-取费表'!k"&amp;$G$1)</f>
        <v>8479.4599999999919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130</v>
      </c>
      <c r="D30" s="1333" t="s">
        <v>1426</v>
      </c>
      <c r="E30" s="2978"/>
      <c r="F30" s="1290"/>
      <c r="G30" s="1847"/>
      <c r="H30" s="744"/>
      <c r="I30" s="745"/>
      <c r="J30" s="746"/>
      <c r="K30" s="747"/>
      <c r="L30" s="748"/>
      <c r="M30" s="749"/>
    </row>
    <row r="31" spans="1:37" ht="18" customHeight="1">
      <c r="A31" s="1197" t="s">
        <v>1035</v>
      </c>
      <c r="B31" s="346" t="s">
        <v>1430</v>
      </c>
      <c r="C31" s="23">
        <f ca="1">ROUND(IF(项目基本情况!B11="自然人",C5*F31,C32+C33+C34),1)</f>
        <v>52.4</v>
      </c>
      <c r="D31" s="2976" t="s">
        <v>1431</v>
      </c>
      <c r="E31" s="2974" t="s">
        <v>1482</v>
      </c>
      <c r="F31" s="367">
        <f ca="1">IF(项目基本情况!B11="企业","",IF(INDIRECT("'数据-取费表'!c"&amp;$G$1)="住宅",5%,IF(F6*F7*F8/12/(1+'数据-取费表'!C42)&gt;20000,12%,7%)))</f>
        <v>0.12</v>
      </c>
      <c r="G31" s="1847"/>
      <c r="H31" s="744"/>
      <c r="I31" s="745"/>
      <c r="J31" s="746"/>
      <c r="K31" s="747"/>
      <c r="L31" s="748"/>
      <c r="M31" s="749"/>
    </row>
    <row r="32" spans="1:37" ht="18" customHeight="1">
      <c r="A32" s="1197" t="s">
        <v>1034</v>
      </c>
      <c r="B32" s="346" t="s">
        <v>1434</v>
      </c>
      <c r="C32" s="23">
        <f ca="1">IF(项目基本情况!B11="自然人","——",ROUND(C5*F32/(1+'数据-取费表'!C42),2))</f>
        <v>26.19</v>
      </c>
      <c r="D32" s="297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IF(项目基本情况!B11="自然人","——",IF(D33="按租金收入计税",ROUND(C5*F33,2),IF(D33="按房产原值计税",ROUND(C29*F33*0.7,2),INDIRECT("'数据-取费表'!Aj"&amp;$G$1))))</f>
        <v>25.92</v>
      </c>
      <c r="D33" s="1824" t="s">
        <v>3577</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IF(项目基本情况!B11="自然人","——",ROUND(F34*F35/10000,2))</f>
        <v>0.25</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1692.87</v>
      </c>
      <c r="G35" s="1847"/>
      <c r="H35" s="744"/>
      <c r="I35" s="1856"/>
      <c r="J35" s="1857"/>
      <c r="K35" s="1858"/>
      <c r="L35" s="1855"/>
      <c r="M35" s="1855"/>
    </row>
    <row r="36" spans="1:18" ht="18" customHeight="1">
      <c r="A36" s="1348" t="s">
        <v>1039</v>
      </c>
      <c r="B36" s="346" t="s">
        <v>1450</v>
      </c>
      <c r="C36" s="23">
        <f ca="1">ROUND(C29*F36,1)</f>
        <v>61.7</v>
      </c>
      <c r="D36" s="2974" t="s">
        <v>1483</v>
      </c>
      <c r="E36" s="346" t="s">
        <v>1423</v>
      </c>
      <c r="F36" s="373">
        <f ca="1">INDIRECT("'数据-取费表'!Ak"&amp;$G$1)</f>
        <v>0.02</v>
      </c>
      <c r="G36" s="1847"/>
      <c r="H36" s="1855"/>
      <c r="I36" s="1856"/>
      <c r="J36" s="1857"/>
      <c r="K36" s="750"/>
      <c r="L36" s="1855"/>
      <c r="M36" s="1855"/>
    </row>
    <row r="37" spans="1:18" ht="18" customHeight="1">
      <c r="A37" s="1197" t="s">
        <v>1075</v>
      </c>
      <c r="B37" s="346" t="s">
        <v>1454</v>
      </c>
      <c r="C37" s="23">
        <f ca="1">ROUND(C13*F37,1)</f>
        <v>6</v>
      </c>
      <c r="D37" s="2974" t="s">
        <v>1455</v>
      </c>
      <c r="E37" s="346" t="s">
        <v>1423</v>
      </c>
      <c r="F37" s="375">
        <f ca="1">INDIRECT("'数据-取费表'!Al"&amp;$G$1)</f>
        <v>2E-3</v>
      </c>
      <c r="G37" s="1847"/>
      <c r="H37" s="1855"/>
      <c r="I37" s="1856"/>
      <c r="J37" s="1857"/>
      <c r="K37" s="750"/>
      <c r="L37" s="1855"/>
      <c r="M37" s="1855"/>
    </row>
    <row r="38" spans="1:18" ht="18" customHeight="1" thickBot="1">
      <c r="A38" s="1335" t="s">
        <v>1392</v>
      </c>
      <c r="B38" s="1336" t="s">
        <v>1440</v>
      </c>
      <c r="C38" s="1337">
        <f ca="1">ROUND(C5*F38,1)</f>
        <v>10</v>
      </c>
      <c r="D38" s="1338" t="s">
        <v>1460</v>
      </c>
      <c r="E38" s="1336" t="s">
        <v>1423</v>
      </c>
      <c r="F38" s="1332">
        <f ca="1">INDIRECT("'数据-取费表'!Am"&amp;$G$1)</f>
        <v>0.02</v>
      </c>
      <c r="G38" s="1847"/>
      <c r="H38" s="1855"/>
      <c r="I38" s="1856"/>
      <c r="J38" s="1857"/>
      <c r="K38" s="1861"/>
      <c r="L38" s="1855"/>
      <c r="M38" s="1855"/>
    </row>
    <row r="39" spans="1:18" ht="24.6" customHeight="1" thickTop="1">
      <c r="A39" s="1325" t="s">
        <v>1031</v>
      </c>
      <c r="B39" s="1340" t="s">
        <v>1464</v>
      </c>
      <c r="C39" s="354">
        <f ca="1">C5-C30</f>
        <v>370</v>
      </c>
      <c r="D39" s="1341" t="s">
        <v>1465</v>
      </c>
      <c r="E39" s="1342"/>
      <c r="F39" s="1343"/>
      <c r="G39" s="1847"/>
      <c r="H39" s="1855"/>
      <c r="I39" s="1856"/>
      <c r="J39" s="1857"/>
      <c r="K39" s="1861"/>
      <c r="L39" s="1855"/>
      <c r="M39" s="1855"/>
    </row>
    <row r="40" spans="1:18" ht="18" customHeight="1">
      <c r="A40" s="343" t="s">
        <v>1032</v>
      </c>
      <c r="B40" s="344" t="s">
        <v>1486</v>
      </c>
      <c r="C40" s="345">
        <f ca="1">ROUND(C39*(1-((1+F42)/(1+F40))^F41)/(F40-F42),0)</f>
        <v>9101</v>
      </c>
      <c r="D40" s="369" t="s">
        <v>1470</v>
      </c>
      <c r="E40" s="346" t="s">
        <v>1471</v>
      </c>
      <c r="F40" s="356">
        <f ca="1">INDIRECT("'数据-取费表'!I"&amp;$G$1)</f>
        <v>0.05</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46.2</v>
      </c>
      <c r="G41" s="1847"/>
      <c r="H41" s="731"/>
      <c r="I41" s="1856"/>
      <c r="J41" s="1857"/>
      <c r="K41" s="750"/>
      <c r="L41" s="731"/>
      <c r="M41" s="731"/>
    </row>
    <row r="42" spans="1:18" ht="18" customHeight="1">
      <c r="A42" s="352"/>
      <c r="B42" s="353"/>
      <c r="C42" s="354"/>
      <c r="D42" s="372"/>
      <c r="E42" s="346" t="s">
        <v>1478</v>
      </c>
      <c r="F42" s="356">
        <f ca="1">INDIRECT("'数据-取费表'!v"&amp;$G$1)</f>
        <v>0.02</v>
      </c>
      <c r="G42" s="1847"/>
      <c r="H42" s="731"/>
      <c r="I42" s="1856"/>
      <c r="J42" s="1857"/>
      <c r="K42" s="750"/>
      <c r="L42" s="731"/>
      <c r="M42" s="731"/>
    </row>
    <row r="43" spans="1:18" ht="18" customHeight="1" thickBot="1">
      <c r="A43" s="379" t="s">
        <v>1033</v>
      </c>
      <c r="B43" s="380" t="s">
        <v>1488</v>
      </c>
      <c r="C43" s="381">
        <f ca="1">ROUND(C40*10000/F43,0)</f>
        <v>10733</v>
      </c>
      <c r="D43" s="382" t="s">
        <v>1489</v>
      </c>
      <c r="E43" s="383" t="s">
        <v>1490</v>
      </c>
      <c r="F43" s="384">
        <f ca="1">INDIRECT("'数据-取费表'!k"&amp;$G$1)</f>
        <v>8479.4599999999919</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1520</v>
      </c>
      <c r="P45" s="1835"/>
      <c r="Q45" s="1835"/>
      <c r="R45" s="1835"/>
    </row>
    <row r="46" spans="1:18" s="1838" customFormat="1" ht="13.5" thickBot="1">
      <c r="A46" s="1866" t="s">
        <v>1521</v>
      </c>
      <c r="C46" s="1867">
        <f ca="1">C68-C40</f>
        <v>-10784</v>
      </c>
      <c r="D46" s="1868" t="str">
        <f>C2</f>
        <v>万元</v>
      </c>
      <c r="E46" s="1862"/>
      <c r="F46" s="1862"/>
      <c r="I46" s="1869" t="s">
        <v>1522</v>
      </c>
      <c r="J46" s="1870"/>
      <c r="K46" s="1871"/>
      <c r="L46" s="1872">
        <f ca="1">IF(M47="住宅",0,IF(L48&gt;J51,L60,J60))</f>
        <v>28</v>
      </c>
      <c r="O46" s="1873" t="s">
        <v>1523</v>
      </c>
      <c r="P46" s="1874" t="s">
        <v>1524</v>
      </c>
      <c r="Q46" s="1875" t="s">
        <v>1525</v>
      </c>
      <c r="R46" s="1875" t="s">
        <v>1526</v>
      </c>
    </row>
    <row r="47" spans="1:18" s="1838" customFormat="1" ht="13.5" thickBot="1">
      <c r="A47" s="1161" t="s">
        <v>1396</v>
      </c>
      <c r="B47" s="1193" t="s">
        <v>1397</v>
      </c>
      <c r="C47" s="1363" t="s">
        <v>1398</v>
      </c>
      <c r="D47" s="1193" t="s">
        <v>1399</v>
      </c>
      <c r="E47" s="1275" t="s">
        <v>1400</v>
      </c>
      <c r="F47" s="1276"/>
      <c r="G47" s="791"/>
      <c r="I47" s="1876" t="s">
        <v>1527</v>
      </c>
      <c r="J47" s="1877" t="s">
        <v>3545</v>
      </c>
      <c r="K47" s="1878" t="s">
        <v>1528</v>
      </c>
      <c r="L47" s="1879">
        <f ca="1">INDIRECT("'数据-取费表'!d"&amp;$G$1)</f>
        <v>50</v>
      </c>
      <c r="M47" s="1834" t="str">
        <f>IF(ISNUMBER(FIND("住宅",C1)),"住宅","非住宅")</f>
        <v>非住宅</v>
      </c>
      <c r="O47" s="1880" t="s">
        <v>1040</v>
      </c>
      <c r="P47" s="1881" t="s">
        <v>1529</v>
      </c>
      <c r="Q47" s="1882">
        <f ca="1">C40+J29</f>
        <v>9101</v>
      </c>
      <c r="R47" s="1882" t="s">
        <v>1530</v>
      </c>
    </row>
    <row r="48" spans="1:18" s="1838" customFormat="1" ht="28.5" thickBot="1">
      <c r="A48" s="1356" t="s">
        <v>1135</v>
      </c>
      <c r="B48" s="344" t="s">
        <v>1401</v>
      </c>
      <c r="C48" s="2984">
        <f ca="1">C49+C53+C55</f>
        <v>0</v>
      </c>
      <c r="D48" s="1358"/>
      <c r="E48" s="1359"/>
      <c r="F48" s="1177"/>
      <c r="G48" s="791"/>
      <c r="H48" s="792"/>
      <c r="I48" s="1883" t="s">
        <v>1531</v>
      </c>
      <c r="J48" s="1884" t="s">
        <v>3570</v>
      </c>
      <c r="K48" s="1885" t="s">
        <v>1532</v>
      </c>
      <c r="L48" s="1886">
        <f ca="1">INDIRECT("'数据-取费表'!f"&amp;$G$1)</f>
        <v>46.2</v>
      </c>
      <c r="O48" s="1880" t="s">
        <v>1041</v>
      </c>
      <c r="P48" s="1881" t="s">
        <v>1533</v>
      </c>
      <c r="Q48" s="1882">
        <f ca="1">J60</f>
        <v>28</v>
      </c>
      <c r="R48" s="1882" t="s">
        <v>1534</v>
      </c>
    </row>
    <row r="49" spans="1:18" s="1838" customFormat="1" ht="13.5" thickBot="1">
      <c r="A49" s="1190" t="s">
        <v>1136</v>
      </c>
      <c r="B49" s="1825" t="s">
        <v>1491</v>
      </c>
      <c r="C49" s="1360">
        <f ca="1">ROUND(F49*F51*F50*(1-F52)/10000,0)</f>
        <v>0</v>
      </c>
      <c r="D49" s="1272" t="s">
        <v>3033</v>
      </c>
      <c r="E49" s="1826" t="s">
        <v>1492</v>
      </c>
      <c r="F49" s="1277"/>
      <c r="G49" s="1887"/>
      <c r="H49" s="792"/>
      <c r="I49" s="1883" t="s">
        <v>1535</v>
      </c>
      <c r="J49" s="3015">
        <v>2018</v>
      </c>
      <c r="K49" s="1885" t="s">
        <v>1536</v>
      </c>
      <c r="L49" s="1889"/>
      <c r="O49" s="1890" t="s">
        <v>1042</v>
      </c>
      <c r="P49" s="1881" t="s">
        <v>1537</v>
      </c>
      <c r="Q49" s="1882">
        <f ca="1">C29</f>
        <v>3086</v>
      </c>
      <c r="R49" s="1882" t="s">
        <v>1530</v>
      </c>
    </row>
    <row r="50" spans="1:18" s="1838" customFormat="1" ht="13.5" thickBot="1">
      <c r="A50" s="1191"/>
      <c r="B50" s="1194"/>
      <c r="C50" s="1364"/>
      <c r="D50" s="1168"/>
      <c r="E50" s="1273" t="s">
        <v>1406</v>
      </c>
      <c r="F50" s="1274">
        <f ca="1">F7</f>
        <v>8479.4599999999919</v>
      </c>
      <c r="H50" s="792"/>
      <c r="I50" s="1883" t="s">
        <v>1538</v>
      </c>
      <c r="J50" s="1891">
        <f>SUMPRODUCT((I63:I65=J47)*(J62:L62=J48)*(J63:L65))</f>
        <v>60</v>
      </c>
      <c r="K50" s="1885" t="s">
        <v>1539</v>
      </c>
      <c r="L50" s="1889"/>
      <c r="M50" s="1892"/>
      <c r="O50" s="1890" t="s">
        <v>1043</v>
      </c>
      <c r="P50" s="1881" t="s">
        <v>1540</v>
      </c>
      <c r="Q50" s="1893">
        <f ca="1">J58</f>
        <v>0.4</v>
      </c>
      <c r="R50" s="1882"/>
    </row>
    <row r="51" spans="1:18" s="1838" customFormat="1" ht="13.5" thickBot="1">
      <c r="A51" s="1192"/>
      <c r="B51" s="1194"/>
      <c r="C51" s="1195"/>
      <c r="D51" s="1168"/>
      <c r="E51" s="1196" t="s">
        <v>1407</v>
      </c>
      <c r="F51" s="347">
        <f ca="1">F8</f>
        <v>365</v>
      </c>
      <c r="I51" s="1894" t="s">
        <v>1541</v>
      </c>
      <c r="J51" s="1895">
        <f>IF(J49="",J50,J49+J50-YEAR('数据-取费表'!B2))</f>
        <v>60</v>
      </c>
      <c r="K51" s="1896" t="s">
        <v>1542</v>
      </c>
      <c r="L51" s="1897">
        <f ca="1">ROUND(-PV(INDIRECT("'数据-取费表'!h"&amp;$G$1),L48,(C39-C13*C76),0),0)</f>
        <v>2182</v>
      </c>
      <c r="M51" s="1898"/>
      <c r="O51" s="1890" t="s">
        <v>1044</v>
      </c>
      <c r="P51" s="1881" t="s">
        <v>1543</v>
      </c>
      <c r="Q51" s="1893">
        <f>J52</f>
        <v>8.5000000000000006E-2</v>
      </c>
      <c r="R51" s="1882"/>
    </row>
    <row r="52" spans="1:18" s="1838" customFormat="1" ht="13.5" thickBot="1">
      <c r="A52" s="1192"/>
      <c r="B52" s="1194"/>
      <c r="C52" s="1195"/>
      <c r="D52" s="1168"/>
      <c r="E52" s="1196" t="s">
        <v>1408</v>
      </c>
      <c r="F52" s="1271"/>
      <c r="I52" s="1899" t="s">
        <v>1544</v>
      </c>
      <c r="J52" s="1900">
        <v>8.5000000000000006E-2</v>
      </c>
      <c r="K52" s="1899" t="s">
        <v>1545</v>
      </c>
      <c r="L52" s="1900"/>
      <c r="O52" s="1890" t="s">
        <v>1045</v>
      </c>
      <c r="P52" s="1881" t="s">
        <v>1546</v>
      </c>
      <c r="Q52" s="1882">
        <f ca="1">J53</f>
        <v>46.2</v>
      </c>
      <c r="R52" s="1882" t="s">
        <v>1547</v>
      </c>
    </row>
    <row r="53" spans="1:18" s="1838" customFormat="1" ht="24.75" thickBot="1">
      <c r="A53" s="1401" t="s">
        <v>1137</v>
      </c>
      <c r="B53" s="1827" t="s">
        <v>1409</v>
      </c>
      <c r="C53" s="360">
        <f ca="1">ROUND(IF(F53="押一",F49*F51*F50/12*F11,IF(F53="押二",F49*F51*F50/12*2*F11,IF(F53="押三",F49*F51*F50/12*3*F11,C54*F11)))/10000,0)</f>
        <v>0</v>
      </c>
      <c r="D53" s="1820" t="s">
        <v>3030</v>
      </c>
      <c r="E53" s="357" t="s">
        <v>1411</v>
      </c>
      <c r="F53" s="1362"/>
      <c r="I53" s="1901" t="s">
        <v>1548</v>
      </c>
      <c r="J53" s="1902">
        <f ca="1">IF(M47="住宅",J51,IF(D1="——",MIN(J51,L48),IF(D1="在建（套用方法）",MIN(J51,L48-'数据-取费表'!B24),IF(D1="土地（套用方法）",MIN(J51,L48-'数据-取费表'!B20)))))</f>
        <v>46.2</v>
      </c>
      <c r="K53" s="3227" t="s">
        <v>1549</v>
      </c>
      <c r="L53" s="3228"/>
      <c r="O53" s="1880" t="s">
        <v>1046</v>
      </c>
      <c r="P53" s="1881" t="s">
        <v>1550</v>
      </c>
      <c r="Q53" s="1882">
        <f ca="1">Q47+Q48</f>
        <v>9129</v>
      </c>
      <c r="R53" s="1882" t="s">
        <v>1047</v>
      </c>
    </row>
    <row r="54" spans="1:18" s="1838" customFormat="1" ht="13.5" thickBot="1">
      <c r="A54" s="1402"/>
      <c r="B54" s="1821" t="s">
        <v>1388</v>
      </c>
      <c r="C54" s="1174"/>
      <c r="D54" s="1820"/>
      <c r="E54" s="298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1551</v>
      </c>
      <c r="P54" s="1835"/>
      <c r="Q54" s="1835"/>
      <c r="R54" s="1835"/>
    </row>
    <row r="55" spans="1:18" s="1838" customFormat="1" ht="13.5" thickBot="1">
      <c r="A55" s="1329" t="s">
        <v>1075</v>
      </c>
      <c r="B55" s="1823" t="s">
        <v>1414</v>
      </c>
      <c r="C55" s="1330"/>
      <c r="D55" s="1820"/>
      <c r="E55" s="2980"/>
      <c r="F55" s="1903"/>
      <c r="I55" s="1906" t="s">
        <v>1552</v>
      </c>
      <c r="J55" s="1907">
        <f ca="1">ROUND(IF(J47="钢混",J57/J50,1-(1-2%)*(J50-J57)/J50),3)</f>
        <v>0.23</v>
      </c>
      <c r="K55" s="1908" t="s">
        <v>1553</v>
      </c>
      <c r="L55" s="1909" t="s">
        <v>3572</v>
      </c>
      <c r="O55" s="1873" t="s">
        <v>1523</v>
      </c>
      <c r="P55" s="1874" t="s">
        <v>1524</v>
      </c>
      <c r="Q55" s="1875" t="s">
        <v>1525</v>
      </c>
      <c r="R55" s="1875" t="s">
        <v>1526</v>
      </c>
    </row>
    <row r="56" spans="1:18" s="1838" customFormat="1" ht="25.5" thickTop="1" thickBot="1">
      <c r="A56" s="1172">
        <v>2</v>
      </c>
      <c r="B56" s="1173" t="s">
        <v>1415</v>
      </c>
      <c r="C56" s="275">
        <f ca="1">C13</f>
        <v>3024</v>
      </c>
      <c r="D56" s="1910"/>
      <c r="E56" s="1911"/>
      <c r="F56" s="1903"/>
      <c r="I56" s="1912" t="s">
        <v>1554</v>
      </c>
      <c r="J56" s="1913" t="s">
        <v>3571</v>
      </c>
      <c r="K56" s="1883" t="s">
        <v>1555</v>
      </c>
      <c r="L56" s="1886" t="str">
        <f ca="1">IF(L48&lt;J51,"——",L48-J53)</f>
        <v>——</v>
      </c>
      <c r="O56" s="1880" t="s">
        <v>1040</v>
      </c>
      <c r="P56" s="1881" t="s">
        <v>1529</v>
      </c>
      <c r="Q56" s="1882">
        <f ca="1">C40+J29</f>
        <v>9101</v>
      </c>
      <c r="R56" s="1882" t="s">
        <v>1530</v>
      </c>
    </row>
    <row r="57" spans="1:18" s="1838" customFormat="1" ht="24.75" thickBot="1">
      <c r="A57" s="1914"/>
      <c r="B57" s="1165" t="s">
        <v>1479</v>
      </c>
      <c r="C57" s="281">
        <f ca="1">C29</f>
        <v>3086</v>
      </c>
      <c r="D57" s="1915"/>
      <c r="E57" s="1916"/>
      <c r="F57" s="1917"/>
      <c r="I57" s="1918" t="s">
        <v>1556</v>
      </c>
      <c r="J57" s="1919">
        <f ca="1">IF(OR(M47="住宅",J51&lt;L48,J56="是"),"——",J51-L48)</f>
        <v>13.799999999999997</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3" t="s">
        <v>1425</v>
      </c>
      <c r="C58" s="360">
        <f ca="1">ROUND(C59+C64+C65+C66,0)</f>
        <v>94</v>
      </c>
      <c r="D58" s="1175" t="s">
        <v>1426</v>
      </c>
      <c r="E58" s="1176"/>
      <c r="F58" s="1177"/>
      <c r="I58" s="1918" t="s">
        <v>1560</v>
      </c>
      <c r="J58" s="1920">
        <f ca="1">IF(J55&lt;0.4,0.4,J55)</f>
        <v>0.4</v>
      </c>
      <c r="K58" s="1896" t="s">
        <v>1561</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ROUND(IF(项目基本情况!B11="自然人",C48*F59,C60+C61+C62),1)</f>
        <v>26.2</v>
      </c>
      <c r="D59" s="1178" t="s">
        <v>1431</v>
      </c>
      <c r="E59" s="1179" t="s">
        <v>1432</v>
      </c>
      <c r="F59" s="367">
        <f ca="1">IF(项目基本情况!B11="企业","",IF(INDIRECT("'数据-取费表'!c"&amp;$G$1)="住宅",5%,IF(F49*F50*F51/12/(1+'数据-取费表'!C42)&gt;20000,12%,7%)))</f>
        <v>7.0000000000000007E-2</v>
      </c>
      <c r="I59" s="1918" t="s">
        <v>1563</v>
      </c>
      <c r="J59" s="1919">
        <f ca="1">IF(OR(M47="住宅",J51&lt;L48,J56="是"),"——",ROUND(C29*J58,0))</f>
        <v>1234</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IF(项目基本情况!B11="自然人","——",ROUND(C48*F60/(1+'数据-取费表'!C42),2))</f>
        <v>0</v>
      </c>
      <c r="D60" s="1179" t="s">
        <v>1435</v>
      </c>
      <c r="E60" s="1165" t="s">
        <v>1423</v>
      </c>
      <c r="F60" s="376">
        <f t="shared" ref="F60:F66" si="0">F32</f>
        <v>5.5000000000000007E-2</v>
      </c>
      <c r="I60" s="1921" t="s">
        <v>1565</v>
      </c>
      <c r="J60" s="1922">
        <f ca="1">IF(OR(M47="住宅",J51&lt;L48,J56="是"),"0",ROUND(J59/(1+J52)^J53,0))</f>
        <v>28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1493</v>
      </c>
      <c r="B61" s="1165" t="s">
        <v>1438</v>
      </c>
      <c r="C61" s="23">
        <f ca="1">IF(项目基本情况!B11="自然人","——",IF(D61="按租金收入计税",ROUND(C48*F61,2),IF(D61="按房产原值计税",ROUND(C57*F61*0.7,2),INDIRECT("'数据-取费表'!Aj"&amp;$G$1))))</f>
        <v>25.92</v>
      </c>
      <c r="D61" s="1824" t="s">
        <v>1439</v>
      </c>
      <c r="E61" s="1165" t="s">
        <v>1423</v>
      </c>
      <c r="F61" s="366">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1496</v>
      </c>
      <c r="B62" s="1164" t="s">
        <v>1442</v>
      </c>
      <c r="C62" s="24">
        <f ca="1">IF(项目基本情况!B11="自然人","——",ROUND(F62*F63/10000,2))</f>
        <v>0.25</v>
      </c>
      <c r="D62" s="1180" t="s">
        <v>1443</v>
      </c>
      <c r="E62" s="1165" t="s">
        <v>1444</v>
      </c>
      <c r="F62" s="370">
        <f t="shared" si="0"/>
        <v>1.5</v>
      </c>
      <c r="I62" s="1925" t="s">
        <v>1570</v>
      </c>
      <c r="J62" s="1926" t="s">
        <v>1571</v>
      </c>
      <c r="K62" s="1926" t="s">
        <v>1572</v>
      </c>
      <c r="L62" s="1926" t="s">
        <v>1573</v>
      </c>
      <c r="M62" s="1927" t="s">
        <v>1574</v>
      </c>
      <c r="O62" s="1880" t="s">
        <v>1046</v>
      </c>
      <c r="P62" s="1881" t="s">
        <v>1550</v>
      </c>
      <c r="Q62" s="1882">
        <f ca="1">Q56+Q57</f>
        <v>9101</v>
      </c>
      <c r="R62" s="1882" t="s">
        <v>1047</v>
      </c>
    </row>
    <row r="63" spans="1:18" s="1838" customFormat="1" ht="13.5" thickBot="1">
      <c r="A63" s="371"/>
      <c r="B63" s="1171"/>
      <c r="C63" s="28"/>
      <c r="D63" s="1181"/>
      <c r="E63" s="1165" t="s">
        <v>1448</v>
      </c>
      <c r="F63" s="347">
        <f t="shared" ca="1" si="0"/>
        <v>1692.87</v>
      </c>
      <c r="I63" s="1925" t="s">
        <v>1576</v>
      </c>
      <c r="J63" s="1926">
        <v>70</v>
      </c>
      <c r="K63" s="1926">
        <v>50</v>
      </c>
      <c r="L63" s="1926">
        <v>80</v>
      </c>
      <c r="M63" s="1928">
        <v>0.02</v>
      </c>
      <c r="O63" s="1865" t="s">
        <v>1577</v>
      </c>
      <c r="P63" s="1835"/>
      <c r="Q63" s="1835"/>
      <c r="R63" s="1835"/>
    </row>
    <row r="64" spans="1:18" s="1838" customFormat="1" ht="13.5" thickBot="1">
      <c r="A64" s="1197" t="s">
        <v>1039</v>
      </c>
      <c r="B64" s="1165" t="s">
        <v>1450</v>
      </c>
      <c r="C64" s="23">
        <f ca="1">ROUND(C57*F64,1)</f>
        <v>61.7</v>
      </c>
      <c r="D64" s="1179" t="s">
        <v>1483</v>
      </c>
      <c r="E64" s="1165" t="s">
        <v>1423</v>
      </c>
      <c r="F64" s="373">
        <f t="shared" ca="1" si="0"/>
        <v>0.02</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ROUND(C56*F65,1)</f>
        <v>6</v>
      </c>
      <c r="D65" s="1179" t="s">
        <v>1455</v>
      </c>
      <c r="E65" s="1165" t="s">
        <v>1423</v>
      </c>
      <c r="F65" s="375">
        <f t="shared" ca="1" si="0"/>
        <v>2E-3</v>
      </c>
      <c r="I65" s="1925" t="s">
        <v>1579</v>
      </c>
      <c r="J65" s="1926">
        <v>40</v>
      </c>
      <c r="K65" s="1926">
        <v>30</v>
      </c>
      <c r="L65" s="1926">
        <v>50</v>
      </c>
      <c r="M65" s="1928">
        <v>0.02</v>
      </c>
      <c r="O65" s="1880" t="s">
        <v>1040</v>
      </c>
      <c r="P65" s="1881" t="s">
        <v>1529</v>
      </c>
      <c r="Q65" s="1882">
        <f ca="1">C40+J29</f>
        <v>9101</v>
      </c>
      <c r="R65" s="1882" t="s">
        <v>1530</v>
      </c>
    </row>
    <row r="66" spans="1:18" s="1838" customFormat="1" ht="16.5" thickBot="1">
      <c r="A66" s="1197" t="s">
        <v>1505</v>
      </c>
      <c r="B66" s="1165" t="s">
        <v>1440</v>
      </c>
      <c r="C66" s="23">
        <f ca="1">ROUND(C48*F66,1)</f>
        <v>0</v>
      </c>
      <c r="D66" s="1179" t="s">
        <v>1460</v>
      </c>
      <c r="E66" s="1165" t="s">
        <v>1423</v>
      </c>
      <c r="F66" s="356">
        <f t="shared" ca="1" si="0"/>
        <v>0.02</v>
      </c>
      <c r="O66" s="1880" t="s">
        <v>1041</v>
      </c>
      <c r="P66" s="1881" t="s">
        <v>1558</v>
      </c>
      <c r="Q66" s="1882">
        <f ca="1">L60</f>
        <v>0</v>
      </c>
      <c r="R66" s="1882" t="s">
        <v>1581</v>
      </c>
    </row>
    <row r="67" spans="1:18" s="1838" customFormat="1" ht="16.5" thickBot="1">
      <c r="A67" s="1172" t="s">
        <v>1031</v>
      </c>
      <c r="B67" s="1182" t="s">
        <v>1464</v>
      </c>
      <c r="C67" s="360">
        <f ca="1">C48-C58</f>
        <v>-94</v>
      </c>
      <c r="D67" s="1178" t="s">
        <v>1465</v>
      </c>
      <c r="E67" s="1183"/>
      <c r="F67" s="1184"/>
      <c r="O67" s="1890" t="s">
        <v>1042</v>
      </c>
      <c r="P67" s="1881" t="s">
        <v>1562</v>
      </c>
      <c r="Q67" s="1929">
        <f ca="1">L51</f>
        <v>2182</v>
      </c>
      <c r="R67" s="1882" t="s">
        <v>1582</v>
      </c>
    </row>
    <row r="68" spans="1:18" s="1838" customFormat="1" ht="16.5" thickBot="1">
      <c r="A68" s="1162" t="s">
        <v>1032</v>
      </c>
      <c r="B68" s="1163" t="s">
        <v>1486</v>
      </c>
      <c r="C68" s="345">
        <f ca="1">ROUND(C67*(1-((1+F70)/(1+F68))^F69)/(F68-F70),0)</f>
        <v>-1683</v>
      </c>
      <c r="D68" s="1180" t="s">
        <v>1470</v>
      </c>
      <c r="E68" s="1165" t="s">
        <v>1471</v>
      </c>
      <c r="F68" s="356">
        <f ca="1">F40</f>
        <v>0.05</v>
      </c>
      <c r="O68" s="1890" t="s">
        <v>1043</v>
      </c>
      <c r="P68" s="1930" t="s">
        <v>1583</v>
      </c>
      <c r="Q68" s="1882">
        <f ca="1">ROUND(Q69-Q70*Q71,0)</f>
        <v>113</v>
      </c>
      <c r="R68" s="1882" t="s">
        <v>1051</v>
      </c>
    </row>
    <row r="69" spans="1:18" s="1838" customFormat="1" ht="13.5" thickBot="1">
      <c r="A69" s="1166"/>
      <c r="B69" s="1167"/>
      <c r="C69" s="350"/>
      <c r="D69" s="1185" t="s">
        <v>1474</v>
      </c>
      <c r="E69" s="1165" t="s">
        <v>1475</v>
      </c>
      <c r="F69" s="378">
        <f ca="1">F41</f>
        <v>46.2</v>
      </c>
      <c r="O69" s="1890" t="s">
        <v>1048</v>
      </c>
      <c r="P69" s="1930" t="s">
        <v>1584</v>
      </c>
      <c r="Q69" s="1882">
        <f ca="1">C39</f>
        <v>370</v>
      </c>
      <c r="R69" s="1882" t="s">
        <v>1530</v>
      </c>
    </row>
    <row r="70" spans="1:18" s="1838" customFormat="1" ht="13.5" thickBot="1">
      <c r="A70" s="1169"/>
      <c r="B70" s="1170"/>
      <c r="C70" s="354"/>
      <c r="D70" s="1181"/>
      <c r="E70" s="1165" t="s">
        <v>1478</v>
      </c>
      <c r="F70" s="1271"/>
      <c r="O70" s="1890" t="s">
        <v>1049</v>
      </c>
      <c r="P70" s="1930" t="s">
        <v>1585</v>
      </c>
      <c r="Q70" s="1882">
        <f ca="1">C13</f>
        <v>3024</v>
      </c>
      <c r="R70" s="1882" t="s">
        <v>1530</v>
      </c>
    </row>
    <row r="71" spans="1:18" s="1838" customFormat="1" ht="13.5" thickBot="1">
      <c r="A71" s="1186" t="s">
        <v>1033</v>
      </c>
      <c r="B71" s="1187" t="s">
        <v>1488</v>
      </c>
      <c r="C71" s="381">
        <f ca="1">ROUND(C68*10000/F71,0)</f>
        <v>-1985</v>
      </c>
      <c r="D71" s="1188" t="s">
        <v>1489</v>
      </c>
      <c r="E71" s="1189" t="s">
        <v>1490</v>
      </c>
      <c r="F71" s="384">
        <f ca="1">F43</f>
        <v>8479.4599999999919</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5" t="s">
        <v>1507</v>
      </c>
      <c r="C75" s="386">
        <f ca="1">ROUND(C13*C76,0)</f>
        <v>257</v>
      </c>
      <c r="D75" s="1838"/>
      <c r="E75" s="1838"/>
      <c r="F75" s="1838"/>
      <c r="K75" s="1864"/>
      <c r="L75" s="1838"/>
      <c r="O75" s="1880" t="s">
        <v>1046</v>
      </c>
      <c r="P75" s="1881" t="s">
        <v>1550</v>
      </c>
      <c r="Q75" s="1882">
        <f ca="1">Q65+Q66</f>
        <v>9101</v>
      </c>
      <c r="R75" s="1882" t="s">
        <v>1047</v>
      </c>
    </row>
    <row r="76" spans="1:18">
      <c r="B76" s="387" t="s">
        <v>1508</v>
      </c>
      <c r="C76" s="388">
        <f ca="1">INDIRECT("'数据-取费表'!j"&amp;$G$1)</f>
        <v>8.5000000000000006E-2</v>
      </c>
      <c r="I76" s="1838"/>
      <c r="J76" s="1838"/>
      <c r="K76" s="1864"/>
      <c r="L76" s="1838"/>
    </row>
    <row r="77" spans="1:18">
      <c r="B77" s="389" t="s">
        <v>1509</v>
      </c>
      <c r="C77" s="390"/>
      <c r="I77" s="1838"/>
      <c r="J77" s="1838"/>
      <c r="K77" s="1864"/>
      <c r="L77" s="1838"/>
    </row>
    <row r="78" spans="1:18">
      <c r="B78" s="313" t="s">
        <v>1510</v>
      </c>
      <c r="C78" s="391"/>
    </row>
    <row r="79" spans="1:18">
      <c r="B79" s="385" t="s">
        <v>1511</v>
      </c>
      <c r="C79" s="317">
        <f ca="1">1-C80</f>
        <v>0.30500000000000005</v>
      </c>
    </row>
    <row r="80" spans="1:18">
      <c r="B80" s="385" t="s">
        <v>1512</v>
      </c>
      <c r="C80" s="317">
        <f ca="1">ROUND(C75/C39,3)</f>
        <v>0.69499999999999995</v>
      </c>
    </row>
    <row r="81" spans="2:3">
      <c r="B81" s="313" t="s">
        <v>1513</v>
      </c>
      <c r="C81" s="281"/>
    </row>
    <row r="82" spans="2:3">
      <c r="B82" s="316" t="s">
        <v>1514</v>
      </c>
      <c r="C82" s="318">
        <f ca="1">1-C83</f>
        <v>0.66799999999999993</v>
      </c>
    </row>
    <row r="83" spans="2:3">
      <c r="B83" s="316" t="s">
        <v>1515</v>
      </c>
      <c r="C83" s="317">
        <f ca="1">ROUND(C13/C40,3)</f>
        <v>0.33200000000000002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1" priority="4">
      <formula>$L$48&gt;$J$51</formula>
    </cfRule>
  </conditionalFormatting>
  <conditionalFormatting sqref="I55 I60">
    <cfRule type="expression" dxfId="100" priority="5">
      <formula>$J$51&gt;$L$48</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1589</v>
      </c>
      <c r="B1" s="781"/>
      <c r="C1" s="1833"/>
      <c r="D1" s="1816"/>
      <c r="E1" s="1817" t="s">
        <v>1387</v>
      </c>
      <c r="F1" s="1279" t="b">
        <f>J53</f>
        <v>0</v>
      </c>
      <c r="G1" s="1832">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1590</v>
      </c>
      <c r="B2" s="1840" t="e">
        <f ca="1">ROUND(D2/10000,0)</f>
        <v>#DIV/0!</v>
      </c>
      <c r="C2" s="1841" t="s">
        <v>1591</v>
      </c>
      <c r="D2" s="1934" t="e">
        <f ca="1">C40+J29+L46</f>
        <v>#DIV/0!</v>
      </c>
      <c r="E2" s="1842" t="s">
        <v>1592</v>
      </c>
      <c r="F2" s="1843"/>
      <c r="G2" s="1844"/>
      <c r="H2" s="1836"/>
      <c r="I2" s="1836"/>
      <c r="J2" s="1836"/>
      <c r="K2" s="1837"/>
      <c r="L2" s="1836"/>
      <c r="M2" s="1836"/>
    </row>
    <row r="3" spans="1:37" ht="18" customHeight="1" thickBot="1">
      <c r="A3" s="1845" t="s">
        <v>1593</v>
      </c>
      <c r="B3" s="1846">
        <f ca="1">IF(ISERROR(D2/F43),0,ROUND(D2/F43,0))</f>
        <v>0</v>
      </c>
      <c r="C3" s="1841" t="s">
        <v>1594</v>
      </c>
      <c r="D3" s="1841"/>
      <c r="E3" s="1842"/>
      <c r="F3" s="1843"/>
      <c r="G3" s="1844"/>
      <c r="H3" s="743" t="s">
        <v>1588</v>
      </c>
      <c r="I3" s="1836"/>
      <c r="J3" s="1836"/>
      <c r="K3" s="1837"/>
      <c r="L3" s="1836"/>
      <c r="M3" s="1836"/>
    </row>
    <row r="4" spans="1:37" ht="18" customHeight="1">
      <c r="A4" s="339" t="s">
        <v>1595</v>
      </c>
      <c r="B4" s="340" t="s">
        <v>1596</v>
      </c>
      <c r="C4" s="340" t="s">
        <v>1597</v>
      </c>
      <c r="D4" s="340" t="s">
        <v>1598</v>
      </c>
      <c r="E4" s="341" t="s">
        <v>1599</v>
      </c>
      <c r="F4" s="342"/>
      <c r="G4" s="1847"/>
      <c r="H4" s="339" t="s">
        <v>1595</v>
      </c>
      <c r="I4" s="340" t="s">
        <v>1596</v>
      </c>
      <c r="J4" s="340" t="s">
        <v>1597</v>
      </c>
      <c r="K4" s="340" t="s">
        <v>1598</v>
      </c>
      <c r="L4" s="341" t="s">
        <v>1599</v>
      </c>
      <c r="M4" s="342"/>
    </row>
    <row r="5" spans="1:37" ht="18" customHeight="1">
      <c r="A5" s="343">
        <v>1</v>
      </c>
      <c r="B5" s="344" t="s">
        <v>1600</v>
      </c>
      <c r="C5" s="1288">
        <f ca="1">C6+C10+C12</f>
        <v>0</v>
      </c>
      <c r="D5" s="1818" t="s">
        <v>1601</v>
      </c>
      <c r="E5" s="1289"/>
      <c r="F5" s="1290"/>
      <c r="G5" s="1847"/>
      <c r="H5" s="343">
        <v>1</v>
      </c>
      <c r="I5" s="344" t="s">
        <v>1600</v>
      </c>
      <c r="J5" s="1288">
        <f ca="1">J6+J10+J12</f>
        <v>0</v>
      </c>
      <c r="K5" s="1818" t="s">
        <v>1601</v>
      </c>
      <c r="L5" s="1289"/>
      <c r="M5" s="1290"/>
    </row>
    <row r="6" spans="1:37" ht="18" customHeight="1">
      <c r="A6" s="1287" t="s">
        <v>1035</v>
      </c>
      <c r="B6" s="3229" t="s">
        <v>1403</v>
      </c>
      <c r="C6" s="1292">
        <f ca="1">ROUND(F6*F8*F7*(1-F9),0)</f>
        <v>0</v>
      </c>
      <c r="D6" s="163" t="s">
        <v>3029</v>
      </c>
      <c r="E6" s="346" t="s">
        <v>1405</v>
      </c>
      <c r="F6" s="347">
        <f ca="1">INDIRECT("'数据-取费表'!u"&amp;$G$1)</f>
        <v>0</v>
      </c>
      <c r="G6" s="1847"/>
      <c r="H6" s="1287" t="s">
        <v>1035</v>
      </c>
      <c r="I6" s="3229" t="s">
        <v>1403</v>
      </c>
      <c r="J6" s="345">
        <f ca="1">ROUND(M6*M8*M7*(1-M9),0)</f>
        <v>0</v>
      </c>
      <c r="K6" s="1830" t="s">
        <v>3032</v>
      </c>
      <c r="L6" s="346" t="s">
        <v>1405</v>
      </c>
      <c r="M6" s="347">
        <f ca="1">INDIRECT("'数据-取费表'!z"&amp;$G$1)</f>
        <v>0</v>
      </c>
    </row>
    <row r="7" spans="1:37" ht="18" customHeight="1">
      <c r="A7" s="1291"/>
      <c r="B7" s="3230"/>
      <c r="C7" s="1293"/>
      <c r="D7" s="351"/>
      <c r="E7" s="1294" t="s">
        <v>1406</v>
      </c>
      <c r="F7" s="347">
        <f ca="1">IF(INDIRECT("'数据-取费表'!ah"&amp;$G$1)="",INDIRECT("'数据-取费表'!k"&amp;$G$1),INDIRECT("'数据-取费表'!ah"&amp;$G$1))</f>
        <v>0</v>
      </c>
      <c r="G7" s="1847"/>
      <c r="H7" s="348"/>
      <c r="I7" s="3230"/>
      <c r="J7" s="350"/>
      <c r="K7" s="351"/>
      <c r="L7" s="346" t="s">
        <v>1406</v>
      </c>
      <c r="M7" s="347">
        <f ca="1">F7</f>
        <v>0</v>
      </c>
    </row>
    <row r="8" spans="1:37" ht="18" customHeight="1">
      <c r="A8" s="348"/>
      <c r="B8" s="3230"/>
      <c r="C8" s="350"/>
      <c r="D8" s="351"/>
      <c r="E8" s="346" t="s">
        <v>1407</v>
      </c>
      <c r="F8" s="347">
        <f ca="1">INDIRECT("'数据-取费表'!ai"&amp;$G$1)</f>
        <v>0</v>
      </c>
      <c r="G8" s="1847"/>
      <c r="H8" s="348"/>
      <c r="I8" s="3230"/>
      <c r="J8" s="350"/>
      <c r="K8" s="351"/>
      <c r="L8" s="346" t="s">
        <v>1407</v>
      </c>
      <c r="M8" s="347">
        <f ca="1">INDIRECT("'数据-取费表'!ai"&amp;$G$1)</f>
        <v>0</v>
      </c>
    </row>
    <row r="9" spans="1:37" ht="18" customHeight="1">
      <c r="A9" s="348"/>
      <c r="B9" s="3231"/>
      <c r="C9" s="350"/>
      <c r="D9" s="351"/>
      <c r="E9" s="346" t="s">
        <v>1408</v>
      </c>
      <c r="F9" s="356">
        <f ca="1">INDIRECT("'数据-取费表'!w"&amp;$G$1)</f>
        <v>0</v>
      </c>
      <c r="G9" s="1847"/>
      <c r="H9" s="348"/>
      <c r="I9" s="3231"/>
      <c r="J9" s="350"/>
      <c r="K9" s="351"/>
      <c r="L9" s="357" t="s">
        <v>1408</v>
      </c>
      <c r="M9" s="358">
        <f ca="1">INDIRECT("'数据-取费表'!ab"&amp;$G$1)</f>
        <v>0</v>
      </c>
    </row>
    <row r="10" spans="1:37" ht="18" customHeight="1">
      <c r="A10" s="1287" t="s">
        <v>1039</v>
      </c>
      <c r="B10" s="1819" t="s">
        <v>1409</v>
      </c>
      <c r="C10" s="360">
        <f ca="1">ROUND(IF(F10="押一",F6*F8*F7/12*F11,IF(F10="押二",F6*F8*F7/12*2*F11,IF(F10="押三",F6*F8*F7/12*3*F11,C11*F11))),0)</f>
        <v>0</v>
      </c>
      <c r="D10" s="1820" t="s">
        <v>3030</v>
      </c>
      <c r="E10" s="357" t="s">
        <v>1411</v>
      </c>
      <c r="F10" s="1362"/>
      <c r="G10" s="1847"/>
      <c r="H10" s="1287" t="s">
        <v>1039</v>
      </c>
      <c r="I10" s="1819" t="s">
        <v>1409</v>
      </c>
      <c r="J10" s="345">
        <f ca="1">ROUND(IF(M10="押一",M6*M8*M7/12*M11,IF(M10="押二",M6*M8*M7/12*2*M11,IF(M10="押三",M6*M8*M7/12*3*M11,J11*M11))),0)</f>
        <v>0</v>
      </c>
      <c r="K10" s="1831" t="s">
        <v>3031</v>
      </c>
      <c r="L10" s="357" t="s">
        <v>1411</v>
      </c>
      <c r="M10" s="1362"/>
    </row>
    <row r="11" spans="1:37" ht="18" customHeight="1">
      <c r="A11" s="352"/>
      <c r="B11" s="1821" t="s">
        <v>1602</v>
      </c>
      <c r="C11" s="1174"/>
      <c r="D11" s="351"/>
      <c r="E11" s="357" t="s">
        <v>1413</v>
      </c>
      <c r="F11" s="358">
        <f ca="1">'数据-取费表'!B39</f>
        <v>1.4999999999999999E-2</v>
      </c>
      <c r="G11" s="1847"/>
      <c r="H11" s="1295"/>
      <c r="I11" s="1821" t="s">
        <v>1603</v>
      </c>
      <c r="J11" s="1174"/>
      <c r="K11" s="747"/>
      <c r="L11" s="357" t="s">
        <v>1413</v>
      </c>
      <c r="M11" s="1052">
        <f ca="1">'数据-取费表'!B39</f>
        <v>1.4999999999999999E-2</v>
      </c>
    </row>
    <row r="12" spans="1:37" ht="18" customHeight="1" thickBot="1">
      <c r="A12" s="1329" t="s">
        <v>1075</v>
      </c>
      <c r="B12" s="1823" t="s">
        <v>1414</v>
      </c>
      <c r="C12" s="1330"/>
      <c r="D12" s="1331"/>
      <c r="E12" s="1336"/>
      <c r="F12" s="1332"/>
      <c r="G12" s="1847"/>
      <c r="H12" s="1329" t="s">
        <v>1075</v>
      </c>
      <c r="I12" s="1823" t="s">
        <v>1414</v>
      </c>
      <c r="J12" s="1330"/>
      <c r="K12" s="1344"/>
      <c r="L12" s="1336"/>
      <c r="M12" s="1345"/>
    </row>
    <row r="13" spans="1:37" ht="18" customHeight="1" thickTop="1">
      <c r="A13" s="1325">
        <v>2</v>
      </c>
      <c r="B13" s="1326" t="s">
        <v>1415</v>
      </c>
      <c r="C13" s="354">
        <f ca="1">ROUND(C29*F13,0)</f>
        <v>0</v>
      </c>
      <c r="D13" s="1327" t="s">
        <v>1416</v>
      </c>
      <c r="E13" s="1327" t="s">
        <v>1417</v>
      </c>
      <c r="F13" s="1328">
        <f ca="1">INDIRECT("'数据-取费表'!y"&amp;$G$1)</f>
        <v>0</v>
      </c>
      <c r="G13" s="1847"/>
      <c r="H13" s="1325">
        <v>2</v>
      </c>
      <c r="I13" s="1326" t="s">
        <v>1415</v>
      </c>
      <c r="J13" s="1286">
        <f ca="1">ROUND(J14*J15,0)</f>
        <v>0</v>
      </c>
      <c r="K13" s="1333" t="s">
        <v>1416</v>
      </c>
      <c r="L13" s="1848"/>
      <c r="M13" s="1849"/>
    </row>
    <row r="14" spans="1:37" ht="18" customHeight="1">
      <c r="A14" s="1197" t="s">
        <v>1034</v>
      </c>
      <c r="B14" s="346" t="s">
        <v>1418</v>
      </c>
      <c r="C14" s="362">
        <f ca="1">ROUND(INDIRECT("'数据-取费表'!l"&amp;$G$1)*F43+'数据-取费表'!L14*INDIRECT("'数据-取费表'!S"&amp;$G$1),0)</f>
        <v>0</v>
      </c>
      <c r="D14" s="1796" t="s">
        <v>1419</v>
      </c>
      <c r="E14" s="1790"/>
      <c r="F14" s="363"/>
      <c r="G14" s="1847"/>
      <c r="H14" s="1197" t="s">
        <v>1035</v>
      </c>
      <c r="I14" s="346" t="s">
        <v>1420</v>
      </c>
      <c r="J14" s="23">
        <f ca="1">C29</f>
        <v>0</v>
      </c>
      <c r="K14" s="14"/>
      <c r="L14" s="975"/>
      <c r="M14" s="976"/>
    </row>
    <row r="15" spans="1:37" s="1854" customFormat="1" ht="18" customHeight="1" thickBot="1">
      <c r="A15" s="1197" t="s">
        <v>1036</v>
      </c>
      <c r="B15" s="346" t="s">
        <v>1421</v>
      </c>
      <c r="C15" s="23">
        <f ca="1">ROUND(C14*F15,0)</f>
        <v>0</v>
      </c>
      <c r="D15" s="364" t="s">
        <v>1422</v>
      </c>
      <c r="E15" s="364" t="s">
        <v>1423</v>
      </c>
      <c r="F15" s="365">
        <f>'数据-取费表'!B33</f>
        <v>0.03</v>
      </c>
      <c r="G15" s="1850"/>
      <c r="H15" s="1335" t="s">
        <v>1039</v>
      </c>
      <c r="I15" s="1336" t="s">
        <v>1417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6" t="s">
        <v>1424</v>
      </c>
      <c r="C16" s="23">
        <f ca="1">ROUND(INDIRECT("'数据-取费表'!l"&amp;$G$1)*F43*F16,0)</f>
        <v>0</v>
      </c>
      <c r="D16" s="346" t="s">
        <v>1422</v>
      </c>
      <c r="E16" s="346" t="s">
        <v>1423</v>
      </c>
      <c r="F16" s="366">
        <f ca="1">IF(INDIRECT("'数据-取费表'!c"&amp;$G$1)="住宅",'数据-取费表'!B34,0)</f>
        <v>0</v>
      </c>
      <c r="G16" s="1847"/>
      <c r="H16" s="1325" t="s">
        <v>1030</v>
      </c>
      <c r="I16" s="1326" t="s">
        <v>1425</v>
      </c>
      <c r="J16" s="354">
        <f ca="1">ROUND(J17+J22+J23+J24,0)</f>
        <v>0</v>
      </c>
      <c r="K16" s="1333" t="s">
        <v>1426</v>
      </c>
      <c r="L16" s="1334"/>
      <c r="M16" s="1290"/>
    </row>
    <row r="17" spans="1:37" s="1854" customFormat="1" ht="18" customHeight="1">
      <c r="A17" s="1197" t="s">
        <v>1390</v>
      </c>
      <c r="B17" s="346" t="s">
        <v>1427</v>
      </c>
      <c r="C17" s="23">
        <f ca="1">ROUND(F17*(F43+INDIRECT("'数据-取费表'!S"&amp;$G$1)),0)</f>
        <v>0</v>
      </c>
      <c r="D17" s="346" t="s">
        <v>1428</v>
      </c>
      <c r="E17" s="346" t="s">
        <v>1429</v>
      </c>
      <c r="F17" s="25">
        <f>'数据-取费表'!B35</f>
        <v>200</v>
      </c>
      <c r="G17" s="1850"/>
      <c r="H17" s="1197" t="s">
        <v>1035</v>
      </c>
      <c r="I17" s="346" t="s">
        <v>1430</v>
      </c>
      <c r="J17" s="23">
        <f ca="1">ROUND(IF(项目基本情况!B11="自然人",J5*M17,J18+J19+J20),0)</f>
        <v>0</v>
      </c>
      <c r="K17" s="1796" t="s">
        <v>1431</v>
      </c>
      <c r="L17" s="1794" t="s">
        <v>1432</v>
      </c>
      <c r="M17" s="367">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6" t="s">
        <v>1433</v>
      </c>
      <c r="C18" s="23">
        <f ca="1">ROUND(C14*F18,0)</f>
        <v>0</v>
      </c>
      <c r="D18" s="346" t="s">
        <v>1422</v>
      </c>
      <c r="E18" s="346" t="s">
        <v>1423</v>
      </c>
      <c r="F18" s="366">
        <f>'数据-取费表'!B36</f>
        <v>1.4999999999999999E-2</v>
      </c>
      <c r="G18" s="1850"/>
      <c r="H18" s="1197" t="s">
        <v>1034</v>
      </c>
      <c r="I18" s="346" t="s">
        <v>1434</v>
      </c>
      <c r="J18" s="23">
        <f ca="1">ROUND(J5*M18/(1+'数据-取费表'!C42),0)</f>
        <v>0</v>
      </c>
      <c r="K18" s="1794" t="s">
        <v>1435</v>
      </c>
      <c r="L18" s="346" t="s">
        <v>1423</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6" t="s">
        <v>1436</v>
      </c>
      <c r="C19" s="23">
        <f ca="1">SUM(C14:C18)</f>
        <v>0</v>
      </c>
      <c r="D19" s="139" t="s">
        <v>1437</v>
      </c>
      <c r="E19" s="1814"/>
      <c r="F19" s="25"/>
      <c r="G19" s="1847"/>
      <c r="H19" s="1197" t="s">
        <v>1036</v>
      </c>
      <c r="I19" s="346" t="s">
        <v>1438</v>
      </c>
      <c r="J19" s="23">
        <f ca="1">IF(K19="按租金收入计税",ROUND(J5*M19,0),ROUND(C29*M19*0.7,0))</f>
        <v>0</v>
      </c>
      <c r="K19" s="1824" t="s">
        <v>1439</v>
      </c>
      <c r="L19" s="346" t="s">
        <v>1423</v>
      </c>
      <c r="M19" s="366">
        <f>IF(K19="按租金收入计税",'数据-取费表'!B51,'数据-取费表'!B50)</f>
        <v>1.2E-2</v>
      </c>
    </row>
    <row r="20" spans="1:37" s="1854" customFormat="1" ht="18" customHeight="1">
      <c r="A20" s="1197" t="s">
        <v>1039</v>
      </c>
      <c r="B20" s="346" t="s">
        <v>1440</v>
      </c>
      <c r="C20" s="23">
        <f ca="1">ROUND(C19*F20,0)</f>
        <v>0</v>
      </c>
      <c r="D20" s="368" t="s">
        <v>1441</v>
      </c>
      <c r="E20" s="346" t="s">
        <v>1423</v>
      </c>
      <c r="F20" s="366">
        <f>'数据-取费表'!B37</f>
        <v>0.02</v>
      </c>
      <c r="G20" s="1850"/>
      <c r="H20" s="1197" t="s">
        <v>1389</v>
      </c>
      <c r="I20" s="163" t="s">
        <v>1442</v>
      </c>
      <c r="J20" s="24">
        <f ca="1">ROUND(M20*M21,0)</f>
        <v>0</v>
      </c>
      <c r="K20" s="369" t="s">
        <v>1443</v>
      </c>
      <c r="L20" s="346" t="s">
        <v>1444</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6" t="s">
        <v>1445</v>
      </c>
      <c r="C21" s="23" t="s">
        <v>1</v>
      </c>
      <c r="D21" s="368" t="s">
        <v>1446</v>
      </c>
      <c r="E21" s="346" t="s">
        <v>1447</v>
      </c>
      <c r="F21" s="366">
        <f>'数据-取费表'!B38</f>
        <v>0.02</v>
      </c>
      <c r="G21" s="1850"/>
      <c r="H21" s="371"/>
      <c r="I21" s="355"/>
      <c r="J21" s="28"/>
      <c r="K21" s="372"/>
      <c r="L21" s="346" t="s">
        <v>1448</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6" t="s">
        <v>1449</v>
      </c>
      <c r="C22" s="23"/>
      <c r="D22" s="139" t="str">
        <f>IF(F23&lt;=1,"单利计息。","复利计息。")&amp;"建造成本、管理费用、销售费用产生的利息。"</f>
        <v>复利计息。建造成本、管理费用、销售费用产生的利息。</v>
      </c>
      <c r="E22" s="1814"/>
      <c r="F22" s="25"/>
      <c r="G22" s="1847"/>
      <c r="H22" s="1197" t="s">
        <v>1039</v>
      </c>
      <c r="I22" s="346" t="s">
        <v>1450</v>
      </c>
      <c r="J22" s="23">
        <f ca="1">ROUND(J14*M22,0)</f>
        <v>0</v>
      </c>
      <c r="K22" s="1794" t="s">
        <v>1451</v>
      </c>
      <c r="L22" s="346" t="s">
        <v>1423</v>
      </c>
      <c r="M22" s="373">
        <f ca="1">INDIRECT("'数据-取费表'!Ak"&amp;$G$1)</f>
        <v>0</v>
      </c>
    </row>
    <row r="23" spans="1:37" s="1854" customFormat="1" ht="18" customHeight="1">
      <c r="A23" s="1197" t="s">
        <v>1034</v>
      </c>
      <c r="B23" s="346" t="s">
        <v>1452</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3</v>
      </c>
      <c r="G23" s="1850"/>
      <c r="H23" s="1197" t="s">
        <v>1075</v>
      </c>
      <c r="I23" s="346" t="s">
        <v>1454</v>
      </c>
      <c r="J23" s="23">
        <f ca="1">ROUND(J13*M23,0)</f>
        <v>0</v>
      </c>
      <c r="K23" s="1794" t="s">
        <v>1455</v>
      </c>
      <c r="L23" s="346" t="s">
        <v>1456</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1457</v>
      </c>
      <c r="B24" s="346" t="s">
        <v>1458</v>
      </c>
      <c r="C24" s="23">
        <f ca="1">ROUND(IF('数据-取费表'!B22&lt;=1,F21*F24*F23/2,F21*(POWER((1+F24),F23/2)-1)),4)</f>
        <v>1.4E-3</v>
      </c>
      <c r="D24" s="374" t="str">
        <f>IF(F23&lt;=1,"销售费用×利率×(建设周期÷2)","销售费用×((1+利率)^(建设周期÷2)-1)")</f>
        <v>销售费用×((1+利率)^(建设周期÷2)-1)</v>
      </c>
      <c r="E24" s="346" t="s">
        <v>1459</v>
      </c>
      <c r="F24" s="376">
        <f ca="1">'数据-取费表'!B40</f>
        <v>4.7500000000000001E-2</v>
      </c>
      <c r="G24" s="1850"/>
      <c r="H24" s="1335" t="s">
        <v>1393</v>
      </c>
      <c r="I24" s="1336" t="s">
        <v>1440</v>
      </c>
      <c r="J24" s="1337">
        <f ca="1">ROUND(J5*M24,0)</f>
        <v>0</v>
      </c>
      <c r="K24" s="1338" t="s">
        <v>1460</v>
      </c>
      <c r="L24" s="1336" t="s">
        <v>1456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1461</v>
      </c>
      <c r="B25" s="346" t="s">
        <v>1462</v>
      </c>
      <c r="C25" s="23"/>
      <c r="D25" s="139" t="s">
        <v>1463</v>
      </c>
      <c r="E25" s="1814"/>
      <c r="F25" s="25"/>
      <c r="G25" s="1847"/>
      <c r="H25" s="1325" t="s">
        <v>1031</v>
      </c>
      <c r="I25" s="1340" t="s">
        <v>1464</v>
      </c>
      <c r="J25" s="354">
        <f ca="1">J5-J16</f>
        <v>0</v>
      </c>
      <c r="K25" s="1341" t="s">
        <v>1465</v>
      </c>
      <c r="L25" s="1342"/>
      <c r="M25" s="1343"/>
    </row>
    <row r="26" spans="1:37" ht="18" customHeight="1">
      <c r="A26" s="1197" t="s">
        <v>1034</v>
      </c>
      <c r="B26" s="346" t="s">
        <v>1466</v>
      </c>
      <c r="C26" s="23">
        <f ca="1">ROUND((C19+C20)*F26,0)</f>
        <v>0</v>
      </c>
      <c r="D26" s="368" t="s">
        <v>1467</v>
      </c>
      <c r="E26" s="357" t="s">
        <v>1468</v>
      </c>
      <c r="F26" s="356">
        <f ca="1">INDIRECT("'数据-取费表'!q"&amp;$G$1)</f>
        <v>0</v>
      </c>
      <c r="G26" s="1847"/>
      <c r="H26" s="343" t="s">
        <v>1032</v>
      </c>
      <c r="I26" s="344" t="s">
        <v>1469</v>
      </c>
      <c r="J26" s="345">
        <f ca="1">IF(J5&lt;&gt;0,ROUND(J25*(1-((1+M28)/(1+M26))^M27)/(M26-M28),0),0)</f>
        <v>0</v>
      </c>
      <c r="K26" s="369" t="s">
        <v>1470</v>
      </c>
      <c r="L26" s="346" t="s">
        <v>1471</v>
      </c>
      <c r="M26" s="356">
        <f ca="1">INDIRECT("'数据-取费表'!I"&amp;$G$1)</f>
        <v>0</v>
      </c>
    </row>
    <row r="27" spans="1:37" ht="18" customHeight="1">
      <c r="A27" s="1197" t="s">
        <v>1036</v>
      </c>
      <c r="B27" s="346" t="s">
        <v>1472</v>
      </c>
      <c r="C27" s="23">
        <f ca="1">ROUND(F21*F26,4)</f>
        <v>0</v>
      </c>
      <c r="D27" s="368" t="s">
        <v>1473</v>
      </c>
      <c r="E27" s="364"/>
      <c r="F27" s="365"/>
      <c r="G27" s="1847"/>
      <c r="H27" s="348"/>
      <c r="I27" s="349"/>
      <c r="J27" s="350"/>
      <c r="K27" s="377" t="s">
        <v>1474</v>
      </c>
      <c r="L27" s="346" t="s">
        <v>1475</v>
      </c>
      <c r="M27" s="378">
        <f ca="1">INDIRECT("'数据-取费表'!ag"&amp;$G$1)</f>
        <v>0</v>
      </c>
    </row>
    <row r="28" spans="1:37" s="1854" customFormat="1" ht="18" customHeight="1">
      <c r="A28" s="1197" t="s">
        <v>1037</v>
      </c>
      <c r="B28" s="346" t="s">
        <v>1476</v>
      </c>
      <c r="C28" s="23">
        <f>ROUND(F28/(1+'数据-取费表'!C42),4)</f>
        <v>5.2400000000000002E-2</v>
      </c>
      <c r="D28" s="368" t="s">
        <v>1477</v>
      </c>
      <c r="E28" s="346" t="s">
        <v>1423</v>
      </c>
      <c r="F28" s="366">
        <f>'数据-取费表'!B41</f>
        <v>5.5000000000000007E-2</v>
      </c>
      <c r="G28" s="1850"/>
      <c r="H28" s="352"/>
      <c r="I28" s="353"/>
      <c r="J28" s="354"/>
      <c r="K28" s="372"/>
      <c r="L28" s="346" t="s">
        <v>1478</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1479</v>
      </c>
      <c r="C29" s="1337">
        <f ca="1">ROUND((C19+C20+C23+C26)/(1-F21-C24-C27-C28),0)</f>
        <v>0</v>
      </c>
      <c r="D29" s="1338"/>
      <c r="E29" s="1336"/>
      <c r="F29" s="1339"/>
      <c r="G29" s="1850"/>
      <c r="H29" s="379" t="s">
        <v>1033</v>
      </c>
      <c r="I29" s="380" t="s">
        <v>1480</v>
      </c>
      <c r="J29" s="381">
        <f ca="1">ROUND(J26/(1+F40)^F41,0)</f>
        <v>0</v>
      </c>
      <c r="K29" s="382" t="s">
        <v>1481</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1425</v>
      </c>
      <c r="C30" s="354">
        <f ca="1">ROUND(C31+C36+C37+C38,0)</f>
        <v>0</v>
      </c>
      <c r="D30" s="1333" t="s">
        <v>1426</v>
      </c>
      <c r="E30" s="1334"/>
      <c r="F30" s="1290"/>
      <c r="G30" s="1847"/>
      <c r="H30" s="744"/>
      <c r="I30" s="745"/>
      <c r="J30" s="746"/>
      <c r="K30" s="747"/>
      <c r="L30" s="748"/>
      <c r="M30" s="749"/>
    </row>
    <row r="31" spans="1:37" ht="18" customHeight="1">
      <c r="A31" s="1197" t="s">
        <v>1035</v>
      </c>
      <c r="B31" s="346" t="s">
        <v>1430</v>
      </c>
      <c r="C31" s="23">
        <f ca="1">ROUND(IF(项目基本情况!B11="自然人",C5*F31,C32+C33+C34),0)</f>
        <v>0</v>
      </c>
      <c r="D31" s="1796" t="s">
        <v>1431</v>
      </c>
      <c r="E31" s="1794" t="s">
        <v>1482</v>
      </c>
      <c r="F31" s="367">
        <f ca="1">IF(项目基本情况!B11="企业","",IF(INDIRECT("'数据-取费表'!c"&amp;$G$1)="住宅",5%,IF(F6*F7*F8/12/(1+'数据-取费表'!C42)&gt;20000,12%,7%)))</f>
        <v>7.0000000000000007E-2</v>
      </c>
      <c r="G31" s="1847"/>
      <c r="H31" s="744"/>
      <c r="I31" s="745"/>
      <c r="J31" s="746"/>
      <c r="K31" s="747"/>
      <c r="L31" s="748"/>
      <c r="M31" s="749"/>
    </row>
    <row r="32" spans="1:37" ht="18" customHeight="1">
      <c r="A32" s="1197" t="s">
        <v>1034</v>
      </c>
      <c r="B32" s="346" t="s">
        <v>1434</v>
      </c>
      <c r="C32" s="23">
        <f ca="1">IF(项目基本情况!B11="自然人","——",ROUND(C5*F32/(1+'数据-取费表'!C42),0))</f>
        <v>0</v>
      </c>
      <c r="D32" s="1794" t="s">
        <v>1435</v>
      </c>
      <c r="E32" s="346" t="s">
        <v>1423</v>
      </c>
      <c r="F32" s="376">
        <f>'数据-取费表'!B41</f>
        <v>5.5000000000000007E-2</v>
      </c>
      <c r="G32" s="1847"/>
      <c r="H32" s="744"/>
      <c r="I32" s="745"/>
      <c r="J32" s="746"/>
      <c r="K32" s="747"/>
      <c r="L32" s="748"/>
      <c r="M32" s="749"/>
    </row>
    <row r="33" spans="1:18" ht="18" customHeight="1">
      <c r="A33" s="1197" t="s">
        <v>1036</v>
      </c>
      <c r="B33" s="346" t="s">
        <v>1438</v>
      </c>
      <c r="C33" s="23">
        <f ca="1">IF(项目基本情况!B11="自然人","——",IF(D33="按租金收入计税",ROUND(C5*F33,0),IF(D33="按房产原值计税",ROUND(C29*F33*0.7,0),INDIRECT("'数据-取费表'!Aj"&amp;$G$1))))</f>
        <v>0</v>
      </c>
      <c r="D33" s="1824" t="s">
        <v>1439</v>
      </c>
      <c r="E33" s="346" t="s">
        <v>1423</v>
      </c>
      <c r="F33" s="366">
        <f>IF(D33="按票据","——",IF(D33="按租金收入计税",'数据-取费表'!B51,'数据-取费表'!B50))</f>
        <v>1.2E-2</v>
      </c>
      <c r="G33" s="1847"/>
      <c r="H33" s="1855"/>
      <c r="I33" s="1856"/>
      <c r="J33" s="1857"/>
      <c r="K33" s="1858"/>
      <c r="L33" s="1855"/>
      <c r="M33" s="1855"/>
    </row>
    <row r="34" spans="1:18" ht="18" customHeight="1">
      <c r="A34" s="1287" t="s">
        <v>1389</v>
      </c>
      <c r="B34" s="163" t="s">
        <v>1442</v>
      </c>
      <c r="C34" s="24">
        <f ca="1">IF(项目基本情况!B11="自然人","——",ROUND(F34*F35,))</f>
        <v>0</v>
      </c>
      <c r="D34" s="369" t="s">
        <v>1443</v>
      </c>
      <c r="E34" s="346" t="s">
        <v>1444</v>
      </c>
      <c r="F34" s="370">
        <f>'数据-取费表'!B52</f>
        <v>1.5</v>
      </c>
      <c r="G34" s="1847"/>
      <c r="H34" s="744"/>
      <c r="I34" s="1856"/>
      <c r="J34" s="1857"/>
      <c r="K34" s="1859"/>
      <c r="L34" s="1860"/>
      <c r="M34" s="1860"/>
    </row>
    <row r="35" spans="1:18" ht="18" customHeight="1">
      <c r="A35" s="1349"/>
      <c r="B35" s="1347"/>
      <c r="C35" s="28"/>
      <c r="D35" s="372"/>
      <c r="E35" s="346" t="s">
        <v>1448</v>
      </c>
      <c r="F35" s="347">
        <f ca="1">INDIRECT("'数据-取费表'!r"&amp;$G$1)</f>
        <v>0</v>
      </c>
      <c r="G35" s="1847"/>
      <c r="H35" s="744"/>
      <c r="I35" s="1856"/>
      <c r="J35" s="1857"/>
      <c r="K35" s="1858"/>
      <c r="L35" s="1855"/>
      <c r="M35" s="1855"/>
    </row>
    <row r="36" spans="1:18" ht="18" customHeight="1">
      <c r="A36" s="1348" t="s">
        <v>1039</v>
      </c>
      <c r="B36" s="346" t="s">
        <v>1450</v>
      </c>
      <c r="C36" s="23">
        <f ca="1">ROUND(C29*F36,0)</f>
        <v>0</v>
      </c>
      <c r="D36" s="1794" t="s">
        <v>1483</v>
      </c>
      <c r="E36" s="346" t="s">
        <v>1423</v>
      </c>
      <c r="F36" s="373">
        <f ca="1">INDIRECT("'数据-取费表'!Ak"&amp;$G$1)</f>
        <v>0</v>
      </c>
      <c r="G36" s="1847"/>
      <c r="H36" s="1855"/>
      <c r="I36" s="1856"/>
      <c r="J36" s="1857"/>
      <c r="K36" s="750"/>
      <c r="L36" s="1855"/>
      <c r="M36" s="1855"/>
    </row>
    <row r="37" spans="1:18" ht="18" customHeight="1">
      <c r="A37" s="1197" t="s">
        <v>1075</v>
      </c>
      <c r="B37" s="346" t="s">
        <v>1454</v>
      </c>
      <c r="C37" s="23">
        <f ca="1">ROUND(C13*F37,0)</f>
        <v>0</v>
      </c>
      <c r="D37" s="1794" t="s">
        <v>1455</v>
      </c>
      <c r="E37" s="346" t="s">
        <v>1456</v>
      </c>
      <c r="F37" s="375">
        <f ca="1">INDIRECT("'数据-取费表'!Al"&amp;$G$1)</f>
        <v>0</v>
      </c>
      <c r="G37" s="1847"/>
      <c r="H37" s="1855"/>
      <c r="I37" s="1856"/>
      <c r="J37" s="1857"/>
      <c r="K37" s="750"/>
      <c r="L37" s="1855"/>
      <c r="M37" s="1855"/>
    </row>
    <row r="38" spans="1:18" ht="18" customHeight="1" thickBot="1">
      <c r="A38" s="1335" t="s">
        <v>1393</v>
      </c>
      <c r="B38" s="1336" t="s">
        <v>1440</v>
      </c>
      <c r="C38" s="1337">
        <f ca="1">ROUND(C5*F38,1)</f>
        <v>0</v>
      </c>
      <c r="D38" s="1338" t="s">
        <v>1460</v>
      </c>
      <c r="E38" s="1336" t="s">
        <v>1456</v>
      </c>
      <c r="F38" s="1332">
        <f ca="1">INDIRECT("'数据-取费表'!Am"&amp;$G$1)</f>
        <v>0</v>
      </c>
      <c r="G38" s="1847"/>
      <c r="H38" s="1855"/>
      <c r="I38" s="1856"/>
      <c r="J38" s="1857"/>
      <c r="K38" s="1861"/>
      <c r="L38" s="1855"/>
      <c r="M38" s="1855"/>
    </row>
    <row r="39" spans="1:18" ht="24.6" customHeight="1" thickTop="1">
      <c r="A39" s="1325" t="s">
        <v>1031</v>
      </c>
      <c r="B39" s="1340" t="s">
        <v>1484</v>
      </c>
      <c r="C39" s="354">
        <f ca="1">C5-C30</f>
        <v>0</v>
      </c>
      <c r="D39" s="1341" t="s">
        <v>1485</v>
      </c>
      <c r="E39" s="1342"/>
      <c r="F39" s="1343"/>
      <c r="G39" s="1847"/>
      <c r="H39" s="1855"/>
      <c r="I39" s="1856"/>
      <c r="J39" s="1857"/>
      <c r="K39" s="1861"/>
      <c r="L39" s="1855"/>
      <c r="M39" s="1855"/>
    </row>
    <row r="40" spans="1:18" ht="18" customHeight="1">
      <c r="A40" s="343" t="s">
        <v>1032</v>
      </c>
      <c r="B40" s="344" t="s">
        <v>1486</v>
      </c>
      <c r="C40" s="345" t="e">
        <f ca="1">ROUND(C39*(1-((1+F42)/(1+F40))^F41)/(F40-F42),0)</f>
        <v>#DIV/0!</v>
      </c>
      <c r="D40" s="369" t="s">
        <v>1470</v>
      </c>
      <c r="E40" s="346" t="s">
        <v>1471</v>
      </c>
      <c r="F40" s="356">
        <f ca="1">INDIRECT("'数据-取费表'!I"&amp;$G$1)</f>
        <v>0</v>
      </c>
      <c r="G40" s="1847"/>
      <c r="H40" s="1835"/>
      <c r="I40" s="1856"/>
      <c r="J40" s="1857"/>
      <c r="K40" s="1861"/>
      <c r="L40" s="1835"/>
      <c r="M40" s="1835"/>
    </row>
    <row r="41" spans="1:18" ht="18" customHeight="1">
      <c r="A41" s="348"/>
      <c r="B41" s="349"/>
      <c r="C41" s="350"/>
      <c r="D41" s="377" t="s">
        <v>1487</v>
      </c>
      <c r="E41" s="346" t="s">
        <v>1475</v>
      </c>
      <c r="F41" s="378">
        <f ca="1">IF(INDIRECT("'数据-取费表'!af"&amp;$G$1)=0,INDIRECT("'数据-取费表'!ae"&amp;$G$1),INDIRECT("'数据-取费表'!af"&amp;$G$1))</f>
        <v>0</v>
      </c>
      <c r="G41" s="1847"/>
      <c r="H41" s="731"/>
      <c r="I41" s="1856"/>
      <c r="J41" s="1857"/>
      <c r="K41" s="750"/>
      <c r="L41" s="731"/>
      <c r="M41" s="731"/>
    </row>
    <row r="42" spans="1:18" ht="18" customHeight="1">
      <c r="A42" s="352"/>
      <c r="B42" s="353"/>
      <c r="C42" s="354"/>
      <c r="D42" s="372"/>
      <c r="E42" s="346" t="s">
        <v>1478</v>
      </c>
      <c r="F42" s="356">
        <f ca="1">INDIRECT("'数据-取费表'!v"&amp;$G$1)</f>
        <v>0</v>
      </c>
      <c r="G42" s="1847"/>
      <c r="H42" s="731"/>
      <c r="I42" s="1856"/>
      <c r="J42" s="1857"/>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1604</v>
      </c>
      <c r="E45" s="1862"/>
      <c r="F45" s="1862"/>
      <c r="O45" s="1865" t="s">
        <v>1520</v>
      </c>
      <c r="P45" s="1835"/>
      <c r="Q45" s="1835"/>
      <c r="R45" s="1835"/>
    </row>
    <row r="46" spans="1:18" s="1838" customFormat="1" ht="13.5" thickBot="1">
      <c r="A46" s="1866" t="s">
        <v>1521</v>
      </c>
      <c r="C46" s="1867" t="e">
        <f ca="1">ROUND(C45/10000,0)</f>
        <v>#DIV/0!</v>
      </c>
      <c r="D46" s="1868" t="str">
        <f>C2</f>
        <v>万元</v>
      </c>
      <c r="I46" s="1869" t="s">
        <v>1522</v>
      </c>
      <c r="J46" s="1870"/>
      <c r="K46" s="1871"/>
      <c r="L46" s="1872" t="e">
        <f ca="1">IF(M47="住宅",0,IF(L48&gt;J51,L60,J60))</f>
        <v>#DIV/0!</v>
      </c>
      <c r="O46" s="1873" t="s">
        <v>1523</v>
      </c>
      <c r="P46" s="1874" t="s">
        <v>1524</v>
      </c>
      <c r="Q46" s="1875" t="s">
        <v>1525</v>
      </c>
      <c r="R46" s="1875" t="s">
        <v>1526</v>
      </c>
    </row>
    <row r="47" spans="1:18" s="1838" customFormat="1" ht="13.5" thickBot="1">
      <c r="A47" s="1161" t="s">
        <v>1396</v>
      </c>
      <c r="B47" s="1193" t="s">
        <v>1397</v>
      </c>
      <c r="C47" s="1193" t="s">
        <v>1398</v>
      </c>
      <c r="D47" s="1193" t="s">
        <v>1399</v>
      </c>
      <c r="E47" s="1275" t="s">
        <v>1400</v>
      </c>
      <c r="F47" s="1276"/>
      <c r="G47" s="791"/>
      <c r="I47" s="1876" t="s">
        <v>1527</v>
      </c>
      <c r="J47" s="1877"/>
      <c r="K47" s="1878" t="s">
        <v>1528</v>
      </c>
      <c r="L47" s="1879">
        <f ca="1">INDIRECT("'数据-取费表'!d"&amp;$G$1)</f>
        <v>0</v>
      </c>
      <c r="M47" s="1834" t="str">
        <f>IF(ISNUMBER(FIND("住宅",C1)),"住宅","非住宅")</f>
        <v>非住宅</v>
      </c>
      <c r="O47" s="1880" t="s">
        <v>1040</v>
      </c>
      <c r="P47" s="1881" t="s">
        <v>1529</v>
      </c>
      <c r="Q47" s="1882" t="e">
        <f ca="1">C40+J29</f>
        <v>#DIV/0!</v>
      </c>
      <c r="R47" s="1882" t="s">
        <v>1530</v>
      </c>
    </row>
    <row r="48" spans="1:18" s="1838" customFormat="1" ht="28.5" thickBot="1">
      <c r="A48" s="1356" t="s">
        <v>1135</v>
      </c>
      <c r="B48" s="344" t="s">
        <v>1401</v>
      </c>
      <c r="C48" s="1813">
        <f ca="1">C49+C53+C55</f>
        <v>0</v>
      </c>
      <c r="D48" s="1358"/>
      <c r="E48" s="1359"/>
      <c r="F48" s="1177"/>
      <c r="G48" s="791"/>
      <c r="H48" s="792"/>
      <c r="I48" s="1883" t="s">
        <v>1531</v>
      </c>
      <c r="J48" s="1884"/>
      <c r="K48" s="1885" t="s">
        <v>1532</v>
      </c>
      <c r="L48" s="1886">
        <f ca="1">INDIRECT("'数据-取费表'!f"&amp;$G$1)</f>
        <v>0</v>
      </c>
      <c r="O48" s="1880" t="s">
        <v>1041</v>
      </c>
      <c r="P48" s="1881" t="s">
        <v>1533</v>
      </c>
      <c r="Q48" s="1882" t="e">
        <f ca="1">J60</f>
        <v>#DIV/0!</v>
      </c>
      <c r="R48" s="1882" t="s">
        <v>1534</v>
      </c>
    </row>
    <row r="49" spans="1:18" s="1838" customFormat="1" ht="13.5" thickBot="1">
      <c r="A49" s="1190" t="s">
        <v>1136</v>
      </c>
      <c r="B49" s="1825" t="s">
        <v>1491</v>
      </c>
      <c r="C49" s="1360">
        <f ca="1">ROUND(F49*F51*F50*(1-F52),0)</f>
        <v>0</v>
      </c>
      <c r="D49" s="1272" t="s">
        <v>1404</v>
      </c>
      <c r="E49" s="1826" t="s">
        <v>1492</v>
      </c>
      <c r="F49" s="1277"/>
      <c r="G49" s="1887"/>
      <c r="H49" s="792"/>
      <c r="I49" s="1883" t="s">
        <v>1535</v>
      </c>
      <c r="J49" s="1888"/>
      <c r="K49" s="1885" t="s">
        <v>1536</v>
      </c>
      <c r="L49" s="1889"/>
      <c r="O49" s="1890" t="s">
        <v>1042</v>
      </c>
      <c r="P49" s="1881" t="s">
        <v>1537</v>
      </c>
      <c r="Q49" s="1882">
        <f ca="1">C29</f>
        <v>0</v>
      </c>
      <c r="R49" s="1882" t="s">
        <v>1530</v>
      </c>
    </row>
    <row r="50" spans="1:18" s="1838" customFormat="1" ht="13.5" thickBot="1">
      <c r="A50" s="1191"/>
      <c r="B50" s="1194"/>
      <c r="C50" s="1195"/>
      <c r="D50" s="1168"/>
      <c r="E50" s="1273" t="s">
        <v>1406</v>
      </c>
      <c r="F50" s="1274">
        <f ca="1">F7</f>
        <v>0</v>
      </c>
      <c r="H50" s="792"/>
      <c r="I50" s="1883" t="s">
        <v>1538</v>
      </c>
      <c r="J50" s="1891">
        <f>SUMPRODUCT((I63:I65=J47)*(J62:L62=J48)*(J63:L65))</f>
        <v>0</v>
      </c>
      <c r="K50" s="1885" t="s">
        <v>1539</v>
      </c>
      <c r="L50" s="1889"/>
      <c r="M50" s="1892"/>
      <c r="O50" s="1890" t="s">
        <v>1043</v>
      </c>
      <c r="P50" s="1881" t="s">
        <v>1540</v>
      </c>
      <c r="Q50" s="1893" t="e">
        <f ca="1">J58</f>
        <v>#DIV/0!</v>
      </c>
      <c r="R50" s="1882"/>
    </row>
    <row r="51" spans="1:18" s="1838" customFormat="1" ht="13.5" thickBot="1">
      <c r="A51" s="1192"/>
      <c r="B51" s="1194"/>
      <c r="C51" s="1195"/>
      <c r="D51" s="1168"/>
      <c r="E51" s="1196" t="s">
        <v>1407</v>
      </c>
      <c r="F51" s="347">
        <f ca="1">F8</f>
        <v>0</v>
      </c>
      <c r="I51" s="1894" t="s">
        <v>1541</v>
      </c>
      <c r="J51" s="1895">
        <f>IF(J49="",J50,J49+J50-YEAR('数据-取费表'!B2))</f>
        <v>0</v>
      </c>
      <c r="K51" s="1896" t="s">
        <v>1542</v>
      </c>
      <c r="L51" s="1897">
        <f ca="1">ROUND(-PV(INDIRECT("'数据-取费表'!h"&amp;$G$1),L48,(C39-C13*C76),0),0)</f>
        <v>0</v>
      </c>
      <c r="M51" s="1898"/>
      <c r="O51" s="1890" t="s">
        <v>1044</v>
      </c>
      <c r="P51" s="1881" t="s">
        <v>1543</v>
      </c>
      <c r="Q51" s="1893">
        <f>J52</f>
        <v>0</v>
      </c>
      <c r="R51" s="1882"/>
    </row>
    <row r="52" spans="1:18" s="1838" customFormat="1" ht="13.5" thickBot="1">
      <c r="A52" s="1192"/>
      <c r="B52" s="1194"/>
      <c r="C52" s="1195"/>
      <c r="D52" s="1168"/>
      <c r="E52" s="1196" t="s">
        <v>1408</v>
      </c>
      <c r="F52" s="1271"/>
      <c r="I52" s="1899" t="s">
        <v>1544</v>
      </c>
      <c r="J52" s="1900"/>
      <c r="K52" s="1899" t="s">
        <v>1545</v>
      </c>
      <c r="L52" s="1900"/>
      <c r="O52" s="1890" t="s">
        <v>1045</v>
      </c>
      <c r="P52" s="1881" t="s">
        <v>1546</v>
      </c>
      <c r="Q52" s="1882" t="b">
        <f>J53</f>
        <v>0</v>
      </c>
      <c r="R52" s="1882" t="s">
        <v>1547</v>
      </c>
    </row>
    <row r="53" spans="1:18" s="1838" customFormat="1" ht="30.75" customHeight="1" thickBot="1">
      <c r="A53" s="1357" t="s">
        <v>1137</v>
      </c>
      <c r="B53" s="368" t="s">
        <v>1409</v>
      </c>
      <c r="C53" s="360">
        <f ca="1">ROUND(IF(F53="押一",F49*F51*F50/12*F11,IF(F53="押二",F49*F51*F50/12*2*F11,IF(F53="押三",F49*F51*F50/12*3*F11,C54*F11))),0)</f>
        <v>0</v>
      </c>
      <c r="D53" s="1820" t="s">
        <v>1410</v>
      </c>
      <c r="E53" s="357" t="s">
        <v>1411</v>
      </c>
      <c r="F53" s="1362"/>
      <c r="I53" s="1901" t="s">
        <v>1548</v>
      </c>
      <c r="J53" s="1902" t="b">
        <f>IF(M47="住宅",J51,IF(D1="——",MIN(J51,L48),IF(D1="在建（套用方法）",MIN(J51,L48-'数据-取费表'!B24),IF(D1="土地（套用方法）",MIN(J51,L48-'数据-取费表'!B20)))))</f>
        <v>0</v>
      </c>
      <c r="K53" s="3227" t="s">
        <v>1549</v>
      </c>
      <c r="L53" s="3228"/>
      <c r="O53" s="1880" t="s">
        <v>1046</v>
      </c>
      <c r="P53" s="1881" t="s">
        <v>1550</v>
      </c>
      <c r="Q53" s="1882" t="e">
        <f ca="1">Q47+Q48</f>
        <v>#DIV/0!</v>
      </c>
      <c r="R53" s="1882" t="s">
        <v>1047</v>
      </c>
    </row>
    <row r="54" spans="1:18" s="1838" customFormat="1" ht="13.5" thickBot="1">
      <c r="A54" s="1190"/>
      <c r="B54" s="1937" t="s">
        <v>1603</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1551</v>
      </c>
      <c r="P54" s="1835"/>
      <c r="Q54" s="1835"/>
      <c r="R54" s="1835"/>
    </row>
    <row r="55" spans="1:18" s="1838" customFormat="1" ht="13.5" thickBot="1">
      <c r="A55" s="1329" t="s">
        <v>1075</v>
      </c>
      <c r="B55" s="1823" t="s">
        <v>1414</v>
      </c>
      <c r="C55" s="1330"/>
      <c r="D55" s="1820"/>
      <c r="E55" s="1828"/>
      <c r="F55" s="1903"/>
      <c r="I55" s="1906" t="s">
        <v>1552</v>
      </c>
      <c r="J55" s="1907" t="e">
        <f ca="1">ROUND(IF(J47="钢混",J57/J50,1-(1-2%)*(J50-J57)/J50),3)</f>
        <v>#DIV/0!</v>
      </c>
      <c r="K55" s="1908" t="s">
        <v>1553</v>
      </c>
      <c r="L55" s="1909"/>
      <c r="O55" s="1873" t="s">
        <v>1523</v>
      </c>
      <c r="P55" s="1874" t="s">
        <v>1524</v>
      </c>
      <c r="Q55" s="1875" t="s">
        <v>1525</v>
      </c>
      <c r="R55" s="1875" t="s">
        <v>1526</v>
      </c>
    </row>
    <row r="56" spans="1:18" s="1838" customFormat="1" ht="36" customHeight="1" thickTop="1" thickBot="1">
      <c r="A56" s="1172">
        <v>2</v>
      </c>
      <c r="B56" s="1173" t="s">
        <v>1415</v>
      </c>
      <c r="C56" s="275">
        <f ca="1">C13</f>
        <v>0</v>
      </c>
      <c r="D56" s="1910"/>
      <c r="E56" s="1911"/>
      <c r="F56" s="1903"/>
      <c r="I56" s="1912" t="s">
        <v>1554</v>
      </c>
      <c r="J56" s="1913"/>
      <c r="K56" s="1883" t="s">
        <v>1555</v>
      </c>
      <c r="L56" s="1886">
        <f ca="1">IF(L48&lt;J51,"——",L48-J51)</f>
        <v>0</v>
      </c>
      <c r="O56" s="1880" t="s">
        <v>1040</v>
      </c>
      <c r="P56" s="1881" t="s">
        <v>1529</v>
      </c>
      <c r="Q56" s="1882" t="e">
        <f ca="1">C40+J29</f>
        <v>#DIV/0!</v>
      </c>
      <c r="R56" s="1882" t="s">
        <v>1530</v>
      </c>
    </row>
    <row r="57" spans="1:18" s="1838" customFormat="1" ht="24.75" thickBot="1">
      <c r="A57" s="1914"/>
      <c r="B57" s="1165" t="s">
        <v>1479</v>
      </c>
      <c r="C57" s="281">
        <f ca="1">C29</f>
        <v>0</v>
      </c>
      <c r="D57" s="1915"/>
      <c r="E57" s="1916"/>
      <c r="F57" s="1917"/>
      <c r="I57" s="1918" t="s">
        <v>1556</v>
      </c>
      <c r="J57" s="1919">
        <f ca="1">IF(OR(M47="住宅",J51&lt;L48,J56="是"),"——",J51-L48)</f>
        <v>0</v>
      </c>
      <c r="K57" s="1883" t="s">
        <v>1605</v>
      </c>
      <c r="L57" s="1886">
        <f ca="1">IF(L48&lt;J51,"——",IF(L55="比较法",L49,IF(L55="基准地价",L50,L51)))</f>
        <v>0</v>
      </c>
      <c r="O57" s="1880" t="s">
        <v>1041</v>
      </c>
      <c r="P57" s="1881" t="s">
        <v>1606</v>
      </c>
      <c r="Q57" s="1882" t="e">
        <f ca="1">L60</f>
        <v>#DIV/0!</v>
      </c>
      <c r="R57" s="1882" t="s">
        <v>1607</v>
      </c>
    </row>
    <row r="58" spans="1:18" s="1838" customFormat="1" ht="24.75" thickBot="1">
      <c r="A58" s="359" t="s">
        <v>1030</v>
      </c>
      <c r="B58" s="1173" t="s">
        <v>1425</v>
      </c>
      <c r="C58" s="360">
        <f ca="1">ROUND(C59+C64+C65+C66,0)</f>
        <v>0</v>
      </c>
      <c r="D58" s="1175" t="s">
        <v>1426</v>
      </c>
      <c r="E58" s="1176"/>
      <c r="F58" s="1177"/>
      <c r="I58" s="1918" t="s">
        <v>1560</v>
      </c>
      <c r="J58" s="1920" t="e">
        <f ca="1">IF(J55&lt;0.4,0.4,J55)</f>
        <v>#DIV/0!</v>
      </c>
      <c r="K58" s="1896" t="s">
        <v>1608</v>
      </c>
      <c r="L58" s="1886" t="e">
        <f ca="1">ROUND(POWER(1+L52,L47-L48)*(POWER(1+L52,L48)-1)/(POWER(1+L52,L47)-1),4)</f>
        <v>#DIV/0!</v>
      </c>
      <c r="O58" s="1890" t="s">
        <v>1042</v>
      </c>
      <c r="P58" s="1881" t="s">
        <v>1562</v>
      </c>
      <c r="Q58" s="1882">
        <f>IF(L55="比较法",L49,IF(L55="基准地价",L50,0))</f>
        <v>0</v>
      </c>
      <c r="R58" s="1882" t="s">
        <v>1530</v>
      </c>
    </row>
    <row r="59" spans="1:18" s="1838" customFormat="1" ht="24.75" thickBot="1">
      <c r="A59" s="1197" t="s">
        <v>1035</v>
      </c>
      <c r="B59" s="1165" t="s">
        <v>1430</v>
      </c>
      <c r="C59" s="23">
        <f ca="1">ROUND(IF(项目基本情况!B11="自然人",C48*F59,C60+C61+C62),0)</f>
        <v>0</v>
      </c>
      <c r="D59" s="1178" t="s">
        <v>1431</v>
      </c>
      <c r="E59" s="1179" t="s">
        <v>1432</v>
      </c>
      <c r="F59" s="367">
        <f ca="1">IF(项目基本情况!B11="企业","",IF(INDIRECT("'数据-取费表'!c"&amp;$G$1)="住宅",5%,IF(F49*F50*F51/12/(1+'数据-取费表'!C42)&gt;20000,12%,7%)))</f>
        <v>7.0000000000000007E-2</v>
      </c>
      <c r="I59" s="1918" t="s">
        <v>1563</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1434</v>
      </c>
      <c r="C60" s="23">
        <f ca="1">IF(项目基本情况!B11="自然人","——",ROUND(C48*F60/(1+'数据-取费表'!C42),0))</f>
        <v>0</v>
      </c>
      <c r="D60" s="1179" t="s">
        <v>1435</v>
      </c>
      <c r="E60" s="1165" t="s">
        <v>1423</v>
      </c>
      <c r="F60" s="376">
        <f t="shared" ref="F60:F66" si="0">F32</f>
        <v>5.5000000000000007E-2</v>
      </c>
      <c r="I60" s="1921" t="s">
        <v>1565</v>
      </c>
      <c r="J60" s="1922" t="e">
        <f ca="1">IF(OR(M47="住宅",J51&lt;L48,J56="是"),"0",ROUND(J59/(1+J52)^J53,0))</f>
        <v>#DIV/0!</v>
      </c>
      <c r="K60" s="1923" t="s">
        <v>1566</v>
      </c>
      <c r="L60" s="1922" t="e">
        <f ca="1">IF(OR(M47="住宅",L48&lt;J51),0,ROUND(L57*(L58/L59-1),0))</f>
        <v>#DIV/0!</v>
      </c>
      <c r="O60" s="1890" t="s">
        <v>1044</v>
      </c>
      <c r="P60" s="1881" t="s">
        <v>1567</v>
      </c>
      <c r="Q60" s="1882" t="e">
        <f ca="1">L58</f>
        <v>#DIV/0!</v>
      </c>
      <c r="R60" s="1882" t="s">
        <v>1568</v>
      </c>
    </row>
    <row r="61" spans="1:18" s="1838" customFormat="1" ht="13.5" thickBot="1">
      <c r="A61" s="1197" t="s">
        <v>1493</v>
      </c>
      <c r="B61" s="1165" t="s">
        <v>1494</v>
      </c>
      <c r="C61" s="23">
        <f ca="1">IF(项目基本情况!B11="自然人","——",IF(D61="按租金收入计税",ROUND(C48*F61,0),IF(D61="按房产原值计税",ROUND(C57*F61*0.7,0),INDIRECT("'数据-取费表'!Aj"&amp;$G$1))))</f>
        <v>0</v>
      </c>
      <c r="D61" s="1824" t="s">
        <v>1439</v>
      </c>
      <c r="E61" s="1165" t="s">
        <v>1495</v>
      </c>
      <c r="F61" s="366">
        <f t="shared" si="0"/>
        <v>1.2E-2</v>
      </c>
      <c r="I61" s="1924"/>
      <c r="J61" s="1924"/>
      <c r="K61" s="1924"/>
      <c r="L61" s="1924"/>
      <c r="O61" s="1890" t="s">
        <v>1045</v>
      </c>
      <c r="P61" s="1881" t="str">
        <f>K59</f>
        <v>建设期及建筑物耐用年限下的土地年期修正系数Kn</v>
      </c>
      <c r="Q61" s="1882" t="e">
        <f ca="1">L59</f>
        <v>#DIV/0!</v>
      </c>
      <c r="R61" s="1882" t="s">
        <v>1569</v>
      </c>
    </row>
    <row r="62" spans="1:18" s="1838" customFormat="1" ht="13.5" thickBot="1">
      <c r="A62" s="1197" t="s">
        <v>1496</v>
      </c>
      <c r="B62" s="1164" t="s">
        <v>1497</v>
      </c>
      <c r="C62" s="24">
        <f ca="1">IF(项目基本情况!B11="自然人","——",ROUND(F62*F63,0))</f>
        <v>0</v>
      </c>
      <c r="D62" s="1180" t="s">
        <v>1498</v>
      </c>
      <c r="E62" s="1165" t="s">
        <v>1499</v>
      </c>
      <c r="F62" s="370">
        <f t="shared" si="0"/>
        <v>1.5</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71"/>
      <c r="B63" s="1171"/>
      <c r="C63" s="28"/>
      <c r="D63" s="1181"/>
      <c r="E63" s="1165" t="s">
        <v>1500</v>
      </c>
      <c r="F63" s="347">
        <f t="shared" ca="1" si="0"/>
        <v>0</v>
      </c>
      <c r="I63" s="1925" t="s">
        <v>1576</v>
      </c>
      <c r="J63" s="1926">
        <v>70</v>
      </c>
      <c r="K63" s="1926">
        <v>50</v>
      </c>
      <c r="L63" s="1926">
        <v>80</v>
      </c>
      <c r="M63" s="1928">
        <v>0.02</v>
      </c>
      <c r="O63" s="1865" t="s">
        <v>1577</v>
      </c>
      <c r="P63" s="1835"/>
      <c r="Q63" s="1835"/>
      <c r="R63" s="1835"/>
    </row>
    <row r="64" spans="1:18" s="1838" customFormat="1" ht="13.5" thickBot="1">
      <c r="A64" s="1197" t="s">
        <v>1501</v>
      </c>
      <c r="B64" s="1165" t="s">
        <v>1502</v>
      </c>
      <c r="C64" s="23">
        <f ca="1">ROUND(C57*F64,0)</f>
        <v>0</v>
      </c>
      <c r="D64" s="1179" t="s">
        <v>1503</v>
      </c>
      <c r="E64" s="1165" t="s">
        <v>1495</v>
      </c>
      <c r="F64" s="373">
        <f t="shared" ca="1" si="0"/>
        <v>0</v>
      </c>
      <c r="I64" s="1925" t="s">
        <v>1578</v>
      </c>
      <c r="J64" s="1926">
        <v>50</v>
      </c>
      <c r="K64" s="1926">
        <v>35</v>
      </c>
      <c r="L64" s="1926">
        <v>60</v>
      </c>
      <c r="M64" s="1927">
        <v>0</v>
      </c>
      <c r="O64" s="1873" t="s">
        <v>1523</v>
      </c>
      <c r="P64" s="1874" t="s">
        <v>1524</v>
      </c>
      <c r="Q64" s="1875" t="s">
        <v>1525</v>
      </c>
      <c r="R64" s="1875" t="s">
        <v>1526</v>
      </c>
    </row>
    <row r="65" spans="1:18" s="1838" customFormat="1" ht="13.5" thickBot="1">
      <c r="A65" s="1197" t="s">
        <v>1504</v>
      </c>
      <c r="B65" s="1165" t="s">
        <v>1454</v>
      </c>
      <c r="C65" s="23">
        <f ca="1">ROUND(C56*F65,0)</f>
        <v>0</v>
      </c>
      <c r="D65" s="1179" t="s">
        <v>1455</v>
      </c>
      <c r="E65" s="1165" t="s">
        <v>1456</v>
      </c>
      <c r="F65" s="375">
        <f t="shared" ca="1" si="0"/>
        <v>0</v>
      </c>
      <c r="I65" s="1925" t="s">
        <v>1579</v>
      </c>
      <c r="J65" s="1926">
        <v>40</v>
      </c>
      <c r="K65" s="1926">
        <v>30</v>
      </c>
      <c r="L65" s="1926">
        <v>50</v>
      </c>
      <c r="M65" s="1928">
        <v>0.02</v>
      </c>
      <c r="O65" s="1880" t="s">
        <v>1040</v>
      </c>
      <c r="P65" s="1881" t="s">
        <v>1580</v>
      </c>
      <c r="Q65" s="1882" t="e">
        <f ca="1">C40+J29</f>
        <v>#DIV/0!</v>
      </c>
      <c r="R65" s="1882" t="s">
        <v>1530</v>
      </c>
    </row>
    <row r="66" spans="1:18" s="1838" customFormat="1" ht="16.5" thickBot="1">
      <c r="A66" s="1197" t="s">
        <v>1505</v>
      </c>
      <c r="B66" s="1165" t="s">
        <v>1440</v>
      </c>
      <c r="C66" s="23">
        <f ca="1">ROUND(C48*F66,0)</f>
        <v>0</v>
      </c>
      <c r="D66" s="1179" t="s">
        <v>1506</v>
      </c>
      <c r="E66" s="1165" t="s">
        <v>1423</v>
      </c>
      <c r="F66" s="356">
        <f t="shared" ca="1" si="0"/>
        <v>0</v>
      </c>
      <c r="O66" s="1880" t="s">
        <v>1041</v>
      </c>
      <c r="P66" s="1881" t="s">
        <v>1558</v>
      </c>
      <c r="Q66" s="1882" t="e">
        <f ca="1">L60</f>
        <v>#DIV/0!</v>
      </c>
      <c r="R66" s="1882" t="s">
        <v>1581</v>
      </c>
    </row>
    <row r="67" spans="1:18" s="1838" customFormat="1" ht="16.5" thickBot="1">
      <c r="A67" s="1172" t="s">
        <v>1031</v>
      </c>
      <c r="B67" s="1182" t="s">
        <v>1464</v>
      </c>
      <c r="C67" s="360">
        <f ca="1">C48-C58</f>
        <v>0</v>
      </c>
      <c r="D67" s="1178" t="s">
        <v>1465</v>
      </c>
      <c r="E67" s="1183"/>
      <c r="F67" s="1184"/>
      <c r="O67" s="1890" t="s">
        <v>1042</v>
      </c>
      <c r="P67" s="1881" t="s">
        <v>1562</v>
      </c>
      <c r="Q67" s="1929">
        <f ca="1">L51</f>
        <v>0</v>
      </c>
      <c r="R67" s="1882" t="s">
        <v>1582</v>
      </c>
    </row>
    <row r="68" spans="1:18" s="1838" customFormat="1" ht="16.5" thickBot="1">
      <c r="A68" s="1162" t="s">
        <v>1032</v>
      </c>
      <c r="B68" s="1163" t="s">
        <v>1486</v>
      </c>
      <c r="C68" s="345" t="e">
        <f ca="1">ROUND(C67*(1-((1+F70)/(1+F68))^F69)/(F68-F70),0)</f>
        <v>#DIV/0!</v>
      </c>
      <c r="D68" s="1180" t="s">
        <v>1470</v>
      </c>
      <c r="E68" s="1165" t="s">
        <v>1471</v>
      </c>
      <c r="F68" s="356">
        <f ca="1">F40</f>
        <v>0</v>
      </c>
      <c r="O68" s="1890" t="s">
        <v>1043</v>
      </c>
      <c r="P68" s="1930" t="s">
        <v>1583</v>
      </c>
      <c r="Q68" s="1882">
        <f ca="1">ROUND(Q69-Q70*Q71,0)</f>
        <v>0</v>
      </c>
      <c r="R68" s="1882" t="s">
        <v>1051</v>
      </c>
    </row>
    <row r="69" spans="1:18" s="1838" customFormat="1" ht="13.5" thickBot="1">
      <c r="A69" s="1166"/>
      <c r="B69" s="1167"/>
      <c r="C69" s="350"/>
      <c r="D69" s="1185" t="s">
        <v>1474</v>
      </c>
      <c r="E69" s="1165" t="s">
        <v>1475</v>
      </c>
      <c r="F69" s="378">
        <f ca="1">F41</f>
        <v>0</v>
      </c>
      <c r="O69" s="1890" t="s">
        <v>1048</v>
      </c>
      <c r="P69" s="1930" t="s">
        <v>1584</v>
      </c>
      <c r="Q69" s="1882">
        <f ca="1">C39</f>
        <v>0</v>
      </c>
      <c r="R69" s="1882" t="s">
        <v>1530</v>
      </c>
    </row>
    <row r="70" spans="1:18" s="1838" customFormat="1" ht="13.5" thickBot="1">
      <c r="A70" s="1169"/>
      <c r="B70" s="1170"/>
      <c r="C70" s="354"/>
      <c r="D70" s="1181"/>
      <c r="E70" s="1165" t="s">
        <v>1478</v>
      </c>
      <c r="F70" s="1271">
        <f ca="1">F42</f>
        <v>0</v>
      </c>
      <c r="O70" s="1890" t="s">
        <v>1049</v>
      </c>
      <c r="P70" s="1930" t="s">
        <v>1585</v>
      </c>
      <c r="Q70" s="1882">
        <f ca="1">C13</f>
        <v>0</v>
      </c>
      <c r="R70" s="1882" t="s">
        <v>1530</v>
      </c>
    </row>
    <row r="71" spans="1:18" s="1838" customFormat="1" ht="13.5" thickBot="1">
      <c r="A71" s="1186" t="s">
        <v>1033</v>
      </c>
      <c r="B71" s="1187" t="s">
        <v>1488</v>
      </c>
      <c r="C71" s="381" t="e">
        <f ca="1">ROUND(C68/F71,0)</f>
        <v>#DIV/0!</v>
      </c>
      <c r="D71" s="1188" t="s">
        <v>1489</v>
      </c>
      <c r="E71" s="1189" t="s">
        <v>1490</v>
      </c>
      <c r="F71" s="384">
        <f ca="1">F43</f>
        <v>0</v>
      </c>
      <c r="O71" s="1890" t="s">
        <v>1050</v>
      </c>
      <c r="P71" s="1930" t="s">
        <v>1586</v>
      </c>
      <c r="Q71" s="1893">
        <f ca="1">C76</f>
        <v>0</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建设期及建筑物耐用年限下的土地年期修正系数Kn</v>
      </c>
      <c r="Q74" s="1882" t="e">
        <f ca="1">L59</f>
        <v>#DIV/0!</v>
      </c>
      <c r="R74" s="1882" t="s">
        <v>1569</v>
      </c>
    </row>
    <row r="75" spans="1:18" ht="13.5" thickBot="1">
      <c r="A75" s="1838"/>
      <c r="B75" s="385" t="s">
        <v>1507</v>
      </c>
      <c r="C75" s="386">
        <f ca="1">ROUND(C13*C76,0)</f>
        <v>0</v>
      </c>
      <c r="D75" s="1838"/>
      <c r="E75" s="1838"/>
      <c r="F75" s="1838"/>
      <c r="K75" s="1864"/>
      <c r="L75" s="1838"/>
      <c r="O75" s="1880" t="s">
        <v>1046</v>
      </c>
      <c r="P75" s="1881" t="s">
        <v>1550</v>
      </c>
      <c r="Q75" s="1882" t="e">
        <f ca="1">Q65+Q66</f>
        <v>#DIV/0!</v>
      </c>
      <c r="R75" s="1882" t="s">
        <v>1047</v>
      </c>
    </row>
    <row r="76" spans="1:18">
      <c r="B76" s="387" t="s">
        <v>1508</v>
      </c>
      <c r="C76" s="388">
        <f ca="1">INDIRECT("'数据-取费表'!j"&amp;$G$1)</f>
        <v>0</v>
      </c>
      <c r="I76" s="1838"/>
      <c r="J76" s="1838"/>
      <c r="K76" s="1864"/>
      <c r="L76" s="1838"/>
    </row>
    <row r="77" spans="1:18">
      <c r="B77" s="389" t="s">
        <v>1509</v>
      </c>
      <c r="C77" s="390"/>
      <c r="I77" s="1838"/>
      <c r="J77" s="1838"/>
      <c r="K77" s="1864"/>
      <c r="L77" s="1838"/>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6" priority="4">
      <formula>$L$48&gt;$J$51</formula>
    </cfRule>
  </conditionalFormatting>
  <conditionalFormatting sqref="I55 I60">
    <cfRule type="expression" dxfId="95" priority="5">
      <formula>$J$51&gt;$L$48</formula>
    </cfRule>
  </conditionalFormatting>
  <conditionalFormatting sqref="C11">
    <cfRule type="expression" dxfId="94" priority="3">
      <formula>$F$10="自定义"</formula>
    </cfRule>
  </conditionalFormatting>
  <conditionalFormatting sqref="J11">
    <cfRule type="expression" dxfId="93" priority="2">
      <formula>$M$10="自定义"</formula>
    </cfRule>
  </conditionalFormatting>
  <conditionalFormatting sqref="C54">
    <cfRule type="expression" dxfId="9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1" sqref="H21"/>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4" t="s">
        <v>2525</v>
      </c>
      <c r="B1" s="2555"/>
      <c r="C1" s="2555"/>
      <c r="D1" s="2555"/>
      <c r="E1" s="2556"/>
    </row>
    <row r="2" spans="1:6" ht="15.75">
      <c r="A2" s="2557" t="s">
        <v>2326</v>
      </c>
      <c r="B2" s="2558">
        <f ca="1">SUMIF(B6:B13,"&lt;&gt;#ref!",B6:B13)</f>
        <v>9129</v>
      </c>
      <c r="C2" s="2559" t="s">
        <v>2518</v>
      </c>
      <c r="D2" s="2560" t="s">
        <v>2519</v>
      </c>
      <c r="E2" s="2561">
        <f>SUM(E6:E13)</f>
        <v>8479.4599999999919</v>
      </c>
    </row>
    <row r="3" spans="1:6" ht="15.75">
      <c r="A3" s="2557" t="s">
        <v>1395</v>
      </c>
      <c r="B3" s="2558">
        <f ca="1">ROUND(B2*10000/E2,0)</f>
        <v>10766</v>
      </c>
      <c r="C3" s="2559" t="s">
        <v>2526</v>
      </c>
      <c r="D3" s="2562"/>
      <c r="E3" s="2563"/>
    </row>
    <row r="4" spans="1:6" ht="15.75">
      <c r="A4" s="2564"/>
      <c r="B4" s="2562"/>
      <c r="C4" s="2562"/>
      <c r="D4" s="2562"/>
      <c r="E4" s="2563"/>
    </row>
    <row r="5" spans="1:6" ht="15">
      <c r="A5" s="2565" t="s">
        <v>2520</v>
      </c>
      <c r="B5" s="3295" t="s">
        <v>2521</v>
      </c>
      <c r="C5" s="3295"/>
      <c r="D5" s="2566"/>
      <c r="E5" s="2567" t="s">
        <v>2522</v>
      </c>
      <c r="F5" s="2568" t="s">
        <v>2523</v>
      </c>
    </row>
    <row r="6" spans="1:6">
      <c r="A6" s="2569" t="str">
        <f>'数据-取费表'!AN6</f>
        <v>收益法（办公）</v>
      </c>
      <c r="B6" s="2568">
        <f>IF(F6="是",'数据-取费表'!AO6,0)</f>
        <v>0</v>
      </c>
      <c r="C6" s="2559" t="s">
        <v>2518</v>
      </c>
      <c r="D6" s="2562"/>
      <c r="E6" s="2570">
        <f>IF(OR(A6=0,F6="否"),0,'数据-取费表'!K6+'数据-取费表'!S6)</f>
        <v>0</v>
      </c>
      <c r="F6" s="2571" t="s">
        <v>3571</v>
      </c>
    </row>
    <row r="7" spans="1:6">
      <c r="A7" s="2569" t="str">
        <f>'数据-取费表'!AN7</f>
        <v>收益法（商业）</v>
      </c>
      <c r="B7" s="2568">
        <f>IF(F7="是",'数据-取费表'!AO7,0)</f>
        <v>0</v>
      </c>
      <c r="C7" s="2559" t="s">
        <v>2518</v>
      </c>
      <c r="D7" s="2562"/>
      <c r="E7" s="2570">
        <f>IF(OR(A7=0,F7="否"),0,'数据-取费表'!K7+'数据-取费表'!S7)</f>
        <v>0</v>
      </c>
      <c r="F7" s="2571" t="s">
        <v>3571</v>
      </c>
    </row>
    <row r="8" spans="1:6">
      <c r="A8" s="2569" t="str">
        <f>'数据-取费表'!AN8</f>
        <v>收益法（地下车库）</v>
      </c>
      <c r="B8" s="2568">
        <f ca="1">IF(F8="是",'数据-取费表'!AO8,0)</f>
        <v>9129</v>
      </c>
      <c r="C8" s="2559" t="s">
        <v>2518</v>
      </c>
      <c r="D8" s="2562"/>
      <c r="E8" s="2570">
        <f>IF(OR(A8=0,F8="否"),0,'数据-取费表'!K8+'数据-取费表'!S8)</f>
        <v>8479.4599999999919</v>
      </c>
      <c r="F8" s="2571" t="s">
        <v>2524</v>
      </c>
    </row>
    <row r="9" spans="1:6">
      <c r="A9" s="2569">
        <f>'数据-取费表'!AN9</f>
        <v>0</v>
      </c>
      <c r="B9" s="2568" t="e">
        <f ca="1">IF(F9="是",'数据-取费表'!AO9,0)</f>
        <v>#REF!</v>
      </c>
      <c r="C9" s="2559" t="s">
        <v>2518</v>
      </c>
      <c r="D9" s="2562"/>
      <c r="E9" s="2570">
        <f>IF(OR(A9=0,F9="否"),0,'数据-取费表'!K9+'数据-取费表'!S9)</f>
        <v>0</v>
      </c>
      <c r="F9" s="2571" t="s">
        <v>2524</v>
      </c>
    </row>
    <row r="10" spans="1:6">
      <c r="A10" s="2569">
        <f>'数据-取费表'!AN10</f>
        <v>0</v>
      </c>
      <c r="B10" s="2568" t="e">
        <f ca="1">IF(F10="是",'数据-取费表'!AO10,0)</f>
        <v>#REF!</v>
      </c>
      <c r="C10" s="2559" t="s">
        <v>2518</v>
      </c>
      <c r="D10" s="2562"/>
      <c r="E10" s="2570">
        <f>IF(OR(A10=0,F10="否"),0,'数据-取费表'!K10+'数据-取费表'!S10)</f>
        <v>0</v>
      </c>
      <c r="F10" s="2571" t="s">
        <v>2524</v>
      </c>
    </row>
    <row r="11" spans="1:6">
      <c r="A11" s="2569">
        <f>'数据-取费表'!AN11</f>
        <v>0</v>
      </c>
      <c r="B11" s="2568" t="e">
        <f ca="1">IF(F11="是",'数据-取费表'!AO11,0)</f>
        <v>#REF!</v>
      </c>
      <c r="C11" s="2559" t="s">
        <v>2518</v>
      </c>
      <c r="D11" s="2562"/>
      <c r="E11" s="2570">
        <f>IF(OR(A11=0,F11="否"),0,'数据-取费表'!K11+'数据-取费表'!S11)</f>
        <v>0</v>
      </c>
      <c r="F11" s="2571" t="s">
        <v>2524</v>
      </c>
    </row>
    <row r="12" spans="1:6">
      <c r="A12" s="2569">
        <f>'数据-取费表'!AN12</f>
        <v>0</v>
      </c>
      <c r="B12" s="2568" t="e">
        <f ca="1">IF(F12="是",'数据-取费表'!AO12,0)</f>
        <v>#REF!</v>
      </c>
      <c r="C12" s="2559" t="s">
        <v>2518</v>
      </c>
      <c r="D12" s="2562"/>
      <c r="E12" s="2570">
        <f>IF(OR(A12=0,F12="否"),0,'数据-取费表'!K12+'数据-取费表'!S12)</f>
        <v>0</v>
      </c>
      <c r="F12" s="2571" t="s">
        <v>2524</v>
      </c>
    </row>
    <row r="13" spans="1:6" ht="15" thickBot="1">
      <c r="A13" s="2572">
        <f>'数据-取费表'!AN13</f>
        <v>0</v>
      </c>
      <c r="B13" s="2568" t="e">
        <f ca="1">IF(F13="是",'数据-取费表'!AO13,0)</f>
        <v>#REF!</v>
      </c>
      <c r="C13" s="2573" t="s">
        <v>2518</v>
      </c>
      <c r="D13" s="2574"/>
      <c r="E13" s="2570">
        <f>IF(OR(A13=0,F13="否"),0,'数据-取费表'!K13+'数据-取费表'!S13)</f>
        <v>0</v>
      </c>
      <c r="F13" s="2571"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6" t="s">
        <v>1076</v>
      </c>
      <c r="B1" s="3297"/>
      <c r="C1" s="3298"/>
      <c r="D1" s="3299">
        <f>SUM(I10,I15,I20,I21,I23)</f>
        <v>0</v>
      </c>
      <c r="E1" s="3299"/>
      <c r="F1" s="3299"/>
      <c r="G1" s="3299"/>
      <c r="H1" s="3299"/>
      <c r="I1" s="3300"/>
    </row>
    <row r="2" spans="1:9">
      <c r="A2" s="3301" t="s">
        <v>1077</v>
      </c>
      <c r="B2" s="3302" t="s">
        <v>1078</v>
      </c>
      <c r="C2" s="3302"/>
      <c r="D2" s="1297" t="s">
        <v>1079</v>
      </c>
      <c r="E2" s="1297" t="s">
        <v>1080</v>
      </c>
      <c r="F2" s="1297" t="s">
        <v>1081</v>
      </c>
      <c r="G2" s="1297" t="s">
        <v>1082</v>
      </c>
      <c r="H2" s="1297" t="s">
        <v>1083</v>
      </c>
      <c r="I2" s="1298" t="s">
        <v>1084</v>
      </c>
    </row>
    <row r="3" spans="1:9">
      <c r="A3" s="3301"/>
      <c r="B3" s="3302" t="s">
        <v>1085</v>
      </c>
      <c r="C3" s="3302"/>
      <c r="D3" s="1299"/>
      <c r="E3" s="1297"/>
      <c r="F3" s="1300"/>
      <c r="G3" s="1300"/>
      <c r="H3" s="1301"/>
      <c r="I3" s="1302">
        <f>ROUND(D3*E3*F3*G3*H3/10000,0)</f>
        <v>0</v>
      </c>
    </row>
    <row r="4" spans="1:9">
      <c r="A4" s="3301"/>
      <c r="B4" s="3302" t="s">
        <v>1086</v>
      </c>
      <c r="C4" s="3302"/>
      <c r="D4" s="1299"/>
      <c r="E4" s="1297"/>
      <c r="F4" s="1300"/>
      <c r="G4" s="1300"/>
      <c r="H4" s="1301"/>
      <c r="I4" s="1302">
        <f t="shared" ref="I4:I9" si="0">ROUND(D4*E4*F4*G4*H4/10000,0)</f>
        <v>0</v>
      </c>
    </row>
    <row r="5" spans="1:9">
      <c r="A5" s="3301"/>
      <c r="B5" s="3302" t="s">
        <v>1087</v>
      </c>
      <c r="C5" s="3302"/>
      <c r="D5" s="1299"/>
      <c r="E5" s="1297"/>
      <c r="F5" s="1300"/>
      <c r="G5" s="1300"/>
      <c r="H5" s="1301"/>
      <c r="I5" s="1302">
        <f t="shared" si="0"/>
        <v>0</v>
      </c>
    </row>
    <row r="6" spans="1:9">
      <c r="A6" s="3301"/>
      <c r="B6" s="3302" t="s">
        <v>1088</v>
      </c>
      <c r="C6" s="3302"/>
      <c r="D6" s="1299"/>
      <c r="E6" s="1297"/>
      <c r="F6" s="1300"/>
      <c r="G6" s="1300"/>
      <c r="H6" s="1301"/>
      <c r="I6" s="1302">
        <f t="shared" si="0"/>
        <v>0</v>
      </c>
    </row>
    <row r="7" spans="1:9">
      <c r="A7" s="3301"/>
      <c r="B7" s="3302" t="s">
        <v>1089</v>
      </c>
      <c r="C7" s="3302"/>
      <c r="D7" s="1299"/>
      <c r="E7" s="1297"/>
      <c r="F7" s="1300"/>
      <c r="G7" s="1300"/>
      <c r="H7" s="1301"/>
      <c r="I7" s="1302">
        <f t="shared" si="0"/>
        <v>0</v>
      </c>
    </row>
    <row r="8" spans="1:9">
      <c r="A8" s="3301"/>
      <c r="B8" s="3302" t="s">
        <v>1090</v>
      </c>
      <c r="C8" s="3302"/>
      <c r="D8" s="1299"/>
      <c r="E8" s="1297"/>
      <c r="F8" s="1300"/>
      <c r="G8" s="1300"/>
      <c r="H8" s="1301"/>
      <c r="I8" s="1302">
        <f t="shared" si="0"/>
        <v>0</v>
      </c>
    </row>
    <row r="9" spans="1:9">
      <c r="A9" s="3301"/>
      <c r="B9" s="3302" t="s">
        <v>1091</v>
      </c>
      <c r="C9" s="3302"/>
      <c r="D9" s="1299"/>
      <c r="E9" s="1297"/>
      <c r="F9" s="1300"/>
      <c r="G9" s="1300"/>
      <c r="H9" s="1301"/>
      <c r="I9" s="1302">
        <f t="shared" si="0"/>
        <v>0</v>
      </c>
    </row>
    <row r="10" spans="1:9">
      <c r="A10" s="3301"/>
      <c r="B10" s="3303" t="s">
        <v>1092</v>
      </c>
      <c r="C10" s="3303"/>
      <c r="D10" s="1303"/>
      <c r="E10" s="1303" t="e">
        <f>ROUND(D1*10000/D10/H9,0)</f>
        <v>#DIV/0!</v>
      </c>
      <c r="F10" s="1304"/>
      <c r="G10" s="1304"/>
      <c r="H10" s="1305"/>
      <c r="I10" s="1306">
        <f>SUM(I3:I9)</f>
        <v>0</v>
      </c>
    </row>
    <row r="11" spans="1:9" ht="14.25">
      <c r="A11" s="3301" t="s">
        <v>1093</v>
      </c>
      <c r="B11" s="3302" t="s">
        <v>1094</v>
      </c>
      <c r="C11" s="3302"/>
      <c r="D11" s="1299" t="s">
        <v>1095</v>
      </c>
      <c r="E11" s="1299" t="s">
        <v>1096</v>
      </c>
      <c r="F11" s="1300" t="s">
        <v>1097</v>
      </c>
      <c r="G11" s="1300" t="s">
        <v>1083</v>
      </c>
      <c r="H11" s="1307" t="s">
        <v>1098</v>
      </c>
      <c r="I11" s="1298" t="s">
        <v>1084</v>
      </c>
    </row>
    <row r="12" spans="1:9">
      <c r="A12" s="3301"/>
      <c r="B12" s="3302" t="s">
        <v>1099</v>
      </c>
      <c r="C12" s="3302"/>
      <c r="D12" s="1299"/>
      <c r="E12" s="1299"/>
      <c r="F12" s="1300"/>
      <c r="G12" s="1301"/>
      <c r="H12" s="1308"/>
      <c r="I12" s="1298">
        <f>ROUND(D12*E12*F12*G12/10000,0)</f>
        <v>0</v>
      </c>
    </row>
    <row r="13" spans="1:9">
      <c r="A13" s="3301"/>
      <c r="B13" s="3302" t="s">
        <v>1100</v>
      </c>
      <c r="C13" s="3302"/>
      <c r="D13" s="1299"/>
      <c r="E13" s="1299"/>
      <c r="F13" s="1300"/>
      <c r="G13" s="1301"/>
      <c r="H13" s="1308"/>
      <c r="I13" s="1298">
        <f>ROUND(D13*E13*F13*G13/10000,0)</f>
        <v>0</v>
      </c>
    </row>
    <row r="14" spans="1:9">
      <c r="A14" s="3301"/>
      <c r="B14" s="3302" t="s">
        <v>1101</v>
      </c>
      <c r="C14" s="3302"/>
      <c r="D14" s="1299"/>
      <c r="E14" s="1299"/>
      <c r="F14" s="1300"/>
      <c r="G14" s="1301"/>
      <c r="H14" s="1308"/>
      <c r="I14" s="1298">
        <f>ROUND(D14*E14*F14*G14/10000,0)</f>
        <v>0</v>
      </c>
    </row>
    <row r="15" spans="1:9">
      <c r="A15" s="3301"/>
      <c r="B15" s="3303" t="s">
        <v>1092</v>
      </c>
      <c r="C15" s="3303"/>
      <c r="D15" s="1303"/>
      <c r="E15" s="1303">
        <f>SUM(E12:E14)</f>
        <v>0</v>
      </c>
      <c r="F15" s="1304"/>
      <c r="G15" s="1301"/>
      <c r="H15" s="1308"/>
      <c r="I15" s="1309">
        <f>SUM(I12:I14)</f>
        <v>0</v>
      </c>
    </row>
    <row r="16" spans="1:9" ht="24">
      <c r="A16" s="3301" t="s">
        <v>1102</v>
      </c>
      <c r="B16" s="3302" t="s">
        <v>1103</v>
      </c>
      <c r="C16" s="3302"/>
      <c r="D16" s="1299" t="s">
        <v>1079</v>
      </c>
      <c r="E16" s="1310" t="s">
        <v>1104</v>
      </c>
      <c r="F16" s="1300" t="s">
        <v>1105</v>
      </c>
      <c r="G16" s="1301" t="s">
        <v>1083</v>
      </c>
      <c r="H16" s="1307" t="s">
        <v>1098</v>
      </c>
      <c r="I16" s="1298" t="s">
        <v>1084</v>
      </c>
    </row>
    <row r="17" spans="1:9" ht="14.25">
      <c r="A17" s="3301"/>
      <c r="B17" s="3302" t="s">
        <v>1106</v>
      </c>
      <c r="C17" s="3302"/>
      <c r="D17" s="1299"/>
      <c r="E17" s="1299"/>
      <c r="F17" s="1300"/>
      <c r="G17" s="1301"/>
      <c r="H17" s="1311"/>
      <c r="I17" s="1312">
        <f>ROUND(D17*E17*F17*G17/10000,0)</f>
        <v>0</v>
      </c>
    </row>
    <row r="18" spans="1:9" ht="14.25">
      <c r="A18" s="3301"/>
      <c r="B18" s="3302" t="s">
        <v>1107</v>
      </c>
      <c r="C18" s="3302"/>
      <c r="D18" s="1299"/>
      <c r="E18" s="1299"/>
      <c r="F18" s="1300"/>
      <c r="G18" s="1301"/>
      <c r="H18" s="1311"/>
      <c r="I18" s="1312">
        <f>ROUND(D18*E18*F18*G18/10000,0)</f>
        <v>0</v>
      </c>
    </row>
    <row r="19" spans="1:9" ht="14.25">
      <c r="A19" s="3301"/>
      <c r="B19" s="3302" t="s">
        <v>1108</v>
      </c>
      <c r="C19" s="3302"/>
      <c r="D19" s="1299"/>
      <c r="E19" s="1299"/>
      <c r="F19" s="1300"/>
      <c r="G19" s="1301"/>
      <c r="H19" s="1311"/>
      <c r="I19" s="1312">
        <f>ROUND(D19*E19*F19*G19/10000,0)</f>
        <v>0</v>
      </c>
    </row>
    <row r="20" spans="1:9">
      <c r="A20" s="3301"/>
      <c r="B20" s="3303" t="s">
        <v>1092</v>
      </c>
      <c r="C20" s="3303"/>
      <c r="D20" s="1303">
        <f>SUM(D17:D19)</f>
        <v>0</v>
      </c>
      <c r="E20" s="1303"/>
      <c r="F20" s="1304"/>
      <c r="G20" s="1301"/>
      <c r="H20" s="1308"/>
      <c r="I20" s="1309">
        <f>SUM(I17:I19)</f>
        <v>0</v>
      </c>
    </row>
    <row r="21" spans="1:9">
      <c r="A21" s="3301" t="s">
        <v>1109</v>
      </c>
      <c r="B21" s="3305"/>
      <c r="C21" s="3305"/>
      <c r="D21" s="3305"/>
      <c r="E21" s="3305"/>
      <c r="F21" s="3305"/>
      <c r="G21" s="3305"/>
      <c r="H21" s="1761">
        <v>0.1</v>
      </c>
      <c r="I21" s="1306">
        <f>ROUND(I10*H21,0)</f>
        <v>0</v>
      </c>
    </row>
    <row r="22" spans="1:9" ht="14.25">
      <c r="A22" s="3306" t="s">
        <v>1110</v>
      </c>
      <c r="B22" s="3307"/>
      <c r="C22" s="3308"/>
      <c r="D22" s="1313" t="s">
        <v>1111</v>
      </c>
      <c r="E22" s="1313" t="s">
        <v>1112</v>
      </c>
      <c r="F22" s="1314" t="s">
        <v>1113</v>
      </c>
      <c r="G22" s="1314" t="s">
        <v>1114</v>
      </c>
      <c r="H22" s="1307" t="s">
        <v>1115</v>
      </c>
      <c r="I22" s="1298" t="s">
        <v>1116</v>
      </c>
    </row>
    <row r="23" spans="1:9" ht="14.25" thickBot="1">
      <c r="A23" s="3309"/>
      <c r="B23" s="3310"/>
      <c r="C23" s="3311"/>
      <c r="D23" s="1315"/>
      <c r="E23" s="1315"/>
      <c r="F23" s="1315"/>
      <c r="G23" s="1316"/>
      <c r="H23" s="1317"/>
      <c r="I23" s="1318">
        <f>ROUND(E23*D23*F23*(1-G23)/10000,0)</f>
        <v>0</v>
      </c>
    </row>
    <row r="26" spans="1:9">
      <c r="A26" s="1319" t="s">
        <v>1117</v>
      </c>
      <c r="B26" s="1319"/>
      <c r="C26" s="1319"/>
      <c r="D26" s="1319"/>
      <c r="E26" s="3312">
        <f>C27-C30-C31-C32</f>
        <v>0</v>
      </c>
      <c r="F26" s="3312"/>
      <c r="G26" s="3312"/>
      <c r="H26" s="1733" t="s">
        <v>1340</v>
      </c>
    </row>
    <row r="27" spans="1:9">
      <c r="A27" s="1320">
        <v>1</v>
      </c>
      <c r="B27" s="1321" t="s">
        <v>1118</v>
      </c>
      <c r="C27" s="1321">
        <f>C28+C29</f>
        <v>0</v>
      </c>
      <c r="D27" s="1321"/>
      <c r="E27" s="3313"/>
      <c r="F27" s="3313"/>
      <c r="G27" s="3313"/>
    </row>
    <row r="28" spans="1:9">
      <c r="A28" s="1322" t="s">
        <v>1119</v>
      </c>
      <c r="B28" s="1321" t="s">
        <v>1120</v>
      </c>
      <c r="C28" s="1321"/>
      <c r="D28" s="1321"/>
      <c r="E28" s="3313"/>
      <c r="F28" s="3313"/>
      <c r="G28" s="3313"/>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304"/>
      <c r="F32" s="3304"/>
      <c r="G32" s="3304"/>
    </row>
    <row r="33" spans="1:7" hidden="1">
      <c r="A33" s="3314" t="s">
        <v>1129</v>
      </c>
      <c r="B33" s="3315"/>
      <c r="C33" s="3315"/>
      <c r="D33" s="3316"/>
      <c r="E33" s="3312"/>
      <c r="F33" s="3312"/>
      <c r="G33" s="3312"/>
    </row>
    <row r="34" spans="1:7" hidden="1">
      <c r="A34" s="1324">
        <v>1</v>
      </c>
      <c r="B34" s="1321" t="s">
        <v>1130</v>
      </c>
      <c r="C34" s="1321"/>
      <c r="D34" s="1321"/>
      <c r="E34" s="3313"/>
      <c r="F34" s="3313"/>
      <c r="G34" s="3313"/>
    </row>
    <row r="35" spans="1:7" hidden="1">
      <c r="A35" s="1324">
        <v>2</v>
      </c>
      <c r="B35" s="1321" t="s">
        <v>1131</v>
      </c>
      <c r="C35" s="1321"/>
      <c r="D35" s="1321"/>
      <c r="E35" s="3313"/>
      <c r="F35" s="3313"/>
      <c r="G35" s="3313"/>
    </row>
    <row r="36" spans="1:7" hidden="1">
      <c r="A36" s="1324">
        <v>3</v>
      </c>
      <c r="B36" s="1321" t="s">
        <v>1132</v>
      </c>
      <c r="C36" s="1321"/>
      <c r="D36" s="1321"/>
      <c r="E36" s="3313"/>
      <c r="F36" s="3313"/>
      <c r="G36" s="3313"/>
    </row>
    <row r="37" spans="1:7" hidden="1">
      <c r="A37" s="1324">
        <v>4</v>
      </c>
      <c r="B37" s="1321" t="s">
        <v>1133</v>
      </c>
      <c r="C37" s="1321"/>
      <c r="D37" s="1321"/>
      <c r="E37" s="3313"/>
      <c r="F37" s="3313"/>
      <c r="G37" s="3313"/>
    </row>
    <row r="38" spans="1:7" hidden="1">
      <c r="A38" s="3314" t="s">
        <v>1134</v>
      </c>
      <c r="B38" s="3315"/>
      <c r="C38" s="3315"/>
      <c r="D38" s="3316"/>
      <c r="E38" s="3312"/>
      <c r="F38" s="3312"/>
      <c r="G38" s="33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7"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575" t="s">
        <v>2528</v>
      </c>
      <c r="C1" s="1630" t="s">
        <v>2529</v>
      </c>
      <c r="D1" s="1617"/>
      <c r="E1" s="2576"/>
      <c r="F1" s="2577" t="s">
        <v>2530</v>
      </c>
      <c r="G1" s="1627" t="s">
        <v>2531</v>
      </c>
      <c r="H1" s="1626"/>
      <c r="I1" s="1626"/>
      <c r="J1" s="1626"/>
      <c r="K1" s="1628"/>
      <c r="L1" s="1629"/>
      <c r="M1" s="1630"/>
      <c r="N1" s="1630"/>
      <c r="O1" s="1630"/>
      <c r="P1" s="2578"/>
      <c r="Q1" s="1616"/>
      <c r="R1" s="1616"/>
      <c r="S1" s="1616"/>
      <c r="T1" s="1616"/>
      <c r="U1" s="1616"/>
      <c r="V1" s="1616"/>
      <c r="W1" s="1616"/>
      <c r="X1" s="1616"/>
      <c r="Y1" s="1616"/>
      <c r="Z1" s="1616"/>
      <c r="AA1" s="1616"/>
      <c r="AB1" s="1616"/>
      <c r="AC1" s="1624"/>
    </row>
    <row r="2" spans="1:29" s="392" customFormat="1" ht="28.5" customHeight="1" thickTop="1">
      <c r="A2" s="1613" t="s">
        <v>1394</v>
      </c>
      <c r="B2" s="1414" t="e">
        <f ca="1">IF(C2="——",ROUND(C49*D3/10000,0),ROUND(C49*D3/10000,0)-D2)</f>
        <v>#DIV/0!</v>
      </c>
      <c r="C2" s="2579"/>
      <c r="D2" s="1361" t="e">
        <f ca="1">SUMIF(INDIRECT("'"&amp;F2&amp;"'"&amp;"!A:A"),"承租人权益价值",INDIRECT("'"&amp;F2&amp;"'"&amp;"!c:c"))</f>
        <v>#REF!</v>
      </c>
      <c r="E2" s="2580" t="s">
        <v>2532</v>
      </c>
      <c r="F2" s="2581"/>
      <c r="G2" s="1120"/>
      <c r="H2" s="1120"/>
      <c r="I2" s="1120"/>
      <c r="J2" s="1120"/>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1395</v>
      </c>
      <c r="B3" s="398" t="e">
        <f ca="1">IF(C2="——",C49,ROUND(B2*10000/D3,0))</f>
        <v>#DIV/0!</v>
      </c>
      <c r="C3" s="399" t="s">
        <v>2533</v>
      </c>
      <c r="D3" s="398">
        <f>IF(D1="",'数据-汇总表'!E3,SUMIF('数据-汇总表'!$C19:$C33,D1,'数据-汇总表'!$E19:$E33))</f>
        <v>48185.319999999992</v>
      </c>
      <c r="E3" s="1120"/>
      <c r="F3" s="2588"/>
      <c r="G3" s="1120"/>
      <c r="H3" s="1120"/>
      <c r="I3" s="1120"/>
      <c r="J3" s="1120"/>
      <c r="K3" s="2582"/>
      <c r="L3" s="2583"/>
      <c r="M3" s="2584"/>
      <c r="N3" s="2584"/>
      <c r="O3" s="2584"/>
      <c r="P3" s="2585"/>
      <c r="Q3" s="2586"/>
      <c r="R3" s="2586"/>
      <c r="S3" s="2586"/>
      <c r="T3" s="2586"/>
      <c r="U3" s="2586"/>
      <c r="V3" s="2586"/>
      <c r="W3" s="2586"/>
      <c r="X3" s="2586"/>
      <c r="Y3" s="2586"/>
      <c r="Z3" s="2586"/>
      <c r="AA3" s="2586"/>
      <c r="AB3" s="2586"/>
      <c r="AC3" s="1278"/>
    </row>
    <row r="4" spans="1:29" ht="15">
      <c r="A4" s="400" t="s">
        <v>2534</v>
      </c>
      <c r="B4" s="401"/>
      <c r="C4" s="3254" t="s">
        <v>2535</v>
      </c>
      <c r="D4" s="3255"/>
      <c r="E4" s="3256" t="s">
        <v>2536</v>
      </c>
      <c r="F4" s="3257"/>
      <c r="G4" s="3254" t="s">
        <v>2537</v>
      </c>
      <c r="H4" s="3255"/>
      <c r="I4" s="3254" t="s">
        <v>2538</v>
      </c>
      <c r="J4" s="3255"/>
      <c r="K4" s="2589" t="s">
        <v>2539</v>
      </c>
      <c r="L4" s="1126"/>
      <c r="M4" s="1127"/>
      <c r="N4" s="1127"/>
      <c r="O4" s="1127"/>
      <c r="P4" s="3288" t="s">
        <v>2540</v>
      </c>
      <c r="Q4" s="3289"/>
      <c r="R4" s="3285" t="s">
        <v>2536</v>
      </c>
      <c r="S4" s="3286"/>
      <c r="T4" s="3285" t="s">
        <v>2537</v>
      </c>
      <c r="U4" s="3286"/>
      <c r="V4" s="3267" t="s">
        <v>2538</v>
      </c>
      <c r="W4" s="3267"/>
      <c r="X4" s="1809"/>
      <c r="Y4" s="3285" t="s">
        <v>2540</v>
      </c>
      <c r="Z4" s="3286"/>
      <c r="AA4" s="3284" t="s">
        <v>2536</v>
      </c>
      <c r="AB4" s="3284" t="s">
        <v>2537</v>
      </c>
      <c r="AC4" s="3284" t="s">
        <v>2538</v>
      </c>
    </row>
    <row r="5" spans="1:29" ht="15">
      <c r="A5" s="403"/>
      <c r="B5" s="404"/>
      <c r="C5" s="3243" t="s">
        <v>2541</v>
      </c>
      <c r="D5" s="3244"/>
      <c r="E5" s="3287" t="s">
        <v>2542</v>
      </c>
      <c r="F5" s="3242"/>
      <c r="G5" s="3243" t="s">
        <v>2543</v>
      </c>
      <c r="H5" s="3244"/>
      <c r="I5" s="3243" t="s">
        <v>2544</v>
      </c>
      <c r="J5" s="3244"/>
      <c r="K5" s="2590"/>
      <c r="L5" s="1126"/>
      <c r="M5" s="1127"/>
      <c r="N5" s="1127"/>
      <c r="O5" s="1127"/>
      <c r="P5" s="3290"/>
      <c r="Q5" s="3261"/>
      <c r="R5" s="3239"/>
      <c r="S5" s="3240"/>
      <c r="T5" s="3239"/>
      <c r="U5" s="3240"/>
      <c r="V5" s="3267"/>
      <c r="W5" s="3267"/>
      <c r="X5" s="1809"/>
      <c r="Y5" s="3239"/>
      <c r="Z5" s="3240"/>
      <c r="AA5" s="3233"/>
      <c r="AB5" s="3233"/>
      <c r="AC5" s="3233"/>
    </row>
    <row r="6" spans="1:29" ht="15.75" thickBot="1">
      <c r="A6" s="405"/>
      <c r="B6" s="406"/>
      <c r="C6" s="3245" t="s">
        <v>2545</v>
      </c>
      <c r="D6" s="3246"/>
      <c r="E6" s="3248" t="s">
        <v>2545</v>
      </c>
      <c r="F6" s="3249"/>
      <c r="G6" s="3245" t="s">
        <v>2545</v>
      </c>
      <c r="H6" s="3246"/>
      <c r="I6" s="3245" t="s">
        <v>2545</v>
      </c>
      <c r="J6" s="3246"/>
      <c r="K6" s="2590" t="s">
        <v>2546</v>
      </c>
      <c r="L6" s="1126"/>
      <c r="M6" s="1127"/>
      <c r="N6" s="1127"/>
      <c r="O6" s="1127"/>
      <c r="P6" s="3291"/>
      <c r="Q6" s="3263"/>
      <c r="R6" s="3239"/>
      <c r="S6" s="3240"/>
      <c r="T6" s="3264"/>
      <c r="U6" s="3265"/>
      <c r="V6" s="3267"/>
      <c r="W6" s="3267"/>
      <c r="X6" s="1809"/>
      <c r="Y6" s="3264"/>
      <c r="Z6" s="3265"/>
      <c r="AA6" s="3234"/>
      <c r="AB6" s="3234"/>
      <c r="AC6" s="3234"/>
    </row>
    <row r="7" spans="1:29" s="116" customFormat="1" ht="15.75" thickBot="1">
      <c r="A7" s="407" t="s">
        <v>2547</v>
      </c>
      <c r="B7" s="408"/>
      <c r="C7" s="409">
        <f>'数据-取费表'!B2</f>
        <v>43182</v>
      </c>
      <c r="D7" s="410">
        <v>100</v>
      </c>
      <c r="E7" s="411"/>
      <c r="F7" s="412">
        <f>SUMIF(58:58,YEAR(E7)&amp;"-"&amp;MONTH(E7),59:59)</f>
        <v>0</v>
      </c>
      <c r="G7" s="411"/>
      <c r="H7" s="410">
        <f>SUMIF(58:58,YEAR(G7)&amp;"-"&amp;MONTH(G7),59:59)</f>
        <v>0</v>
      </c>
      <c r="I7" s="411"/>
      <c r="J7" s="410">
        <f>SUMIF(58:58,YEAR(I7)&amp;"-"&amp;MONTH(I7),59:59)</f>
        <v>0</v>
      </c>
      <c r="K7" s="2591"/>
      <c r="L7" s="1128"/>
      <c r="M7" s="1129"/>
      <c r="N7" s="1129"/>
      <c r="O7" s="1129"/>
      <c r="P7" s="3235" t="s">
        <v>2548</v>
      </c>
      <c r="Q7" s="3269"/>
      <c r="R7" s="769" t="s">
        <v>23</v>
      </c>
      <c r="S7" s="770">
        <f t="shared" ref="S7:S15" si="0">F7</f>
        <v>0</v>
      </c>
      <c r="T7" s="769" t="s">
        <v>23</v>
      </c>
      <c r="U7" s="770">
        <f t="shared" ref="U7:U15" si="1">H7</f>
        <v>0</v>
      </c>
      <c r="V7" s="769" t="s">
        <v>23</v>
      </c>
      <c r="W7" s="770">
        <f t="shared" ref="W7:W15" si="2">J7</f>
        <v>0</v>
      </c>
      <c r="X7" s="771"/>
      <c r="Y7" s="3235" t="s">
        <v>2548</v>
      </c>
      <c r="Z7" s="3236"/>
      <c r="AA7" s="772" t="e">
        <f>D7/F7</f>
        <v>#DIV/0!</v>
      </c>
      <c r="AB7" s="772" t="e">
        <f>D7/H7</f>
        <v>#DIV/0!</v>
      </c>
      <c r="AC7" s="772" t="e">
        <f>D7/J7</f>
        <v>#DIV/0!</v>
      </c>
    </row>
    <row r="8" spans="1:29" s="116" customFormat="1" ht="15.75" thickBot="1">
      <c r="A8" s="407" t="s">
        <v>2549</v>
      </c>
      <c r="B8" s="408"/>
      <c r="C8" s="413" t="s">
        <v>2550</v>
      </c>
      <c r="D8" s="410">
        <v>100</v>
      </c>
      <c r="E8" s="2592"/>
      <c r="F8" s="412">
        <f>SUMIF(61:61,E8,62:62)-SUMIF(61:61,C8,62:62)+100</f>
        <v>0</v>
      </c>
      <c r="G8" s="413"/>
      <c r="H8" s="410">
        <f>SUMIF(61:61,G8,62:62)-SUMIF(61:61,C8,62:62)+100</f>
        <v>0</v>
      </c>
      <c r="I8" s="2592"/>
      <c r="J8" s="410">
        <f>SUMIF(61:61,I8,62:62)-SUMIF(61:61,C8,62:62)+100</f>
        <v>0</v>
      </c>
      <c r="K8" s="2591"/>
      <c r="L8" s="1128"/>
      <c r="M8" s="1129"/>
      <c r="N8" s="1129"/>
      <c r="O8" s="1129"/>
      <c r="P8" s="3235" t="s">
        <v>2551</v>
      </c>
      <c r="Q8" s="3236"/>
      <c r="R8" s="769" t="s">
        <v>23</v>
      </c>
      <c r="S8" s="770">
        <f t="shared" si="0"/>
        <v>0</v>
      </c>
      <c r="T8" s="769" t="s">
        <v>23</v>
      </c>
      <c r="U8" s="770">
        <f t="shared" si="1"/>
        <v>0</v>
      </c>
      <c r="V8" s="769" t="s">
        <v>23</v>
      </c>
      <c r="W8" s="770">
        <f t="shared" si="2"/>
        <v>0</v>
      </c>
      <c r="X8" s="771"/>
      <c r="Y8" s="3235" t="s">
        <v>2551</v>
      </c>
      <c r="Z8" s="3236"/>
      <c r="AA8" s="772" t="e">
        <f t="shared" ref="AA8:AA19" si="3">D8/F8</f>
        <v>#DIV/0!</v>
      </c>
      <c r="AB8" s="772" t="e">
        <f t="shared" ref="AB8:AB19" si="4">D8/H8</f>
        <v>#DIV/0!</v>
      </c>
      <c r="AC8" s="772" t="e">
        <f t="shared" ref="AC8:AC19" si="5">D8/J8</f>
        <v>#DIV/0!</v>
      </c>
    </row>
    <row r="9" spans="1:29" s="116" customFormat="1">
      <c r="A9" s="414" t="s">
        <v>2552</v>
      </c>
      <c r="B9" s="70" t="s">
        <v>2553</v>
      </c>
      <c r="C9" s="415"/>
      <c r="D9" s="134">
        <v>100</v>
      </c>
      <c r="E9" s="416"/>
      <c r="F9" s="417">
        <f>SUMIF(63:63,E9,64:64)-SUMIF(63:63,C9,64:64)+100</f>
        <v>100</v>
      </c>
      <c r="G9" s="418"/>
      <c r="H9" s="134">
        <f>SUMIF(63:63,G9,64:64)-SUMIF(63:63,C9,64:64)+100</f>
        <v>100</v>
      </c>
      <c r="I9" s="418"/>
      <c r="J9" s="134">
        <f>SUMIF(63:63,I9,64:64)-SUMIF(63:63,C9,64:64)+100</f>
        <v>100</v>
      </c>
      <c r="K9" s="2591"/>
      <c r="L9" s="1128"/>
      <c r="M9" s="1129"/>
      <c r="N9" s="1129"/>
      <c r="O9" s="1129"/>
      <c r="P9" s="3250"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1"/>
      <c r="M10" s="1132"/>
      <c r="N10" s="1132"/>
      <c r="O10" s="1132"/>
      <c r="P10" s="3250"/>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4"/>
      <c r="M11" s="1127"/>
      <c r="N11" s="1127"/>
      <c r="O11" s="1127"/>
      <c r="P11" s="3250"/>
      <c r="Q11" s="1791" t="str">
        <f t="shared" si="6"/>
        <v>容积率</v>
      </c>
      <c r="R11" s="769" t="s">
        <v>21</v>
      </c>
      <c r="S11" s="770" t="e">
        <f t="shared" si="0"/>
        <v>#N/A</v>
      </c>
      <c r="T11" s="769" t="s">
        <v>21</v>
      </c>
      <c r="U11" s="770" t="e">
        <f t="shared" si="1"/>
        <v>#N/A</v>
      </c>
      <c r="V11" s="769" t="s">
        <v>21</v>
      </c>
      <c r="W11" s="770" t="e">
        <f t="shared" si="2"/>
        <v>#N/A</v>
      </c>
      <c r="X11" s="771"/>
      <c r="Y11" s="3104"/>
      <c r="Z11" s="54" t="str">
        <f t="shared" si="7"/>
        <v>容积率</v>
      </c>
      <c r="AA11" s="772" t="e">
        <f t="shared" si="3"/>
        <v>#N/A</v>
      </c>
      <c r="AB11" s="772" t="e">
        <f t="shared" si="4"/>
        <v>#N/A</v>
      </c>
      <c r="AC11" s="772" t="e">
        <f t="shared" si="5"/>
        <v>#N/A</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8"/>
      <c r="M12" s="1129"/>
      <c r="N12" s="1129"/>
      <c r="O12" s="1129"/>
      <c r="P12" s="3250"/>
      <c r="Q12" s="1791">
        <f t="shared" si="6"/>
        <v>111</v>
      </c>
      <c r="R12" s="769" t="s">
        <v>21</v>
      </c>
      <c r="S12" s="770">
        <f t="shared" si="0"/>
        <v>100</v>
      </c>
      <c r="T12" s="769" t="s">
        <v>21</v>
      </c>
      <c r="U12" s="770">
        <f t="shared" si="1"/>
        <v>100</v>
      </c>
      <c r="V12" s="769" t="s">
        <v>21</v>
      </c>
      <c r="W12" s="770">
        <f t="shared" si="2"/>
        <v>100</v>
      </c>
      <c r="X12" s="771"/>
      <c r="Y12" s="3104"/>
      <c r="Z12" s="5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6"/>
      <c r="M13" s="1127"/>
      <c r="N13" s="1127"/>
      <c r="O13" s="1127"/>
      <c r="P13" s="3250"/>
      <c r="Q13" s="1791">
        <f t="shared" si="6"/>
        <v>111</v>
      </c>
      <c r="R13" s="769" t="s">
        <v>21</v>
      </c>
      <c r="S13" s="770">
        <f t="shared" si="0"/>
        <v>100</v>
      </c>
      <c r="T13" s="769" t="s">
        <v>21</v>
      </c>
      <c r="U13" s="770">
        <f t="shared" si="1"/>
        <v>100</v>
      </c>
      <c r="V13" s="769" t="s">
        <v>21</v>
      </c>
      <c r="W13" s="770">
        <f t="shared" si="2"/>
        <v>100</v>
      </c>
      <c r="X13" s="771"/>
      <c r="Y13" s="3104"/>
      <c r="Z13" s="54">
        <f t="shared" si="7"/>
        <v>111</v>
      </c>
      <c r="AA13" s="772">
        <f t="shared" si="3"/>
        <v>1</v>
      </c>
      <c r="AB13" s="772">
        <f t="shared" si="4"/>
        <v>1</v>
      </c>
      <c r="AC13" s="772">
        <f t="shared" si="5"/>
        <v>1</v>
      </c>
    </row>
    <row r="14" spans="1:29" ht="15.75"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6"/>
      <c r="M14" s="1127"/>
      <c r="N14" s="1127"/>
      <c r="O14" s="1127"/>
      <c r="P14" s="3250"/>
      <c r="Q14" s="1791">
        <f t="shared" si="6"/>
        <v>111</v>
      </c>
      <c r="R14" s="769" t="s">
        <v>21</v>
      </c>
      <c r="S14" s="770">
        <f t="shared" si="0"/>
        <v>100</v>
      </c>
      <c r="T14" s="769" t="s">
        <v>21</v>
      </c>
      <c r="U14" s="770">
        <f t="shared" si="1"/>
        <v>100</v>
      </c>
      <c r="V14" s="769" t="s">
        <v>21</v>
      </c>
      <c r="W14" s="770">
        <f t="shared" si="2"/>
        <v>100</v>
      </c>
      <c r="X14" s="771"/>
      <c r="Y14" s="3104"/>
      <c r="Z14" s="54">
        <f t="shared" si="7"/>
        <v>111</v>
      </c>
      <c r="AA14" s="772">
        <f t="shared" si="3"/>
        <v>1</v>
      </c>
      <c r="AB14" s="772">
        <f t="shared" si="4"/>
        <v>1</v>
      </c>
      <c r="AC14" s="772">
        <f t="shared" si="5"/>
        <v>1</v>
      </c>
    </row>
    <row r="15" spans="1:29" ht="15">
      <c r="A15" s="439" t="s">
        <v>2558</v>
      </c>
      <c r="B15" s="68" t="s">
        <v>2087</v>
      </c>
      <c r="C15" s="2596">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6"/>
      <c r="M15" s="1127"/>
      <c r="N15" s="1127"/>
      <c r="O15" s="1127"/>
      <c r="P15" s="3270" t="s">
        <v>2559</v>
      </c>
      <c r="Q15" s="1806" t="str">
        <f t="shared" si="6"/>
        <v>居住社区成熟度</v>
      </c>
      <c r="R15" s="773" t="s">
        <v>21</v>
      </c>
      <c r="S15" s="774">
        <f t="shared" si="0"/>
        <v>100</v>
      </c>
      <c r="T15" s="773" t="s">
        <v>21</v>
      </c>
      <c r="U15" s="774">
        <f t="shared" si="1"/>
        <v>100</v>
      </c>
      <c r="V15" s="773" t="s">
        <v>21</v>
      </c>
      <c r="W15" s="774">
        <f t="shared" si="2"/>
        <v>100</v>
      </c>
      <c r="X15" s="1809"/>
      <c r="Y15" s="3272" t="s">
        <v>2559</v>
      </c>
      <c r="Z15" s="1810" t="str">
        <f t="shared" si="7"/>
        <v>居住社区成熟度</v>
      </c>
      <c r="AA15" s="1807">
        <f t="shared" si="3"/>
        <v>1</v>
      </c>
      <c r="AB15" s="1807">
        <f t="shared" si="4"/>
        <v>1</v>
      </c>
      <c r="AC15" s="1807">
        <f t="shared" si="5"/>
        <v>1</v>
      </c>
    </row>
    <row r="16" spans="1:29" ht="15">
      <c r="A16" s="427"/>
      <c r="B16" s="445"/>
      <c r="C16" s="446"/>
      <c r="D16" s="447"/>
      <c r="E16" s="2597"/>
      <c r="F16" s="447"/>
      <c r="G16" s="2598"/>
      <c r="H16" s="449"/>
      <c r="I16" s="2598"/>
      <c r="J16" s="447"/>
      <c r="K16" s="2599"/>
      <c r="L16" s="1136"/>
      <c r="M16" s="1127"/>
      <c r="N16" s="1127"/>
      <c r="O16" s="1127"/>
      <c r="P16" s="3271"/>
      <c r="Q16" s="1806"/>
      <c r="R16" s="773"/>
      <c r="S16" s="774"/>
      <c r="T16" s="773"/>
      <c r="U16" s="774"/>
      <c r="V16" s="773"/>
      <c r="W16" s="774"/>
      <c r="X16" s="1809"/>
      <c r="Y16" s="3273"/>
      <c r="Z16" s="1810"/>
      <c r="AA16" s="1807">
        <v>1</v>
      </c>
      <c r="AB16" s="1807">
        <v>1</v>
      </c>
      <c r="AC16" s="1807">
        <v>1</v>
      </c>
    </row>
    <row r="17" spans="1:29" ht="228">
      <c r="A17" s="427"/>
      <c r="B17" s="450" t="s">
        <v>2096</v>
      </c>
      <c r="C17" s="2600" t="str">
        <f>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7" s="449">
        <v>100</v>
      </c>
      <c r="E17" s="453"/>
      <c r="F17" s="449">
        <f>SUMIF(78:78,E18,79:79)-SUMIF(78:78,C18,79:79)+100</f>
        <v>100</v>
      </c>
      <c r="G17" s="451"/>
      <c r="H17" s="454">
        <f>SUMIF(78:78,G18,79:79)-SUMIF(78:78,C18,79:79)+100</f>
        <v>100</v>
      </c>
      <c r="I17" s="451"/>
      <c r="J17" s="454">
        <f>SUMIF(78:78,I18,79:79)-SUMIF(78:78,C18,79:79)+100</f>
        <v>100</v>
      </c>
      <c r="K17" s="444"/>
      <c r="L17" s="1136"/>
      <c r="M17" s="1127"/>
      <c r="N17" s="1127"/>
      <c r="O17" s="1127"/>
      <c r="P17" s="3271"/>
      <c r="Q17" s="1806" t="str">
        <f>B17</f>
        <v>交通便捷度</v>
      </c>
      <c r="R17" s="773" t="s">
        <v>21</v>
      </c>
      <c r="S17" s="774">
        <f>F17</f>
        <v>100</v>
      </c>
      <c r="T17" s="773" t="s">
        <v>21</v>
      </c>
      <c r="U17" s="774">
        <f>H17</f>
        <v>100</v>
      </c>
      <c r="V17" s="773" t="s">
        <v>21</v>
      </c>
      <c r="W17" s="774">
        <f>J17</f>
        <v>100</v>
      </c>
      <c r="X17" s="1809"/>
      <c r="Y17" s="3273"/>
      <c r="Z17" s="1810" t="str">
        <f>Q17</f>
        <v>交通便捷度</v>
      </c>
      <c r="AA17" s="1807">
        <f t="shared" si="3"/>
        <v>1</v>
      </c>
      <c r="AB17" s="1807">
        <f t="shared" si="4"/>
        <v>1</v>
      </c>
      <c r="AC17" s="1807">
        <f t="shared" si="5"/>
        <v>1</v>
      </c>
    </row>
    <row r="18" spans="1:29" ht="15">
      <c r="A18" s="427"/>
      <c r="B18" s="455"/>
      <c r="C18" s="2601"/>
      <c r="D18" s="449"/>
      <c r="E18" s="2602"/>
      <c r="F18" s="449"/>
      <c r="G18" s="2603"/>
      <c r="H18" s="447"/>
      <c r="I18" s="2603"/>
      <c r="J18" s="447"/>
      <c r="K18" s="2599"/>
      <c r="L18" s="1136"/>
      <c r="M18" s="1127"/>
      <c r="N18" s="1127"/>
      <c r="O18" s="1127"/>
      <c r="P18" s="3271"/>
      <c r="Q18" s="1806"/>
      <c r="R18" s="773"/>
      <c r="S18" s="774"/>
      <c r="T18" s="773"/>
      <c r="U18" s="774"/>
      <c r="V18" s="773"/>
      <c r="W18" s="774"/>
      <c r="X18" s="1809"/>
      <c r="Y18" s="3273"/>
      <c r="Z18" s="1810"/>
      <c r="AA18" s="1807">
        <v>1</v>
      </c>
      <c r="AB18" s="1807">
        <v>1</v>
      </c>
      <c r="AC18" s="1807">
        <v>1</v>
      </c>
    </row>
    <row r="19" spans="1:29" ht="42.75">
      <c r="A19" s="427"/>
      <c r="B19" s="450" t="s">
        <v>2094</v>
      </c>
      <c r="C19" s="2600" t="str">
        <f>估价对象房地状况!C7</f>
        <v>估价对象所在区域公共配套设施齐备度一般</v>
      </c>
      <c r="D19" s="454">
        <v>100</v>
      </c>
      <c r="E19" s="458"/>
      <c r="F19" s="454">
        <f>SUMIF(80:80,E20,81:81)-SUMIF(80:80,C20,81:81)+100</f>
        <v>100</v>
      </c>
      <c r="G19" s="456"/>
      <c r="H19" s="449">
        <f>SUMIF(80:80,G20,81:81)-SUMIF(80:80,C20,81:81)+100</f>
        <v>100</v>
      </c>
      <c r="I19" s="456"/>
      <c r="J19" s="449">
        <f>SUMIF(80:80,I20,81:81)-SUMIF(80:80,C20,81:81)+100</f>
        <v>100</v>
      </c>
      <c r="K19" s="444"/>
      <c r="L19" s="1136"/>
      <c r="M19" s="1127"/>
      <c r="N19" s="1127"/>
      <c r="O19" s="1127"/>
      <c r="P19" s="3271"/>
      <c r="Q19" s="1806" t="str">
        <f>B19</f>
        <v>公共配套设施</v>
      </c>
      <c r="R19" s="773" t="s">
        <v>21</v>
      </c>
      <c r="S19" s="774">
        <f>F19</f>
        <v>100</v>
      </c>
      <c r="T19" s="773" t="s">
        <v>21</v>
      </c>
      <c r="U19" s="774">
        <f>H19</f>
        <v>100</v>
      </c>
      <c r="V19" s="773" t="s">
        <v>21</v>
      </c>
      <c r="W19" s="774">
        <f>J19</f>
        <v>100</v>
      </c>
      <c r="X19" s="1809"/>
      <c r="Y19" s="3273"/>
      <c r="Z19" s="1810" t="str">
        <f>Q19</f>
        <v>公共配套设施</v>
      </c>
      <c r="AA19" s="1807">
        <f t="shared" si="3"/>
        <v>1</v>
      </c>
      <c r="AB19" s="1807">
        <f t="shared" si="4"/>
        <v>1</v>
      </c>
      <c r="AC19" s="1807">
        <f t="shared" si="5"/>
        <v>1</v>
      </c>
    </row>
    <row r="20" spans="1:29" ht="15">
      <c r="A20" s="427"/>
      <c r="B20" s="455"/>
      <c r="C20" s="446"/>
      <c r="D20" s="447"/>
      <c r="E20" s="2597"/>
      <c r="F20" s="447"/>
      <c r="G20" s="2598"/>
      <c r="H20" s="447"/>
      <c r="I20" s="2598"/>
      <c r="J20" s="447"/>
      <c r="K20" s="2599"/>
      <c r="L20" s="1136"/>
      <c r="M20" s="1127"/>
      <c r="N20" s="1127"/>
      <c r="O20" s="1127"/>
      <c r="P20" s="3271"/>
      <c r="Q20" s="1806"/>
      <c r="R20" s="773"/>
      <c r="S20" s="774"/>
      <c r="T20" s="773"/>
      <c r="U20" s="774"/>
      <c r="V20" s="773"/>
      <c r="W20" s="774"/>
      <c r="X20" s="1809"/>
      <c r="Y20" s="3273"/>
      <c r="Z20" s="1810"/>
      <c r="AA20" s="1807">
        <v>1</v>
      </c>
      <c r="AB20" s="1807">
        <v>1</v>
      </c>
      <c r="AC20" s="1807">
        <v>1</v>
      </c>
    </row>
    <row r="21" spans="1:29" ht="42.75">
      <c r="A21" s="427"/>
      <c r="B21" s="1380" t="s">
        <v>2097</v>
      </c>
      <c r="C21" s="2600" t="str">
        <f>估价对象房地状况!C8</f>
        <v>估价对象所在区域基础设施水平七通</v>
      </c>
      <c r="D21" s="449">
        <v>100</v>
      </c>
      <c r="E21" s="458"/>
      <c r="F21" s="454">
        <f>SUMIF(82:82,E22,83:83)-SUMIF(82:82,C22,83:83)+100</f>
        <v>100</v>
      </c>
      <c r="G21" s="456"/>
      <c r="H21" s="449">
        <f>SUMIF(82:82,G22,83:83)-SUMIF(82:82,C22,83:83)+100</f>
        <v>100</v>
      </c>
      <c r="I21" s="456"/>
      <c r="J21" s="449">
        <f>SUMIF(82:82,I22,83:83)-SUMIF(82:82,C22,83:83)+100</f>
        <v>100</v>
      </c>
      <c r="K21" s="444"/>
      <c r="L21" s="1136"/>
      <c r="M21" s="1127"/>
      <c r="N21" s="1127"/>
      <c r="O21" s="1127"/>
      <c r="P21" s="3271"/>
      <c r="Q21" s="1806" t="str">
        <f>B21</f>
        <v>基础设施水平</v>
      </c>
      <c r="R21" s="773" t="s">
        <v>17</v>
      </c>
      <c r="S21" s="774">
        <f>F21</f>
        <v>100</v>
      </c>
      <c r="T21" s="773" t="s">
        <v>17</v>
      </c>
      <c r="U21" s="774">
        <f>H21</f>
        <v>100</v>
      </c>
      <c r="V21" s="773" t="s">
        <v>17</v>
      </c>
      <c r="W21" s="774">
        <f>J21</f>
        <v>100</v>
      </c>
      <c r="X21" s="1809"/>
      <c r="Y21" s="3273"/>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7"/>
      <c r="G22" s="2604"/>
      <c r="H22" s="447"/>
      <c r="I22" s="446"/>
      <c r="J22" s="447"/>
      <c r="K22" s="2605"/>
      <c r="L22" s="1136"/>
      <c r="M22" s="1127"/>
      <c r="N22" s="1127"/>
      <c r="O22" s="1127"/>
      <c r="P22" s="3271"/>
      <c r="Q22" s="1806"/>
      <c r="R22" s="773"/>
      <c r="S22" s="774"/>
      <c r="T22" s="773"/>
      <c r="U22" s="774"/>
      <c r="V22" s="773"/>
      <c r="W22" s="774"/>
      <c r="X22" s="1809"/>
      <c r="Y22" s="3273"/>
      <c r="Z22" s="1810"/>
      <c r="AA22" s="1807">
        <v>1</v>
      </c>
      <c r="AB22" s="1807">
        <v>1</v>
      </c>
      <c r="AC22" s="1807">
        <v>1</v>
      </c>
    </row>
    <row r="23" spans="1:29" ht="142.5">
      <c r="A23" s="427"/>
      <c r="B23" s="450" t="s">
        <v>2101</v>
      </c>
      <c r="C23" s="2600" t="str">
        <f>估价对象房地状况!C9</f>
        <v>估价对象所处区域土地利用类型多为居住用地；估价对象周边有念坛公园，绿化率较好，周边无高等教育学校，无大型污染源，综合考虑自然及人文环境一般。</v>
      </c>
      <c r="D23" s="449">
        <v>100</v>
      </c>
      <c r="E23" s="453"/>
      <c r="F23" s="449">
        <f>SUMIF(84:84,E24,85:85)-SUMIF(84:84,C24,85:85)+100</f>
        <v>100</v>
      </c>
      <c r="G23" s="451"/>
      <c r="H23" s="449">
        <f>SUMIF(84:84,G24,85:85)-SUMIF(84:84,C24,85:85)+100</f>
        <v>100</v>
      </c>
      <c r="I23" s="451"/>
      <c r="J23" s="449">
        <f>SUMIF(84:84,I24,85:85)-SUMIF(84:84,C24,85:85)+100</f>
        <v>100</v>
      </c>
      <c r="K23" s="444"/>
      <c r="L23" s="1136"/>
      <c r="M23" s="1127"/>
      <c r="N23" s="1127"/>
      <c r="O23" s="1127"/>
      <c r="P23" s="3271"/>
      <c r="Q23" s="1806" t="str">
        <f>B23</f>
        <v>自然及人文环境</v>
      </c>
      <c r="R23" s="773" t="s">
        <v>21</v>
      </c>
      <c r="S23" s="774">
        <f>F23</f>
        <v>100</v>
      </c>
      <c r="T23" s="773" t="s">
        <v>21</v>
      </c>
      <c r="U23" s="774">
        <f>H23</f>
        <v>100</v>
      </c>
      <c r="V23" s="773" t="s">
        <v>21</v>
      </c>
      <c r="W23" s="774">
        <f>J23</f>
        <v>100</v>
      </c>
      <c r="X23" s="1809"/>
      <c r="Y23" s="3273"/>
      <c r="Z23" s="1810" t="str">
        <f>Q23</f>
        <v>自然及人文环境</v>
      </c>
      <c r="AA23" s="1807">
        <f>D23/F23</f>
        <v>1</v>
      </c>
      <c r="AB23" s="1807">
        <f>D23/H23</f>
        <v>1</v>
      </c>
      <c r="AC23" s="1807">
        <f>D23/J23</f>
        <v>1</v>
      </c>
    </row>
    <row r="24" spans="1:29" ht="15">
      <c r="A24" s="427"/>
      <c r="B24" s="455"/>
      <c r="C24" s="446"/>
      <c r="D24" s="447"/>
      <c r="E24" s="2597"/>
      <c r="F24" s="447"/>
      <c r="G24" s="2598"/>
      <c r="H24" s="447"/>
      <c r="I24" s="2598"/>
      <c r="J24" s="447"/>
      <c r="K24" s="2599"/>
      <c r="L24" s="1136"/>
      <c r="M24" s="1127"/>
      <c r="N24" s="1127"/>
      <c r="O24" s="1127"/>
      <c r="P24" s="3271"/>
      <c r="Q24" s="1806"/>
      <c r="R24" s="773"/>
      <c r="S24" s="774"/>
      <c r="T24" s="773"/>
      <c r="U24" s="774"/>
      <c r="V24" s="773"/>
      <c r="W24" s="774"/>
      <c r="X24" s="1809"/>
      <c r="Y24" s="3273"/>
      <c r="Z24" s="1810"/>
      <c r="AA24" s="1807">
        <v>1</v>
      </c>
      <c r="AB24" s="1807">
        <v>1</v>
      </c>
      <c r="AC24" s="1807">
        <v>1</v>
      </c>
    </row>
    <row r="25" spans="1:29" ht="15">
      <c r="A25" s="427"/>
      <c r="B25" s="421" t="s">
        <v>2560</v>
      </c>
      <c r="C25" s="459"/>
      <c r="D25" s="434">
        <v>100</v>
      </c>
      <c r="E25" s="2606"/>
      <c r="F25" s="434">
        <f>SUMIF(86:86,E25,87:87)-SUMIF(86:86,C25,87:87)+100</f>
        <v>100</v>
      </c>
      <c r="G25" s="2607"/>
      <c r="H25" s="434">
        <f>SUMIF(86:86,G25,87:87)-SUMIF(86:86,C25,87:87)+100</f>
        <v>100</v>
      </c>
      <c r="I25" s="2607"/>
      <c r="J25" s="434">
        <f>SUMIF(86:86,I25,87:87)-SUMIF(86:86,C25,87:87)+100</f>
        <v>100</v>
      </c>
      <c r="K25" s="425"/>
      <c r="L25" s="1136"/>
      <c r="M25" s="1127"/>
      <c r="N25" s="1127"/>
      <c r="O25" s="1127"/>
      <c r="P25" s="3271"/>
      <c r="Q25" s="1806" t="str">
        <f t="shared" ref="Q25:Q46" si="11">B25</f>
        <v>楼层-1</v>
      </c>
      <c r="R25" s="773" t="s">
        <v>21</v>
      </c>
      <c r="S25" s="774">
        <f t="shared" ref="S25:S46" si="12">F25</f>
        <v>100</v>
      </c>
      <c r="T25" s="773" t="s">
        <v>21</v>
      </c>
      <c r="U25" s="774">
        <f t="shared" ref="U25:U46" si="13">H25</f>
        <v>100</v>
      </c>
      <c r="V25" s="773" t="s">
        <v>21</v>
      </c>
      <c r="W25" s="774">
        <f t="shared" ref="W25:W46" si="14">J25</f>
        <v>100</v>
      </c>
      <c r="X25" s="1809"/>
      <c r="Y25" s="3273"/>
      <c r="Z25" s="1810" t="str">
        <f>Q25</f>
        <v>楼层-1</v>
      </c>
      <c r="AA25" s="1807">
        <f t="shared" ref="AA25:AA46" si="15">D25/F25</f>
        <v>1</v>
      </c>
      <c r="AB25" s="1807">
        <f t="shared" ref="AB25:AB46" si="16">D25/H25</f>
        <v>1</v>
      </c>
      <c r="AC25" s="1807">
        <f t="shared" ref="AC25:AC46" si="17">D25/J25</f>
        <v>1</v>
      </c>
    </row>
    <row r="26" spans="1:29" ht="15">
      <c r="A26" s="427"/>
      <c r="B26" s="421" t="s">
        <v>2561</v>
      </c>
      <c r="C26" s="459"/>
      <c r="D26" s="434">
        <v>100</v>
      </c>
      <c r="E26" s="2606"/>
      <c r="F26" s="434">
        <f>SUMIF(88:88,E26,89:89)-SUMIF(88:88,C26,89:89)+100</f>
        <v>100</v>
      </c>
      <c r="G26" s="2607"/>
      <c r="H26" s="434">
        <f>SUMIF(88:88,G26,89:89)-SUMIF(88:88,C26,89:89)+100</f>
        <v>100</v>
      </c>
      <c r="I26" s="2607"/>
      <c r="J26" s="434">
        <f>SUMIF(88:88,I26,89:89)-SUMIF(88:88,C26,89:89)+100</f>
        <v>100</v>
      </c>
      <c r="K26" s="425"/>
      <c r="L26" s="1136"/>
      <c r="M26" s="1127"/>
      <c r="N26" s="1127"/>
      <c r="O26" s="1127"/>
      <c r="P26" s="3271"/>
      <c r="Q26" s="1806" t="str">
        <f t="shared" si="11"/>
        <v>朝向</v>
      </c>
      <c r="R26" s="773" t="s">
        <v>21</v>
      </c>
      <c r="S26" s="774">
        <f t="shared" si="12"/>
        <v>100</v>
      </c>
      <c r="T26" s="773" t="s">
        <v>21</v>
      </c>
      <c r="U26" s="774">
        <f t="shared" si="13"/>
        <v>100</v>
      </c>
      <c r="V26" s="773" t="s">
        <v>21</v>
      </c>
      <c r="W26" s="774">
        <f t="shared" si="14"/>
        <v>100</v>
      </c>
      <c r="X26" s="1809"/>
      <c r="Y26" s="3273"/>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4"/>
      <c r="L27" s="1128"/>
      <c r="M27" s="1129"/>
      <c r="N27" s="1129"/>
      <c r="O27" s="1129"/>
      <c r="P27" s="3271"/>
      <c r="Q27" s="1791">
        <f t="shared" si="11"/>
        <v>111</v>
      </c>
      <c r="R27" s="769" t="s">
        <v>21</v>
      </c>
      <c r="S27" s="770">
        <f t="shared" si="12"/>
        <v>100</v>
      </c>
      <c r="T27" s="769" t="s">
        <v>21</v>
      </c>
      <c r="U27" s="770">
        <f t="shared" si="13"/>
        <v>100</v>
      </c>
      <c r="V27" s="769" t="s">
        <v>21</v>
      </c>
      <c r="W27" s="770">
        <f t="shared" si="14"/>
        <v>100</v>
      </c>
      <c r="X27" s="771"/>
      <c r="Y27" s="3273"/>
      <c r="Z27" s="54">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8"/>
      <c r="H28" s="434">
        <f>SUMIF(92:92,G28,93:93)-SUMIF(92:92,C28,93:93)+100</f>
        <v>100</v>
      </c>
      <c r="I28" s="433"/>
      <c r="J28" s="434">
        <f>SUMIF(92:92,I28,93:93)-SUMIF(92:92,C28,93:93)+100</f>
        <v>100</v>
      </c>
      <c r="K28" s="2594"/>
      <c r="L28" s="1136"/>
      <c r="M28" s="1127"/>
      <c r="N28" s="1127"/>
      <c r="O28" s="1127"/>
      <c r="P28" s="3271"/>
      <c r="Q28" s="1806">
        <f t="shared" si="11"/>
        <v>111</v>
      </c>
      <c r="R28" s="773" t="s">
        <v>21</v>
      </c>
      <c r="S28" s="774">
        <f t="shared" si="12"/>
        <v>100</v>
      </c>
      <c r="T28" s="773" t="s">
        <v>21</v>
      </c>
      <c r="U28" s="774">
        <f t="shared" si="13"/>
        <v>100</v>
      </c>
      <c r="V28" s="773" t="s">
        <v>21</v>
      </c>
      <c r="W28" s="774">
        <f t="shared" si="14"/>
        <v>100</v>
      </c>
      <c r="X28" s="1809"/>
      <c r="Y28" s="3273"/>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8"/>
      <c r="H29" s="434">
        <f>SUMIF(94:94,G29,95:95)-SUMIF(94:94,C29,95:95)+100</f>
        <v>100</v>
      </c>
      <c r="I29" s="433"/>
      <c r="J29" s="434">
        <f>SUMIF(94:94,I29,95:95)-SUMIF(94:94,C29,95:95)+100</f>
        <v>100</v>
      </c>
      <c r="K29" s="2594"/>
      <c r="L29" s="1136"/>
      <c r="M29" s="1127"/>
      <c r="N29" s="1127"/>
      <c r="O29" s="1127"/>
      <c r="P29" s="3271"/>
      <c r="Q29" s="1806">
        <f t="shared" si="11"/>
        <v>111</v>
      </c>
      <c r="R29" s="773" t="s">
        <v>21</v>
      </c>
      <c r="S29" s="774">
        <f t="shared" si="12"/>
        <v>100</v>
      </c>
      <c r="T29" s="773" t="s">
        <v>21</v>
      </c>
      <c r="U29" s="774">
        <f t="shared" si="13"/>
        <v>100</v>
      </c>
      <c r="V29" s="773" t="s">
        <v>21</v>
      </c>
      <c r="W29" s="774">
        <f t="shared" si="14"/>
        <v>100</v>
      </c>
      <c r="X29" s="1809"/>
      <c r="Y29" s="3273"/>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8"/>
      <c r="H30" s="434">
        <f>SUMIF(96:96,G30,97:97)-SUMIF(96:96,C30,97:97)+100</f>
        <v>100</v>
      </c>
      <c r="I30" s="433"/>
      <c r="J30" s="434">
        <f>SUMIF(96:96,I30,97:97)-SUMIF(96:96,C30,97:97)+100</f>
        <v>100</v>
      </c>
      <c r="K30" s="2594"/>
      <c r="L30" s="1136"/>
      <c r="M30" s="1127"/>
      <c r="N30" s="1127"/>
      <c r="O30" s="1127"/>
      <c r="P30" s="3271"/>
      <c r="Q30" s="1806">
        <f t="shared" si="11"/>
        <v>111</v>
      </c>
      <c r="R30" s="773" t="s">
        <v>21</v>
      </c>
      <c r="S30" s="774">
        <f t="shared" si="12"/>
        <v>100</v>
      </c>
      <c r="T30" s="773" t="s">
        <v>21</v>
      </c>
      <c r="U30" s="774">
        <f t="shared" si="13"/>
        <v>100</v>
      </c>
      <c r="V30" s="773" t="s">
        <v>21</v>
      </c>
      <c r="W30" s="774">
        <f t="shared" si="14"/>
        <v>100</v>
      </c>
      <c r="X30" s="1809"/>
      <c r="Y30" s="3273"/>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09"/>
      <c r="H31" s="437">
        <f>SUMIF(98:98,G31,99:99)-SUMIF(98:98,C31,99:99)+100</f>
        <v>100</v>
      </c>
      <c r="I31" s="436"/>
      <c r="J31" s="437">
        <f>SUMIF(98:98,I31,99:99)-SUMIF(98:98,C31,99:99)+100</f>
        <v>100</v>
      </c>
      <c r="K31" s="2594"/>
      <c r="L31" s="1136"/>
      <c r="M31" s="1127"/>
      <c r="N31" s="1127"/>
      <c r="O31" s="1127"/>
      <c r="P31" s="3271"/>
      <c r="Q31" s="1806">
        <f t="shared" si="11"/>
        <v>111</v>
      </c>
      <c r="R31" s="773" t="s">
        <v>21</v>
      </c>
      <c r="S31" s="774">
        <f t="shared" si="12"/>
        <v>100</v>
      </c>
      <c r="T31" s="773" t="s">
        <v>21</v>
      </c>
      <c r="U31" s="774">
        <f t="shared" si="13"/>
        <v>100</v>
      </c>
      <c r="V31" s="773" t="s">
        <v>21</v>
      </c>
      <c r="W31" s="774">
        <f t="shared" si="14"/>
        <v>100</v>
      </c>
      <c r="X31" s="1809"/>
      <c r="Y31" s="3273"/>
      <c r="Z31" s="1810">
        <f t="shared" si="18"/>
        <v>111</v>
      </c>
      <c r="AA31" s="1807">
        <f t="shared" si="15"/>
        <v>1</v>
      </c>
      <c r="AB31" s="1807">
        <f t="shared" si="16"/>
        <v>1</v>
      </c>
      <c r="AC31" s="1807">
        <f t="shared" si="17"/>
        <v>1</v>
      </c>
    </row>
    <row r="32" spans="1:29" ht="15">
      <c r="A32" s="439" t="s">
        <v>2562</v>
      </c>
      <c r="B32" s="70" t="s">
        <v>2563</v>
      </c>
      <c r="C32" s="2610"/>
      <c r="D32" s="466">
        <v>100</v>
      </c>
      <c r="E32" s="2611"/>
      <c r="F32" s="460">
        <f>SUMIF(100:100,E32,101:101)-SUMIF(100:100,C32,101:101)+100</f>
        <v>100</v>
      </c>
      <c r="G32" s="2610"/>
      <c r="H32" s="466">
        <f>SUMIF(100:100,G32,101:101)-SUMIF(100:100,C32,101:101)+100</f>
        <v>100</v>
      </c>
      <c r="I32" s="2611"/>
      <c r="J32" s="434">
        <f>SUMIF(100:100,I32,101:101)-SUMIF(100:100,C32,101:101)+100</f>
        <v>100</v>
      </c>
      <c r="K32" s="425"/>
      <c r="L32" s="1136"/>
      <c r="M32" s="1127"/>
      <c r="N32" s="1127"/>
      <c r="O32" s="1127"/>
      <c r="P32" s="3274" t="s">
        <v>2564</v>
      </c>
      <c r="Q32" s="1806" t="str">
        <f t="shared" si="11"/>
        <v>建筑类型</v>
      </c>
      <c r="R32" s="773" t="s">
        <v>21</v>
      </c>
      <c r="S32" s="774">
        <f t="shared" si="12"/>
        <v>100</v>
      </c>
      <c r="T32" s="773" t="s">
        <v>21</v>
      </c>
      <c r="U32" s="774">
        <f t="shared" si="13"/>
        <v>100</v>
      </c>
      <c r="V32" s="773" t="s">
        <v>21</v>
      </c>
      <c r="W32" s="774">
        <f t="shared" si="14"/>
        <v>100</v>
      </c>
      <c r="X32" s="1809"/>
      <c r="Y32" s="3277" t="s">
        <v>2564</v>
      </c>
      <c r="Z32" s="1810" t="str">
        <f t="shared" si="18"/>
        <v>建筑类型</v>
      </c>
      <c r="AA32" s="1807">
        <f t="shared" si="15"/>
        <v>1</v>
      </c>
      <c r="AB32" s="1807">
        <f t="shared" si="16"/>
        <v>1</v>
      </c>
      <c r="AC32" s="1807">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4"/>
      <c r="L33" s="1134"/>
      <c r="M33" s="1137"/>
      <c r="N33" s="1137"/>
      <c r="O33" s="1137"/>
      <c r="P33" s="3275"/>
      <c r="Q33" s="775" t="str">
        <f t="shared" si="11"/>
        <v>项目建筑规模</v>
      </c>
      <c r="R33" s="776" t="s">
        <v>21</v>
      </c>
      <c r="S33" s="777" t="e">
        <f t="shared" si="12"/>
        <v>#N/A</v>
      </c>
      <c r="T33" s="776" t="s">
        <v>21</v>
      </c>
      <c r="U33" s="777" t="e">
        <f t="shared" si="13"/>
        <v>#N/A</v>
      </c>
      <c r="V33" s="776" t="s">
        <v>21</v>
      </c>
      <c r="W33" s="777" t="e">
        <f t="shared" si="14"/>
        <v>#N/A</v>
      </c>
      <c r="X33" s="778"/>
      <c r="Y33" s="3277"/>
      <c r="Z33" s="779" t="str">
        <f t="shared" si="18"/>
        <v>项目建筑规模</v>
      </c>
      <c r="AA33" s="1807" t="e">
        <f t="shared" si="15"/>
        <v>#N/A</v>
      </c>
      <c r="AB33" s="1807" t="e">
        <f t="shared" si="16"/>
        <v>#N/A</v>
      </c>
      <c r="AC33" s="1807" t="e">
        <f t="shared" si="17"/>
        <v>#N/A</v>
      </c>
    </row>
    <row r="34" spans="1:29" ht="15">
      <c r="A34" s="471"/>
      <c r="B34" s="421" t="s">
        <v>2566</v>
      </c>
      <c r="C34" s="2612"/>
      <c r="D34" s="434">
        <v>100</v>
      </c>
      <c r="E34" s="2613"/>
      <c r="F34" s="460">
        <f>SUMIF(105:105,E34,106:106)-SUMIF(105:105,C34,106:106)+100</f>
        <v>100</v>
      </c>
      <c r="G34" s="2612"/>
      <c r="H34" s="434">
        <f>SUMIF(105:105,G34,106:106)-SUMIF(105:105,C34,106:106)+100</f>
        <v>100</v>
      </c>
      <c r="I34" s="2613"/>
      <c r="J34" s="434">
        <f>SUMIF(105:105,I34,106:106)-SUMIF(105:105,C34,106:106)+100</f>
        <v>100</v>
      </c>
      <c r="K34" s="425"/>
      <c r="L34" s="1136"/>
      <c r="M34" s="1127"/>
      <c r="N34" s="1127"/>
      <c r="O34" s="1127"/>
      <c r="P34" s="3275"/>
      <c r="Q34" s="1806" t="str">
        <f t="shared" si="11"/>
        <v>建筑结构</v>
      </c>
      <c r="R34" s="773" t="s">
        <v>21</v>
      </c>
      <c r="S34" s="774">
        <f t="shared" si="12"/>
        <v>100</v>
      </c>
      <c r="T34" s="773" t="s">
        <v>21</v>
      </c>
      <c r="U34" s="774">
        <f t="shared" si="13"/>
        <v>100</v>
      </c>
      <c r="V34" s="773" t="s">
        <v>21</v>
      </c>
      <c r="W34" s="774">
        <f t="shared" si="14"/>
        <v>100</v>
      </c>
      <c r="X34" s="1809"/>
      <c r="Y34" s="3277"/>
      <c r="Z34" s="1810" t="str">
        <f t="shared" si="18"/>
        <v>建筑结构</v>
      </c>
      <c r="AA34" s="1807">
        <f t="shared" si="15"/>
        <v>1</v>
      </c>
      <c r="AB34" s="1807">
        <f t="shared" si="16"/>
        <v>1</v>
      </c>
      <c r="AC34" s="1807">
        <f t="shared" si="17"/>
        <v>1</v>
      </c>
    </row>
    <row r="35" spans="1:29" ht="15">
      <c r="A35" s="471"/>
      <c r="B35" s="421" t="s">
        <v>2567</v>
      </c>
      <c r="C35" s="2606"/>
      <c r="D35" s="434">
        <v>100</v>
      </c>
      <c r="E35" s="2607"/>
      <c r="F35" s="460">
        <f>SUMIF(107:107,E35,108:108)-SUMIF(107:107,C35,108:108)+100</f>
        <v>100</v>
      </c>
      <c r="G35" s="2606"/>
      <c r="H35" s="434">
        <f>SUMIF(107:107,G35,108:108)-SUMIF(107:107,C35,108:108)+100</f>
        <v>100</v>
      </c>
      <c r="I35" s="2607"/>
      <c r="J35" s="434">
        <f>SUMIF(107:107,I35,108:108)-SUMIF(107:107,C35,108:108)+100</f>
        <v>100</v>
      </c>
      <c r="K35" s="425"/>
      <c r="L35" s="1136"/>
      <c r="M35" s="1127"/>
      <c r="N35" s="1127"/>
      <c r="O35" s="1127"/>
      <c r="P35" s="3275"/>
      <c r="Q35" s="1806" t="str">
        <f t="shared" si="11"/>
        <v>建筑品质</v>
      </c>
      <c r="R35" s="773" t="s">
        <v>21</v>
      </c>
      <c r="S35" s="774">
        <f t="shared" si="12"/>
        <v>100</v>
      </c>
      <c r="T35" s="773" t="s">
        <v>21</v>
      </c>
      <c r="U35" s="774">
        <f t="shared" si="13"/>
        <v>100</v>
      </c>
      <c r="V35" s="773" t="s">
        <v>21</v>
      </c>
      <c r="W35" s="774">
        <f t="shared" si="14"/>
        <v>100</v>
      </c>
      <c r="X35" s="1809"/>
      <c r="Y35" s="3277"/>
      <c r="Z35" s="1810" t="str">
        <f t="shared" si="18"/>
        <v>建筑品质</v>
      </c>
      <c r="AA35" s="1807">
        <f t="shared" si="15"/>
        <v>1</v>
      </c>
      <c r="AB35" s="1807">
        <f t="shared" si="16"/>
        <v>1</v>
      </c>
      <c r="AC35" s="1807">
        <f t="shared" si="17"/>
        <v>1</v>
      </c>
    </row>
    <row r="36" spans="1:29" ht="15">
      <c r="A36" s="471"/>
      <c r="B36" s="421" t="s">
        <v>2568</v>
      </c>
      <c r="C36" s="2606"/>
      <c r="D36" s="434">
        <v>100</v>
      </c>
      <c r="E36" s="2607"/>
      <c r="F36" s="460">
        <f>SUMIF(109:109,E36,110:110)-SUMIF(109:109,C36,110:110)+100</f>
        <v>100</v>
      </c>
      <c r="G36" s="2606"/>
      <c r="H36" s="434">
        <f>SUMIF(109:109,G36,110:110)-SUMIF(109:109,C36,110:110)+100</f>
        <v>100</v>
      </c>
      <c r="I36" s="2607"/>
      <c r="J36" s="434">
        <f>SUMIF(109:109,I36,110:110)-SUMIF(109:109,C36,110:110)+100</f>
        <v>100</v>
      </c>
      <c r="K36" s="425"/>
      <c r="L36" s="1136"/>
      <c r="M36" s="1127"/>
      <c r="N36" s="1127"/>
      <c r="O36" s="1127"/>
      <c r="P36" s="3275"/>
      <c r="Q36" s="1806" t="str">
        <f t="shared" si="11"/>
        <v>公共部分装修</v>
      </c>
      <c r="R36" s="773" t="s">
        <v>21</v>
      </c>
      <c r="S36" s="774">
        <f t="shared" si="12"/>
        <v>100</v>
      </c>
      <c r="T36" s="773" t="s">
        <v>21</v>
      </c>
      <c r="U36" s="774">
        <f t="shared" si="13"/>
        <v>100</v>
      </c>
      <c r="V36" s="773" t="s">
        <v>21</v>
      </c>
      <c r="W36" s="774">
        <f t="shared" si="14"/>
        <v>100</v>
      </c>
      <c r="X36" s="1809"/>
      <c r="Y36" s="3277"/>
      <c r="Z36" s="1810" t="str">
        <f t="shared" si="18"/>
        <v>公共部分装修</v>
      </c>
      <c r="AA36" s="1807">
        <f t="shared" si="15"/>
        <v>1</v>
      </c>
      <c r="AB36" s="1807">
        <f t="shared" si="16"/>
        <v>1</v>
      </c>
      <c r="AC36" s="1807">
        <f t="shared" si="17"/>
        <v>1</v>
      </c>
    </row>
    <row r="37" spans="1:29" s="116"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8"/>
      <c r="M37" s="1129"/>
      <c r="N37" s="1129"/>
      <c r="O37" s="1129"/>
      <c r="P37" s="3275"/>
      <c r="Q37" s="1791" t="str">
        <f t="shared" si="11"/>
        <v>成新度</v>
      </c>
      <c r="R37" s="769" t="s">
        <v>21</v>
      </c>
      <c r="S37" s="770" t="e">
        <f t="shared" si="12"/>
        <v>#N/A</v>
      </c>
      <c r="T37" s="769" t="s">
        <v>21</v>
      </c>
      <c r="U37" s="770" t="e">
        <f t="shared" si="13"/>
        <v>#N/A</v>
      </c>
      <c r="V37" s="769" t="s">
        <v>21</v>
      </c>
      <c r="W37" s="770" t="e">
        <f t="shared" si="14"/>
        <v>#N/A</v>
      </c>
      <c r="X37" s="771"/>
      <c r="Y37" s="3277"/>
      <c r="Z37" s="54" t="str">
        <f t="shared" si="18"/>
        <v>成新度</v>
      </c>
      <c r="AA37" s="772" t="e">
        <f t="shared" si="15"/>
        <v>#N/A</v>
      </c>
      <c r="AB37" s="772" t="e">
        <f t="shared" si="16"/>
        <v>#N/A</v>
      </c>
      <c r="AC37" s="772" t="e">
        <f t="shared" si="17"/>
        <v>#N/A</v>
      </c>
    </row>
    <row r="38" spans="1:29" ht="15">
      <c r="A38" s="471"/>
      <c r="B38" s="421" t="s">
        <v>2570</v>
      </c>
      <c r="C38" s="2606"/>
      <c r="D38" s="434">
        <v>100</v>
      </c>
      <c r="E38" s="2607"/>
      <c r="F38" s="460">
        <f>SUMIF(114:114,E38,115:115)-SUMIF(114:114,C38,115:115)+100</f>
        <v>100</v>
      </c>
      <c r="G38" s="2606"/>
      <c r="H38" s="434">
        <f>SUMIF(114:114,G38,115:115)-SUMIF(114:114,C38,115:115)+100</f>
        <v>100</v>
      </c>
      <c r="I38" s="2607"/>
      <c r="J38" s="434">
        <f>SUMIF(114:114,I38,115:115)-SUMIF(114:114,C38,115:115)+100</f>
        <v>100</v>
      </c>
      <c r="K38" s="425"/>
      <c r="L38" s="1136"/>
      <c r="M38" s="1127"/>
      <c r="N38" s="1127"/>
      <c r="O38" s="1127"/>
      <c r="P38" s="3275" t="s">
        <v>2564</v>
      </c>
      <c r="Q38" s="1806" t="str">
        <f t="shared" si="11"/>
        <v>物业管理</v>
      </c>
      <c r="R38" s="773" t="s">
        <v>21</v>
      </c>
      <c r="S38" s="774">
        <f t="shared" si="12"/>
        <v>100</v>
      </c>
      <c r="T38" s="773" t="s">
        <v>21</v>
      </c>
      <c r="U38" s="774">
        <f t="shared" si="13"/>
        <v>100</v>
      </c>
      <c r="V38" s="773" t="s">
        <v>21</v>
      </c>
      <c r="W38" s="774">
        <f t="shared" si="14"/>
        <v>100</v>
      </c>
      <c r="X38" s="1809"/>
      <c r="Y38" s="3277" t="s">
        <v>2564</v>
      </c>
      <c r="Z38" s="1810" t="str">
        <f t="shared" si="18"/>
        <v>物业管理</v>
      </c>
      <c r="AA38" s="1807">
        <f t="shared" si="15"/>
        <v>1</v>
      </c>
      <c r="AB38" s="1807">
        <f t="shared" si="16"/>
        <v>1</v>
      </c>
      <c r="AC38" s="1807">
        <f t="shared" si="17"/>
        <v>1</v>
      </c>
    </row>
    <row r="39" spans="1:29" ht="15">
      <c r="A39" s="471"/>
      <c r="B39" s="421" t="s">
        <v>2571</v>
      </c>
      <c r="C39" s="2606"/>
      <c r="D39" s="434">
        <v>100</v>
      </c>
      <c r="E39" s="2607"/>
      <c r="F39" s="460">
        <f>SUMIF(116:116,E39,117:117)-SUMIF(116:116,C39,117:117)+100</f>
        <v>100</v>
      </c>
      <c r="G39" s="2606"/>
      <c r="H39" s="434">
        <f>SUMIF(116:116,G39,117:117)-SUMIF(116:116,C39,117:117)+100</f>
        <v>100</v>
      </c>
      <c r="I39" s="2607"/>
      <c r="J39" s="434">
        <f>SUMIF(116:116,I39,117:117)-SUMIF(116:116,C39,117:117)+100</f>
        <v>100</v>
      </c>
      <c r="K39" s="425"/>
      <c r="L39" s="1136"/>
      <c r="M39" s="1127"/>
      <c r="N39" s="1127"/>
      <c r="O39" s="1127"/>
      <c r="P39" s="3275"/>
      <c r="Q39" s="1806" t="str">
        <f t="shared" si="11"/>
        <v>市政基础设施</v>
      </c>
      <c r="R39" s="773" t="s">
        <v>21</v>
      </c>
      <c r="S39" s="774">
        <f t="shared" si="12"/>
        <v>100</v>
      </c>
      <c r="T39" s="773" t="s">
        <v>21</v>
      </c>
      <c r="U39" s="774">
        <f t="shared" si="13"/>
        <v>100</v>
      </c>
      <c r="V39" s="773" t="s">
        <v>21</v>
      </c>
      <c r="W39" s="774">
        <f t="shared" si="14"/>
        <v>100</v>
      </c>
      <c r="X39" s="1809"/>
      <c r="Y39" s="3277"/>
      <c r="Z39" s="1810" t="str">
        <f t="shared" si="18"/>
        <v>市政基础设施</v>
      </c>
      <c r="AA39" s="1807">
        <f t="shared" si="15"/>
        <v>1</v>
      </c>
      <c r="AB39" s="1807">
        <f t="shared" si="16"/>
        <v>1</v>
      </c>
      <c r="AC39" s="1807">
        <f t="shared" si="17"/>
        <v>1</v>
      </c>
    </row>
    <row r="40" spans="1:29" ht="15">
      <c r="A40" s="471"/>
      <c r="B40" s="421" t="s">
        <v>2572</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c r="L40" s="1136"/>
      <c r="M40" s="1127"/>
      <c r="N40" s="1127"/>
      <c r="O40" s="1127"/>
      <c r="P40" s="3275"/>
      <c r="Q40" s="1806" t="str">
        <f t="shared" si="11"/>
        <v>房型</v>
      </c>
      <c r="R40" s="773" t="s">
        <v>21</v>
      </c>
      <c r="S40" s="774">
        <f t="shared" si="12"/>
        <v>100</v>
      </c>
      <c r="T40" s="773" t="s">
        <v>21</v>
      </c>
      <c r="U40" s="774">
        <f t="shared" si="13"/>
        <v>100</v>
      </c>
      <c r="V40" s="773" t="s">
        <v>21</v>
      </c>
      <c r="W40" s="774">
        <f t="shared" si="14"/>
        <v>100</v>
      </c>
      <c r="X40" s="1809"/>
      <c r="Y40" s="3277"/>
      <c r="Z40" s="1810" t="str">
        <f t="shared" si="18"/>
        <v>房型</v>
      </c>
      <c r="AA40" s="1807">
        <f t="shared" si="15"/>
        <v>1</v>
      </c>
      <c r="AB40" s="1807">
        <f t="shared" si="16"/>
        <v>1</v>
      </c>
      <c r="AC40" s="1807">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4"/>
      <c r="M41" s="1137"/>
      <c r="N41" s="1137"/>
      <c r="O41" s="1137"/>
      <c r="P41" s="3275"/>
      <c r="Q41" s="775" t="str">
        <f t="shared" si="11"/>
        <v>单套/主力户型建筑面积</v>
      </c>
      <c r="R41" s="776" t="s">
        <v>21</v>
      </c>
      <c r="S41" s="777">
        <f t="shared" si="12"/>
        <v>100</v>
      </c>
      <c r="T41" s="776" t="s">
        <v>21</v>
      </c>
      <c r="U41" s="777">
        <f t="shared" si="13"/>
        <v>100</v>
      </c>
      <c r="V41" s="776" t="s">
        <v>21</v>
      </c>
      <c r="W41" s="777">
        <f t="shared" si="14"/>
        <v>100</v>
      </c>
      <c r="X41" s="778"/>
      <c r="Y41" s="3277"/>
      <c r="Z41" s="779" t="str">
        <f t="shared" si="18"/>
        <v>单套/主力户型建筑面积</v>
      </c>
      <c r="AA41" s="1807">
        <f t="shared" si="15"/>
        <v>1</v>
      </c>
      <c r="AB41" s="1807">
        <f t="shared" si="16"/>
        <v>1</v>
      </c>
      <c r="AC41" s="1807">
        <f t="shared" si="17"/>
        <v>1</v>
      </c>
    </row>
    <row r="42" spans="1:29" ht="15">
      <c r="A42" s="471"/>
      <c r="B42" s="421" t="s">
        <v>2574</v>
      </c>
      <c r="C42" s="2606"/>
      <c r="D42" s="434">
        <v>100</v>
      </c>
      <c r="E42" s="2607"/>
      <c r="F42" s="460">
        <f>SUMIF(122:122,E42,123:123)-SUMIF(122:122,C42,123:123)+100</f>
        <v>100</v>
      </c>
      <c r="G42" s="2606"/>
      <c r="H42" s="434">
        <f>SUMIF(122:122,G42,123:123)-SUMIF(122:122,C42,123:123)+100</f>
        <v>100</v>
      </c>
      <c r="I42" s="2607"/>
      <c r="J42" s="434">
        <f>SUMIF(122:122,I42,123:123)-SUMIF(122:122,C42,123:123)+100</f>
        <v>100</v>
      </c>
      <c r="K42" s="425"/>
      <c r="L42" s="1136"/>
      <c r="M42" s="1127"/>
      <c r="N42" s="1127"/>
      <c r="O42" s="1127"/>
      <c r="P42" s="3275"/>
      <c r="Q42" s="1806" t="str">
        <f t="shared" si="11"/>
        <v>内部装修</v>
      </c>
      <c r="R42" s="773" t="s">
        <v>21</v>
      </c>
      <c r="S42" s="774">
        <f t="shared" si="12"/>
        <v>100</v>
      </c>
      <c r="T42" s="773" t="s">
        <v>21</v>
      </c>
      <c r="U42" s="774">
        <f t="shared" si="13"/>
        <v>100</v>
      </c>
      <c r="V42" s="773" t="s">
        <v>21</v>
      </c>
      <c r="W42" s="774">
        <f t="shared" si="14"/>
        <v>100</v>
      </c>
      <c r="X42" s="1809"/>
      <c r="Y42" s="3277"/>
      <c r="Z42" s="1810" t="str">
        <f t="shared" si="18"/>
        <v>内部装修</v>
      </c>
      <c r="AA42" s="1807">
        <f t="shared" si="15"/>
        <v>1</v>
      </c>
      <c r="AB42" s="1807">
        <f t="shared" si="16"/>
        <v>1</v>
      </c>
      <c r="AC42" s="1807">
        <f t="shared" si="17"/>
        <v>1</v>
      </c>
    </row>
    <row r="43" spans="1:29" ht="15">
      <c r="A43" s="471"/>
      <c r="B43" s="421" t="s">
        <v>2575</v>
      </c>
      <c r="C43" s="2606"/>
      <c r="D43" s="434">
        <v>100</v>
      </c>
      <c r="E43" s="2607"/>
      <c r="F43" s="460">
        <f>SUMIF(124:124,E43,125:125)-SUMIF(124:124,C43,125:125)+100</f>
        <v>100</v>
      </c>
      <c r="G43" s="2606"/>
      <c r="H43" s="434">
        <f>SUMIF(124:124,G43,125:125)-SUMIF(124:124,C43,125:125)+100</f>
        <v>100</v>
      </c>
      <c r="I43" s="2607"/>
      <c r="J43" s="434">
        <f>SUMIF(124:124,I43,125:125)-SUMIF(124:124,C43,125:125)+100</f>
        <v>100</v>
      </c>
      <c r="K43" s="425"/>
      <c r="L43" s="1136"/>
      <c r="M43" s="1127"/>
      <c r="N43" s="1127"/>
      <c r="O43" s="1127"/>
      <c r="P43" s="3275"/>
      <c r="Q43" s="1806" t="str">
        <f t="shared" si="11"/>
        <v>内部装修维护情况</v>
      </c>
      <c r="R43" s="773" t="s">
        <v>21</v>
      </c>
      <c r="S43" s="774">
        <f t="shared" si="12"/>
        <v>100</v>
      </c>
      <c r="T43" s="773" t="s">
        <v>21</v>
      </c>
      <c r="U43" s="774">
        <f t="shared" si="13"/>
        <v>100</v>
      </c>
      <c r="V43" s="773" t="s">
        <v>21</v>
      </c>
      <c r="W43" s="774">
        <f t="shared" si="14"/>
        <v>100</v>
      </c>
      <c r="X43" s="1809"/>
      <c r="Y43" s="3277"/>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8"/>
      <c r="M44" s="1129"/>
      <c r="N44" s="1129"/>
      <c r="O44" s="1129"/>
      <c r="P44" s="3275"/>
      <c r="Q44" s="1791">
        <f t="shared" si="11"/>
        <v>111</v>
      </c>
      <c r="R44" s="769" t="s">
        <v>21</v>
      </c>
      <c r="S44" s="770">
        <f t="shared" si="12"/>
        <v>100</v>
      </c>
      <c r="T44" s="769" t="s">
        <v>21</v>
      </c>
      <c r="U44" s="770">
        <f t="shared" si="13"/>
        <v>100</v>
      </c>
      <c r="V44" s="769" t="s">
        <v>21</v>
      </c>
      <c r="W44" s="770">
        <f t="shared" si="14"/>
        <v>100</v>
      </c>
      <c r="X44" s="771"/>
      <c r="Y44" s="3277"/>
      <c r="Z44" s="54">
        <f t="shared" si="18"/>
        <v>111</v>
      </c>
      <c r="AA44" s="772">
        <f t="shared" si="15"/>
        <v>1</v>
      </c>
      <c r="AB44" s="772">
        <f t="shared" si="16"/>
        <v>1</v>
      </c>
      <c r="AC44" s="772">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6"/>
      <c r="M45" s="1127"/>
      <c r="N45" s="1127"/>
      <c r="O45" s="1127"/>
      <c r="P45" s="3275"/>
      <c r="Q45" s="1806">
        <f t="shared" si="11"/>
        <v>111</v>
      </c>
      <c r="R45" s="773" t="s">
        <v>21</v>
      </c>
      <c r="S45" s="774">
        <f t="shared" si="12"/>
        <v>100</v>
      </c>
      <c r="T45" s="773" t="s">
        <v>21</v>
      </c>
      <c r="U45" s="774">
        <f t="shared" si="13"/>
        <v>100</v>
      </c>
      <c r="V45" s="773" t="s">
        <v>21</v>
      </c>
      <c r="W45" s="774">
        <f t="shared" si="14"/>
        <v>100</v>
      </c>
      <c r="X45" s="1809"/>
      <c r="Y45" s="3277"/>
      <c r="Z45" s="1810">
        <f t="shared" si="18"/>
        <v>111</v>
      </c>
      <c r="AA45" s="1807">
        <f t="shared" si="15"/>
        <v>1</v>
      </c>
      <c r="AB45" s="1807">
        <f t="shared" si="16"/>
        <v>1</v>
      </c>
      <c r="AC45" s="1807">
        <f t="shared" si="17"/>
        <v>1</v>
      </c>
    </row>
    <row r="46" spans="1:29" ht="15.75"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6"/>
      <c r="M46" s="1127"/>
      <c r="N46" s="1127"/>
      <c r="O46" s="1127"/>
      <c r="P46" s="3276"/>
      <c r="Q46" s="1806">
        <f t="shared" si="11"/>
        <v>111</v>
      </c>
      <c r="R46" s="773" t="s">
        <v>20</v>
      </c>
      <c r="S46" s="774">
        <f t="shared" si="12"/>
        <v>100</v>
      </c>
      <c r="T46" s="773" t="s">
        <v>20</v>
      </c>
      <c r="U46" s="774">
        <f t="shared" si="13"/>
        <v>100</v>
      </c>
      <c r="V46" s="773" t="s">
        <v>20</v>
      </c>
      <c r="W46" s="774">
        <f t="shared" si="14"/>
        <v>100</v>
      </c>
      <c r="X46" s="1809"/>
      <c r="Y46" s="3278"/>
      <c r="Z46" s="1810">
        <f t="shared" si="18"/>
        <v>111</v>
      </c>
      <c r="AA46" s="1807">
        <f t="shared" si="15"/>
        <v>1</v>
      </c>
      <c r="AB46" s="1807">
        <f t="shared" si="16"/>
        <v>1</v>
      </c>
      <c r="AC46" s="1807">
        <f t="shared" si="17"/>
        <v>1</v>
      </c>
    </row>
    <row r="47" spans="1:29" ht="15">
      <c r="A47" s="478" t="s">
        <v>2576</v>
      </c>
      <c r="B47" s="479"/>
      <c r="C47" s="1403" t="s">
        <v>19</v>
      </c>
      <c r="D47" s="1404"/>
      <c r="E47" s="1405"/>
      <c r="F47" s="1406"/>
      <c r="G47" s="1407"/>
      <c r="H47" s="1408"/>
      <c r="I47" s="1405"/>
      <c r="J47" s="1408"/>
      <c r="K47" s="2614"/>
      <c r="L47" s="1139"/>
      <c r="M47" s="1140"/>
      <c r="N47" s="1127"/>
      <c r="O47" s="1140"/>
      <c r="P47" s="3279" t="str">
        <f>A47</f>
        <v>成交单价（元/平方米）</v>
      </c>
      <c r="Q47" s="3279"/>
      <c r="R47" s="3280">
        <f>E47</f>
        <v>0</v>
      </c>
      <c r="S47" s="3280"/>
      <c r="T47" s="3280">
        <f>G47</f>
        <v>0</v>
      </c>
      <c r="U47" s="3280"/>
      <c r="V47" s="3280">
        <f>I47</f>
        <v>0</v>
      </c>
      <c r="W47" s="3280"/>
      <c r="X47" s="758"/>
      <c r="Y47" s="780"/>
      <c r="Z47" s="758"/>
      <c r="AA47" s="758"/>
      <c r="AB47" s="758"/>
      <c r="AC47" s="758"/>
    </row>
    <row r="48" spans="1:29" ht="15.75" thickBot="1">
      <c r="A48" s="485" t="s">
        <v>2577</v>
      </c>
      <c r="B48" s="486"/>
      <c r="C48" s="1409" t="e">
        <f>R49</f>
        <v>#DIV/0!</v>
      </c>
      <c r="D48" s="1410"/>
      <c r="E48" s="1411" t="e">
        <f>R48</f>
        <v>#DIV/0!</v>
      </c>
      <c r="F48" s="1411"/>
      <c r="G48" s="1409" t="e">
        <f>T48</f>
        <v>#DIV/0!</v>
      </c>
      <c r="H48" s="1410"/>
      <c r="I48" s="1411" t="e">
        <f>V48</f>
        <v>#DIV/0!</v>
      </c>
      <c r="J48" s="1410"/>
      <c r="K48" s="2615"/>
      <c r="L48" s="1139"/>
      <c r="M48" s="1140"/>
      <c r="N48" s="1140"/>
      <c r="O48" s="1140"/>
      <c r="P48" s="3279" t="str">
        <f>A48</f>
        <v>比较价值（元/平方米）</v>
      </c>
      <c r="Q48" s="3279"/>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8"/>
      <c r="Y48" s="758"/>
      <c r="Z48" s="758"/>
      <c r="AA48" s="758"/>
      <c r="AB48" s="758"/>
      <c r="AC48" s="758"/>
    </row>
    <row r="49" spans="1:29" ht="15.75" thickBot="1">
      <c r="A49" s="491" t="s">
        <v>2578</v>
      </c>
      <c r="B49" s="492"/>
      <c r="C49" s="1412" t="e">
        <f>R49</f>
        <v>#DIV/0!</v>
      </c>
      <c r="D49" s="1413"/>
      <c r="E49" s="1413"/>
      <c r="F49" s="1413"/>
      <c r="G49" s="1413"/>
      <c r="H49" s="1413"/>
      <c r="I49" s="1413"/>
      <c r="J49" s="1413"/>
      <c r="K49" s="2616"/>
      <c r="L49" s="1139"/>
      <c r="M49" s="1140"/>
      <c r="N49" s="1140"/>
      <c r="O49" s="1140"/>
      <c r="P49" s="3292" t="str">
        <f>A49</f>
        <v>估价对象XX用房的比较价值（楼面单价，元/平方米）</v>
      </c>
      <c r="Q49" s="3293"/>
      <c r="R49" s="3294" t="e">
        <f>IF(F1="售价",ROUND(AVERAGE(R48:V48),0),ROUND(AVERAGE(R48:V48),1))</f>
        <v>#DIV/0!</v>
      </c>
      <c r="S49" s="3294"/>
      <c r="T49" s="3294"/>
      <c r="U49" s="3294"/>
      <c r="V49" s="3294"/>
      <c r="W49" s="3294"/>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row>
    <row r="53" spans="1:29" ht="13.5" customHeight="1">
      <c r="A53" s="1140"/>
      <c r="B53" s="1140"/>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row>
    <row r="54" spans="1:29" s="501" customFormat="1" ht="13.5" customHeight="1">
      <c r="A54" s="1141"/>
      <c r="B54" s="1141"/>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18"/>
    </row>
    <row r="55" spans="1:29" s="501" customFormat="1">
      <c r="A55" s="1141"/>
      <c r="B55" s="1142"/>
      <c r="C55" s="1146"/>
      <c r="D55" s="1141"/>
      <c r="E55" s="1141"/>
      <c r="F55" s="1141"/>
      <c r="G55" s="1141"/>
      <c r="H55" s="1141"/>
      <c r="I55" s="1141"/>
      <c r="J55" s="1141"/>
      <c r="K55" s="1144"/>
      <c r="L55" s="1145"/>
      <c r="M55" s="1141"/>
      <c r="N55" s="1141"/>
      <c r="O55" s="1141"/>
      <c r="P55" s="2618"/>
    </row>
    <row r="56" spans="1:29">
      <c r="A56" s="1140"/>
      <c r="B56" s="1142"/>
      <c r="C56" s="1146"/>
      <c r="D56" s="1140"/>
      <c r="E56" s="1140"/>
      <c r="F56" s="1140"/>
      <c r="G56" s="1140"/>
      <c r="H56" s="1140"/>
      <c r="I56" s="1140"/>
      <c r="J56" s="1140"/>
      <c r="K56" s="1101"/>
      <c r="L56" s="1102"/>
      <c r="M56" s="1140"/>
      <c r="N56" s="1140"/>
      <c r="O56" s="1140"/>
    </row>
    <row r="57" spans="1:29" ht="21.75" thickBot="1">
      <c r="A57" s="762" t="s">
        <v>2582</v>
      </c>
      <c r="B57" s="758"/>
      <c r="C57" s="763"/>
      <c r="D57" s="763"/>
      <c r="E57" s="763"/>
      <c r="F57" s="764"/>
      <c r="G57" s="764"/>
      <c r="H57" s="763"/>
      <c r="I57" s="763"/>
      <c r="J57" s="763"/>
      <c r="K57" s="1156"/>
      <c r="L57" s="1157"/>
      <c r="M57" s="1155"/>
      <c r="N57" s="1155"/>
      <c r="O57" s="1155"/>
      <c r="P57" s="2619"/>
      <c r="Q57" s="503"/>
    </row>
    <row r="58" spans="1:29" s="507" customFormat="1" ht="15">
      <c r="A58" s="504" t="s">
        <v>2583</v>
      </c>
      <c r="B58" s="505"/>
      <c r="C58" s="1572" t="str">
        <f>YEAR(C7)&amp;"-"&amp;MONTH(C7)</f>
        <v>2018-3</v>
      </c>
      <c r="D58" s="1571">
        <f>EDATE(C58,-1)</f>
        <v>43132</v>
      </c>
      <c r="E58" s="1571">
        <f>EDATE(D58,-1)</f>
        <v>43101</v>
      </c>
      <c r="F58" s="1571">
        <f t="shared" ref="F58:O58" si="19">EDATE(E58,-1)</f>
        <v>43070</v>
      </c>
      <c r="G58" s="1571">
        <f t="shared" si="19"/>
        <v>43040</v>
      </c>
      <c r="H58" s="1571">
        <f t="shared" si="19"/>
        <v>43009</v>
      </c>
      <c r="I58" s="1571">
        <f t="shared" si="19"/>
        <v>42979</v>
      </c>
      <c r="J58" s="1571">
        <f t="shared" si="19"/>
        <v>42948</v>
      </c>
      <c r="K58" s="1571">
        <f t="shared" si="19"/>
        <v>42917</v>
      </c>
      <c r="L58" s="1571">
        <f t="shared" si="19"/>
        <v>42887</v>
      </c>
      <c r="M58" s="1571">
        <f t="shared" si="19"/>
        <v>42856</v>
      </c>
      <c r="N58" s="1571">
        <f t="shared" si="19"/>
        <v>42826</v>
      </c>
      <c r="O58" s="1571">
        <f t="shared" si="19"/>
        <v>42795</v>
      </c>
      <c r="P58" s="1566"/>
    </row>
    <row r="59" spans="1:29" s="116" customFormat="1" ht="15">
      <c r="A59" s="508"/>
      <c r="B59" s="2620"/>
      <c r="C59" s="1569">
        <v>100</v>
      </c>
      <c r="D59" s="510"/>
      <c r="E59" s="511"/>
      <c r="F59" s="511"/>
      <c r="G59" s="511"/>
      <c r="H59" s="511"/>
      <c r="I59" s="511"/>
      <c r="J59" s="511"/>
      <c r="K59" s="511"/>
      <c r="L59" s="511"/>
      <c r="M59" s="512"/>
      <c r="N59" s="511"/>
      <c r="O59" s="512"/>
      <c r="P59" s="2621"/>
    </row>
    <row r="60" spans="1:29" s="116" customFormat="1" ht="15.75" thickBot="1">
      <c r="A60" s="514" t="s">
        <v>2584</v>
      </c>
      <c r="B60" s="515"/>
      <c r="C60" s="516"/>
      <c r="D60" s="517"/>
      <c r="E60" s="517"/>
      <c r="F60" s="517"/>
      <c r="G60" s="517"/>
      <c r="H60" s="517"/>
      <c r="I60" s="517"/>
      <c r="J60" s="517"/>
      <c r="K60" s="517"/>
      <c r="L60" s="517"/>
      <c r="M60" s="518"/>
      <c r="N60" s="517"/>
      <c r="O60" s="518"/>
      <c r="P60" s="2621"/>
      <c r="Q60" s="503"/>
    </row>
    <row r="61" spans="1:29" s="116" customFormat="1" ht="15">
      <c r="A61" s="520" t="s">
        <v>2585</v>
      </c>
      <c r="B61" s="509"/>
      <c r="C61" s="521" t="s">
        <v>2586</v>
      </c>
      <c r="D61" s="522"/>
      <c r="E61" s="522"/>
      <c r="F61" s="522"/>
      <c r="G61" s="522"/>
      <c r="H61" s="522"/>
      <c r="I61" s="522"/>
      <c r="J61" s="522"/>
      <c r="K61" s="522"/>
      <c r="L61" s="523"/>
      <c r="M61" s="524"/>
      <c r="N61" s="1147"/>
      <c r="O61" s="1147"/>
      <c r="P61" s="2622"/>
      <c r="Q61" s="503"/>
    </row>
    <row r="62" spans="1:29" s="116" customFormat="1" ht="15.75" thickBot="1">
      <c r="A62" s="520"/>
      <c r="B62" s="509"/>
      <c r="C62" s="510">
        <v>100</v>
      </c>
      <c r="D62" s="511"/>
      <c r="E62" s="511"/>
      <c r="F62" s="511"/>
      <c r="G62" s="511"/>
      <c r="H62" s="511"/>
      <c r="I62" s="511"/>
      <c r="J62" s="511"/>
      <c r="K62" s="511"/>
      <c r="L62" s="511"/>
      <c r="M62" s="513"/>
      <c r="N62" s="1147"/>
      <c r="O62" s="1147"/>
      <c r="P62" s="2621"/>
      <c r="Q62" s="503"/>
    </row>
    <row r="63" spans="1:29">
      <c r="A63" s="526" t="s">
        <v>2587</v>
      </c>
      <c r="B63" s="527" t="s">
        <v>2553</v>
      </c>
      <c r="C63" s="528">
        <f>C9</f>
        <v>0</v>
      </c>
      <c r="D63" s="529"/>
      <c r="E63" s="529"/>
      <c r="F63" s="529"/>
      <c r="G63" s="529"/>
      <c r="H63" s="529"/>
      <c r="I63" s="529"/>
      <c r="J63" s="529"/>
      <c r="K63" s="530"/>
      <c r="L63" s="531"/>
      <c r="M63" s="532"/>
      <c r="N63" s="1148"/>
      <c r="O63" s="1148"/>
      <c r="P63" s="2623"/>
      <c r="Q63" s="503"/>
    </row>
    <row r="64" spans="1:29" ht="15.75" thickBot="1">
      <c r="A64" s="533"/>
      <c r="B64" s="534"/>
      <c r="C64" s="535">
        <v>100</v>
      </c>
      <c r="D64" s="535"/>
      <c r="E64" s="535"/>
      <c r="F64" s="535"/>
      <c r="G64" s="535"/>
      <c r="H64" s="535"/>
      <c r="I64" s="535"/>
      <c r="J64" s="535"/>
      <c r="K64" s="535"/>
      <c r="L64" s="535"/>
      <c r="M64" s="536"/>
      <c r="N64" s="1149"/>
      <c r="O64" s="1149"/>
      <c r="P64" s="2623"/>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48"/>
      <c r="O65" s="1148"/>
      <c r="P65" s="2623"/>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3"/>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9"/>
      <c r="O67" s="1149"/>
      <c r="P67" s="2623"/>
      <c r="Q67" s="503"/>
    </row>
    <row r="68" spans="1:17" ht="15">
      <c r="A68" s="533"/>
      <c r="B68" s="547"/>
      <c r="C68" s="548"/>
      <c r="D68" s="548"/>
      <c r="E68" s="548"/>
      <c r="F68" s="548"/>
      <c r="G68" s="548"/>
      <c r="H68" s="548"/>
      <c r="I68" s="548"/>
      <c r="J68" s="548"/>
      <c r="K68" s="549"/>
      <c r="L68" s="550"/>
      <c r="M68" s="551"/>
      <c r="N68" s="1148"/>
      <c r="O68" s="1148"/>
      <c r="P68" s="2623"/>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3"/>
      <c r="Q69" s="503"/>
    </row>
    <row r="70" spans="1:17" s="470" customFormat="1" ht="15.75" thickTop="1">
      <c r="A70" s="552"/>
      <c r="B70" s="537">
        <f>B12</f>
        <v>111</v>
      </c>
      <c r="C70" s="553"/>
      <c r="D70" s="553"/>
      <c r="E70" s="553"/>
      <c r="F70" s="553"/>
      <c r="G70" s="553"/>
      <c r="H70" s="554"/>
      <c r="I70" s="554"/>
      <c r="J70" s="554"/>
      <c r="K70" s="554"/>
      <c r="L70" s="555"/>
      <c r="M70" s="556"/>
      <c r="N70" s="1150"/>
      <c r="O70" s="1150"/>
      <c r="P70" s="2624"/>
      <c r="Q70" s="558"/>
    </row>
    <row r="71" spans="1:17" s="470" customFormat="1" ht="15.75" thickBot="1">
      <c r="A71" s="552"/>
      <c r="B71" s="542"/>
      <c r="C71" s="559"/>
      <c r="D71" s="535"/>
      <c r="E71" s="535"/>
      <c r="F71" s="535"/>
      <c r="G71" s="535"/>
      <c r="H71" s="535"/>
      <c r="I71" s="535"/>
      <c r="J71" s="535"/>
      <c r="K71" s="535"/>
      <c r="L71" s="535"/>
      <c r="M71" s="536"/>
      <c r="N71" s="1149"/>
      <c r="O71" s="1149"/>
      <c r="P71" s="2624"/>
      <c r="Q71" s="558"/>
    </row>
    <row r="72" spans="1:17" s="470" customFormat="1" ht="15.75" thickTop="1">
      <c r="A72" s="552"/>
      <c r="B72" s="537">
        <f>B13</f>
        <v>111</v>
      </c>
      <c r="C72" s="553"/>
      <c r="D72" s="553"/>
      <c r="E72" s="553"/>
      <c r="F72" s="553"/>
      <c r="G72" s="553"/>
      <c r="H72" s="554"/>
      <c r="I72" s="554"/>
      <c r="J72" s="554"/>
      <c r="K72" s="554"/>
      <c r="L72" s="555"/>
      <c r="M72" s="556"/>
      <c r="N72" s="1150"/>
      <c r="O72" s="1150"/>
      <c r="P72" s="2625"/>
      <c r="Q72" s="560"/>
    </row>
    <row r="73" spans="1:17" s="470" customFormat="1" ht="15.75" thickBot="1">
      <c r="A73" s="552"/>
      <c r="B73" s="542"/>
      <c r="C73" s="559"/>
      <c r="D73" s="559"/>
      <c r="E73" s="559"/>
      <c r="F73" s="559"/>
      <c r="G73" s="559"/>
      <c r="H73" s="561"/>
      <c r="I73" s="561"/>
      <c r="J73" s="561"/>
      <c r="K73" s="561"/>
      <c r="L73" s="561"/>
      <c r="M73" s="562"/>
      <c r="N73" s="1150"/>
      <c r="O73" s="1150"/>
      <c r="P73" s="2624"/>
      <c r="Q73" s="558"/>
    </row>
    <row r="74" spans="1:17" s="470" customFormat="1" ht="15.75" thickTop="1">
      <c r="A74" s="552"/>
      <c r="B74" s="545">
        <f>B14</f>
        <v>111</v>
      </c>
      <c r="C74" s="553"/>
      <c r="D74" s="553"/>
      <c r="E74" s="553"/>
      <c r="F74" s="553"/>
      <c r="G74" s="522"/>
      <c r="H74" s="563"/>
      <c r="I74" s="563"/>
      <c r="J74" s="563"/>
      <c r="K74" s="563"/>
      <c r="L74" s="564"/>
      <c r="M74" s="565"/>
      <c r="N74" s="1150"/>
      <c r="O74" s="1150"/>
      <c r="P74" s="2626"/>
      <c r="Q74" s="558"/>
    </row>
    <row r="75" spans="1:17" s="470" customFormat="1" ht="15.75" thickBot="1">
      <c r="A75" s="567"/>
      <c r="B75" s="568"/>
      <c r="C75" s="569"/>
      <c r="D75" s="569"/>
      <c r="E75" s="569"/>
      <c r="F75" s="569"/>
      <c r="G75" s="569"/>
      <c r="H75" s="570"/>
      <c r="I75" s="570"/>
      <c r="J75" s="570"/>
      <c r="K75" s="570"/>
      <c r="L75" s="570"/>
      <c r="M75" s="571"/>
      <c r="N75" s="1150"/>
      <c r="O75" s="1150"/>
      <c r="P75" s="2624"/>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48"/>
      <c r="O76" s="1148"/>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3"/>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48"/>
      <c r="O78" s="1148"/>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3"/>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48"/>
      <c r="O80" s="1148"/>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3"/>
      <c r="Q81" s="503"/>
    </row>
    <row r="82" spans="1:17" ht="15.75" thickTop="1">
      <c r="A82" s="533"/>
      <c r="B82" s="545" t="s">
        <v>2097</v>
      </c>
      <c r="C82" s="538" t="s">
        <v>2603</v>
      </c>
      <c r="D82" s="538" t="s">
        <v>2604</v>
      </c>
      <c r="E82" s="538" t="s">
        <v>2605</v>
      </c>
      <c r="F82" s="538" t="s">
        <v>2606</v>
      </c>
      <c r="G82" s="538" t="s">
        <v>2607</v>
      </c>
      <c r="H82" s="538"/>
      <c r="I82" s="538"/>
      <c r="J82" s="538"/>
      <c r="K82" s="538"/>
      <c r="L82" s="538"/>
      <c r="M82" s="1378"/>
      <c r="N82" s="1149"/>
      <c r="O82" s="1149"/>
      <c r="P82" s="2623"/>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49"/>
      <c r="O83" s="1149"/>
      <c r="P83" s="2623"/>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48"/>
      <c r="O84" s="1148"/>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3"/>
      <c r="Q85" s="503"/>
    </row>
    <row r="86" spans="1:17" s="116" customFormat="1" ht="15.75" thickTop="1">
      <c r="A86" s="578"/>
      <c r="B86" s="537" t="s">
        <v>2609</v>
      </c>
      <c r="C86" s="553"/>
      <c r="D86" s="553"/>
      <c r="E86" s="553"/>
      <c r="F86" s="553"/>
      <c r="G86" s="553"/>
      <c r="H86" s="553"/>
      <c r="I86" s="553"/>
      <c r="J86" s="553"/>
      <c r="K86" s="553"/>
      <c r="L86" s="579"/>
      <c r="M86" s="580"/>
      <c r="N86" s="1147"/>
      <c r="O86" s="1147"/>
      <c r="P86" s="2623"/>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3"/>
      <c r="Q87" s="503"/>
    </row>
    <row r="88" spans="1:17" s="116" customFormat="1" ht="15.75" thickTop="1">
      <c r="A88" s="578"/>
      <c r="B88" s="537" t="s">
        <v>2610</v>
      </c>
      <c r="C88" s="553"/>
      <c r="D88" s="553"/>
      <c r="E88" s="553"/>
      <c r="F88" s="2628"/>
      <c r="G88" s="553"/>
      <c r="H88" s="553"/>
      <c r="I88" s="553"/>
      <c r="J88" s="553"/>
      <c r="K88" s="553"/>
      <c r="L88" s="553"/>
      <c r="M88" s="580"/>
      <c r="N88" s="1147"/>
      <c r="O88" s="1147"/>
      <c r="P88" s="2623"/>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3"/>
      <c r="Q89" s="503"/>
    </row>
    <row r="90" spans="1:17" s="470" customFormat="1" ht="15.75" thickTop="1">
      <c r="A90" s="552"/>
      <c r="B90" s="537">
        <f>B27</f>
        <v>111</v>
      </c>
      <c r="C90" s="553"/>
      <c r="D90" s="553"/>
      <c r="E90" s="553"/>
      <c r="F90" s="553"/>
      <c r="G90" s="553"/>
      <c r="H90" s="554"/>
      <c r="I90" s="554"/>
      <c r="J90" s="554"/>
      <c r="K90" s="554"/>
      <c r="L90" s="555"/>
      <c r="M90" s="556"/>
      <c r="N90" s="1150"/>
      <c r="O90" s="1150"/>
      <c r="P90" s="2624"/>
      <c r="Q90" s="558"/>
    </row>
    <row r="91" spans="1:17" s="470" customFormat="1" ht="15.75" thickBot="1">
      <c r="A91" s="552"/>
      <c r="B91" s="542"/>
      <c r="C91" s="559"/>
      <c r="D91" s="559"/>
      <c r="E91" s="559"/>
      <c r="F91" s="559"/>
      <c r="G91" s="559"/>
      <c r="H91" s="561"/>
      <c r="I91" s="561"/>
      <c r="J91" s="561"/>
      <c r="K91" s="561"/>
      <c r="L91" s="561"/>
      <c r="M91" s="562"/>
      <c r="N91" s="1150"/>
      <c r="O91" s="1150"/>
      <c r="P91" s="2624"/>
      <c r="Q91" s="558"/>
    </row>
    <row r="92" spans="1:17" ht="15.75" thickTop="1">
      <c r="A92" s="533"/>
      <c r="B92" s="537">
        <f>B28</f>
        <v>111</v>
      </c>
      <c r="C92" s="553"/>
      <c r="D92" s="553"/>
      <c r="E92" s="553"/>
      <c r="F92" s="553"/>
      <c r="G92" s="582"/>
      <c r="H92" s="582"/>
      <c r="I92" s="582"/>
      <c r="J92" s="582"/>
      <c r="K92" s="583"/>
      <c r="L92" s="584"/>
      <c r="M92" s="585"/>
      <c r="N92" s="1148"/>
      <c r="O92" s="1148"/>
      <c r="P92" s="2623"/>
      <c r="Q92" s="503"/>
    </row>
    <row r="93" spans="1:17" ht="15.75" thickBot="1">
      <c r="A93" s="533"/>
      <c r="B93" s="542"/>
      <c r="C93" s="559"/>
      <c r="D93" s="535"/>
      <c r="E93" s="535"/>
      <c r="F93" s="535"/>
      <c r="G93" s="535"/>
      <c r="H93" s="535"/>
      <c r="I93" s="535"/>
      <c r="J93" s="535"/>
      <c r="K93" s="535"/>
      <c r="L93" s="535"/>
      <c r="M93" s="536"/>
      <c r="N93" s="1149"/>
      <c r="O93" s="1149"/>
      <c r="P93" s="2623"/>
      <c r="Q93" s="503"/>
    </row>
    <row r="94" spans="1:17" ht="15.75" thickTop="1">
      <c r="A94" s="533"/>
      <c r="B94" s="537">
        <f>B29</f>
        <v>111</v>
      </c>
      <c r="C94" s="553"/>
      <c r="D94" s="553"/>
      <c r="E94" s="553"/>
      <c r="F94" s="553"/>
      <c r="G94" s="582"/>
      <c r="H94" s="582"/>
      <c r="I94" s="582"/>
      <c r="J94" s="582"/>
      <c r="K94" s="583"/>
      <c r="L94" s="584"/>
      <c r="M94" s="585"/>
      <c r="N94" s="1148"/>
      <c r="O94" s="1148"/>
      <c r="P94" s="2623"/>
      <c r="Q94" s="503"/>
    </row>
    <row r="95" spans="1:17" ht="15.75" thickBot="1">
      <c r="A95" s="533"/>
      <c r="B95" s="542"/>
      <c r="C95" s="559"/>
      <c r="D95" s="559"/>
      <c r="E95" s="559"/>
      <c r="F95" s="559"/>
      <c r="G95" s="535"/>
      <c r="H95" s="535"/>
      <c r="I95" s="535"/>
      <c r="J95" s="535"/>
      <c r="K95" s="535"/>
      <c r="L95" s="535"/>
      <c r="M95" s="536"/>
      <c r="N95" s="1149"/>
      <c r="O95" s="1149"/>
      <c r="P95" s="2623"/>
      <c r="Q95" s="503"/>
    </row>
    <row r="96" spans="1:17" ht="15.75" thickTop="1">
      <c r="A96" s="533"/>
      <c r="B96" s="537">
        <f>B30</f>
        <v>111</v>
      </c>
      <c r="C96" s="553"/>
      <c r="D96" s="553"/>
      <c r="E96" s="553"/>
      <c r="F96" s="553"/>
      <c r="G96" s="582"/>
      <c r="H96" s="582"/>
      <c r="I96" s="582"/>
      <c r="J96" s="582"/>
      <c r="K96" s="583"/>
      <c r="L96" s="584"/>
      <c r="M96" s="585"/>
      <c r="N96" s="1148"/>
      <c r="O96" s="1148"/>
      <c r="P96" s="2623"/>
      <c r="Q96" s="503"/>
    </row>
    <row r="97" spans="1:17" ht="15.75" thickBot="1">
      <c r="A97" s="533"/>
      <c r="B97" s="542"/>
      <c r="C97" s="569"/>
      <c r="D97" s="569"/>
      <c r="E97" s="569"/>
      <c r="F97" s="569"/>
      <c r="G97" s="535"/>
      <c r="H97" s="535"/>
      <c r="I97" s="535"/>
      <c r="J97" s="535"/>
      <c r="K97" s="535"/>
      <c r="L97" s="535"/>
      <c r="M97" s="536"/>
      <c r="N97" s="1149"/>
      <c r="O97" s="1149"/>
      <c r="P97" s="2623"/>
      <c r="Q97" s="503"/>
    </row>
    <row r="98" spans="1:17" ht="15.75" thickTop="1">
      <c r="A98" s="533"/>
      <c r="B98" s="545">
        <f>B31</f>
        <v>111</v>
      </c>
      <c r="C98" s="586"/>
      <c r="D98" s="586"/>
      <c r="E98" s="586"/>
      <c r="F98" s="586"/>
      <c r="G98" s="586"/>
      <c r="H98" s="586"/>
      <c r="I98" s="586"/>
      <c r="J98" s="586"/>
      <c r="K98" s="587"/>
      <c r="L98" s="588"/>
      <c r="M98" s="589"/>
      <c r="N98" s="1148"/>
      <c r="O98" s="1148"/>
      <c r="P98" s="2623"/>
      <c r="Q98" s="503"/>
    </row>
    <row r="99" spans="1:17" ht="15.75" thickBot="1">
      <c r="A99" s="2629"/>
      <c r="B99" s="568"/>
      <c r="C99" s="590"/>
      <c r="D99" s="590"/>
      <c r="E99" s="590"/>
      <c r="F99" s="590"/>
      <c r="G99" s="590"/>
      <c r="H99" s="590"/>
      <c r="I99" s="590"/>
      <c r="J99" s="590"/>
      <c r="K99" s="590"/>
      <c r="L99" s="590"/>
      <c r="M99" s="591"/>
      <c r="N99" s="1149"/>
      <c r="O99" s="1149"/>
      <c r="P99" s="2623"/>
      <c r="Q99" s="503"/>
    </row>
    <row r="100" spans="1:17">
      <c r="A100" s="526" t="s">
        <v>2562</v>
      </c>
      <c r="B100" s="527" t="s">
        <v>2611</v>
      </c>
      <c r="C100" s="529"/>
      <c r="D100" s="529"/>
      <c r="E100" s="529"/>
      <c r="F100" s="529"/>
      <c r="G100" s="529"/>
      <c r="H100" s="529"/>
      <c r="I100" s="529"/>
      <c r="J100" s="529"/>
      <c r="K100" s="530"/>
      <c r="L100" s="531"/>
      <c r="M100" s="532"/>
      <c r="N100" s="1148"/>
      <c r="O100" s="1148"/>
      <c r="P100" s="2623"/>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3"/>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3"/>
      <c r="Q102" s="503"/>
    </row>
    <row r="103" spans="1:17" s="470" customFormat="1">
      <c r="A103" s="592"/>
      <c r="B103" s="593"/>
      <c r="C103" s="594"/>
      <c r="D103" s="594"/>
      <c r="E103" s="594"/>
      <c r="F103" s="594"/>
      <c r="G103" s="594"/>
      <c r="H103" s="594"/>
      <c r="I103" s="594"/>
      <c r="J103" s="595"/>
      <c r="K103" s="595"/>
      <c r="L103" s="596"/>
      <c r="M103" s="597"/>
      <c r="N103" s="1150"/>
      <c r="O103" s="1150"/>
      <c r="P103" s="2624"/>
      <c r="Q103" s="558"/>
    </row>
    <row r="104" spans="1:17" s="470" customFormat="1" ht="15.75" thickBot="1">
      <c r="A104" s="552"/>
      <c r="B104" s="542"/>
      <c r="C104" s="559"/>
      <c r="D104" s="535"/>
      <c r="E104" s="535"/>
      <c r="F104" s="535"/>
      <c r="G104" s="535"/>
      <c r="H104" s="535"/>
      <c r="I104" s="535"/>
      <c r="J104" s="535"/>
      <c r="K104" s="535"/>
      <c r="L104" s="535"/>
      <c r="M104" s="535"/>
      <c r="N104" s="1149"/>
      <c r="O104" s="1149"/>
      <c r="P104" s="2624"/>
      <c r="Q104" s="558"/>
    </row>
    <row r="105" spans="1:17" ht="15" thickTop="1">
      <c r="A105" s="598"/>
      <c r="B105" s="537" t="s">
        <v>2613</v>
      </c>
      <c r="C105" s="553"/>
      <c r="D105" s="553"/>
      <c r="E105" s="582"/>
      <c r="F105" s="582"/>
      <c r="G105" s="582"/>
      <c r="H105" s="582"/>
      <c r="I105" s="582"/>
      <c r="J105" s="582"/>
      <c r="K105" s="583"/>
      <c r="L105" s="584"/>
      <c r="M105" s="585"/>
      <c r="N105" s="1148"/>
      <c r="O105" s="1148"/>
      <c r="P105" s="2623"/>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49"/>
      <c r="O106" s="1149"/>
      <c r="P106" s="2623"/>
      <c r="Q106" s="503"/>
    </row>
    <row r="107" spans="1:17" ht="15" thickTop="1">
      <c r="A107" s="598"/>
      <c r="B107" s="537" t="s">
        <v>2614</v>
      </c>
      <c r="C107" s="582"/>
      <c r="D107" s="582"/>
      <c r="E107" s="582"/>
      <c r="F107" s="582"/>
      <c r="G107" s="582"/>
      <c r="H107" s="582"/>
      <c r="I107" s="582"/>
      <c r="J107" s="582"/>
      <c r="K107" s="583"/>
      <c r="L107" s="584"/>
      <c r="M107" s="585"/>
      <c r="N107" s="1148"/>
      <c r="O107" s="1148"/>
      <c r="P107" s="2623"/>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49"/>
      <c r="O108" s="1149"/>
      <c r="P108" s="2623"/>
      <c r="Q108" s="503"/>
    </row>
    <row r="109" spans="1:17" ht="15" thickTop="1">
      <c r="A109" s="598"/>
      <c r="B109" s="537" t="s">
        <v>2615</v>
      </c>
      <c r="C109" s="553"/>
      <c r="D109" s="553"/>
      <c r="E109" s="553"/>
      <c r="F109" s="582"/>
      <c r="G109" s="582"/>
      <c r="H109" s="582"/>
      <c r="I109" s="582"/>
      <c r="J109" s="582"/>
      <c r="K109" s="583"/>
      <c r="L109" s="584"/>
      <c r="M109" s="585"/>
      <c r="N109" s="1148"/>
      <c r="O109" s="1148"/>
      <c r="P109" s="2623"/>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49"/>
      <c r="O110" s="1149"/>
      <c r="P110" s="2623"/>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4"/>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0"/>
      <c r="O113" s="1150"/>
      <c r="P113" s="2624"/>
      <c r="Q113" s="558"/>
    </row>
    <row r="114" spans="1:17" ht="15" thickTop="1">
      <c r="A114" s="598"/>
      <c r="B114" s="537" t="s">
        <v>2616</v>
      </c>
      <c r="C114" s="553"/>
      <c r="D114" s="553"/>
      <c r="E114" s="582"/>
      <c r="F114" s="582"/>
      <c r="G114" s="582"/>
      <c r="H114" s="582"/>
      <c r="I114" s="582"/>
      <c r="J114" s="582"/>
      <c r="K114" s="583"/>
      <c r="L114" s="584"/>
      <c r="M114" s="585"/>
      <c r="N114" s="1148"/>
      <c r="O114" s="1148"/>
      <c r="P114" s="2623"/>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3"/>
      <c r="Q115" s="503"/>
    </row>
    <row r="116" spans="1:17" ht="15" thickTop="1">
      <c r="A116" s="598"/>
      <c r="B116" s="537" t="s">
        <v>2617</v>
      </c>
      <c r="C116" s="553"/>
      <c r="D116" s="553"/>
      <c r="E116" s="553"/>
      <c r="F116" s="553"/>
      <c r="G116" s="553"/>
      <c r="H116" s="582"/>
      <c r="I116" s="582"/>
      <c r="J116" s="582"/>
      <c r="K116" s="583"/>
      <c r="L116" s="584"/>
      <c r="M116" s="585"/>
      <c r="N116" s="1148"/>
      <c r="O116" s="1148"/>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3"/>
      <c r="Q117" s="503"/>
    </row>
    <row r="118" spans="1:17" ht="15" thickTop="1">
      <c r="A118" s="598"/>
      <c r="B118" s="537" t="s">
        <v>2618</v>
      </c>
      <c r="C118" s="582"/>
      <c r="D118" s="582"/>
      <c r="E118" s="582"/>
      <c r="F118" s="582"/>
      <c r="G118" s="582"/>
      <c r="H118" s="582"/>
      <c r="I118" s="582"/>
      <c r="J118" s="582"/>
      <c r="K118" s="583"/>
      <c r="L118" s="584"/>
      <c r="M118" s="585"/>
      <c r="N118" s="1148"/>
      <c r="O118" s="1148"/>
      <c r="P118" s="2623"/>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49"/>
      <c r="O119" s="1149"/>
      <c r="P119" s="2623"/>
      <c r="Q119" s="503"/>
    </row>
    <row r="120" spans="1:17" s="470" customFormat="1" ht="28.5" thickTop="1">
      <c r="A120" s="592"/>
      <c r="B120" s="537" t="s">
        <v>2573</v>
      </c>
      <c r="C120" s="553"/>
      <c r="D120" s="553"/>
      <c r="E120" s="553"/>
      <c r="F120" s="553"/>
      <c r="G120" s="553"/>
      <c r="H120" s="553"/>
      <c r="I120" s="553"/>
      <c r="J120" s="553"/>
      <c r="K120" s="553"/>
      <c r="L120" s="579"/>
      <c r="M120" s="580"/>
      <c r="N120" s="1150"/>
      <c r="O120" s="1150"/>
      <c r="P120" s="2624"/>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24"/>
      <c r="Q121" s="558"/>
    </row>
    <row r="122" spans="1:17" ht="15" thickTop="1">
      <c r="A122" s="598"/>
      <c r="B122" s="537" t="s">
        <v>2619</v>
      </c>
      <c r="C122" s="553"/>
      <c r="D122" s="553"/>
      <c r="E122" s="553"/>
      <c r="F122" s="582"/>
      <c r="G122" s="582"/>
      <c r="H122" s="582"/>
      <c r="I122" s="582"/>
      <c r="J122" s="582"/>
      <c r="K122" s="583"/>
      <c r="L122" s="584"/>
      <c r="M122" s="585"/>
      <c r="N122" s="1148"/>
      <c r="O122" s="1148"/>
      <c r="P122" s="2623"/>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49"/>
      <c r="O123" s="1149"/>
      <c r="P123" s="2623"/>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48"/>
      <c r="O124" s="1148"/>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3"/>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24"/>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24"/>
      <c r="Q127" s="558"/>
    </row>
    <row r="128" spans="1:17" ht="15" thickTop="1">
      <c r="A128" s="598"/>
      <c r="B128" s="537">
        <f>B45</f>
        <v>111</v>
      </c>
      <c r="C128" s="553"/>
      <c r="D128" s="553"/>
      <c r="E128" s="553"/>
      <c r="F128" s="553"/>
      <c r="G128" s="582"/>
      <c r="H128" s="582"/>
      <c r="I128" s="582"/>
      <c r="J128" s="582"/>
      <c r="K128" s="583"/>
      <c r="L128" s="584"/>
      <c r="M128" s="585"/>
      <c r="N128" s="1148"/>
      <c r="O128" s="1148"/>
      <c r="P128" s="2623"/>
      <c r="Q128" s="503"/>
    </row>
    <row r="129" spans="1:17" ht="15.75" thickBot="1">
      <c r="A129" s="533"/>
      <c r="B129" s="542"/>
      <c r="C129" s="559"/>
      <c r="D129" s="559"/>
      <c r="E129" s="559"/>
      <c r="F129" s="559"/>
      <c r="G129" s="535"/>
      <c r="H129" s="535"/>
      <c r="I129" s="535"/>
      <c r="J129" s="535"/>
      <c r="K129" s="535"/>
      <c r="L129" s="535"/>
      <c r="M129" s="536"/>
      <c r="N129" s="1149"/>
      <c r="O129" s="1149"/>
      <c r="P129" s="2623"/>
      <c r="Q129" s="503"/>
    </row>
    <row r="130" spans="1:17" ht="15" thickTop="1">
      <c r="A130" s="598"/>
      <c r="B130" s="545">
        <f>B46</f>
        <v>111</v>
      </c>
      <c r="C130" s="553"/>
      <c r="D130" s="553"/>
      <c r="E130" s="553"/>
      <c r="F130" s="553"/>
      <c r="G130" s="586"/>
      <c r="H130" s="586"/>
      <c r="I130" s="586"/>
      <c r="J130" s="586"/>
      <c r="K130" s="522"/>
      <c r="L130" s="523"/>
      <c r="M130" s="589"/>
      <c r="N130" s="1148"/>
      <c r="O130" s="1148"/>
      <c r="P130" s="2623"/>
      <c r="Q130" s="503"/>
    </row>
    <row r="131" spans="1:17" ht="15.75" thickBot="1">
      <c r="A131" s="2629"/>
      <c r="B131" s="568"/>
      <c r="C131" s="569"/>
      <c r="D131" s="569"/>
      <c r="E131" s="569"/>
      <c r="F131" s="569"/>
      <c r="G131" s="590"/>
      <c r="H131" s="590"/>
      <c r="I131" s="590"/>
      <c r="J131" s="590"/>
      <c r="K131" s="590"/>
      <c r="L131" s="590"/>
      <c r="M131" s="591"/>
      <c r="N131" s="1149"/>
      <c r="O131" s="1149"/>
      <c r="P131" s="2623"/>
      <c r="Q131" s="503"/>
    </row>
    <row r="136" spans="1:17" ht="15" thickBot="1">
      <c r="B136" s="2630" t="s">
        <v>2621</v>
      </c>
    </row>
    <row r="137" spans="1:17" ht="15">
      <c r="B137" s="2631" t="s">
        <v>2622</v>
      </c>
      <c r="C137" s="2632"/>
      <c r="D137" s="2632"/>
      <c r="E137" s="2632"/>
      <c r="F137" s="2632"/>
      <c r="G137" s="2633"/>
      <c r="H137" s="2634"/>
      <c r="I137" s="2635" t="s">
        <v>2623</v>
      </c>
      <c r="J137" s="2632"/>
      <c r="K137" s="2636"/>
    </row>
    <row r="138" spans="1:17" ht="15">
      <c r="B138" s="2637"/>
      <c r="C138" s="145" t="s">
        <v>2624</v>
      </c>
      <c r="D138" s="145" t="s">
        <v>2625</v>
      </c>
      <c r="E138" s="2638" t="s">
        <v>2626</v>
      </c>
      <c r="F138" s="2639" t="s">
        <v>2627</v>
      </c>
      <c r="G138" s="145" t="s">
        <v>2625</v>
      </c>
      <c r="H138" s="146" t="s">
        <v>2626</v>
      </c>
      <c r="I138" s="2640"/>
      <c r="J138" s="145" t="s">
        <v>2628</v>
      </c>
      <c r="K138" s="146" t="s">
        <v>2629</v>
      </c>
    </row>
    <row r="139" spans="1:17" ht="15">
      <c r="B139" s="1080">
        <v>6</v>
      </c>
      <c r="C139" s="1081">
        <v>96</v>
      </c>
      <c r="D139" s="2641" t="s">
        <v>2630</v>
      </c>
      <c r="E139" s="1082">
        <v>100</v>
      </c>
      <c r="F139" s="1083">
        <v>102.5</v>
      </c>
      <c r="G139" s="2641" t="s">
        <v>2630</v>
      </c>
      <c r="H139" s="1084">
        <v>105</v>
      </c>
      <c r="I139" s="2642" t="s">
        <v>2631</v>
      </c>
      <c r="J139" s="1081">
        <v>20</v>
      </c>
      <c r="K139" s="1085">
        <f>C145/(J139-2)</f>
        <v>4.0555555555555553E-3</v>
      </c>
    </row>
    <row r="140" spans="1:17" ht="15">
      <c r="B140" s="1086">
        <v>5</v>
      </c>
      <c r="C140" s="1087">
        <v>100</v>
      </c>
      <c r="D140" s="1087"/>
      <c r="E140" s="1088"/>
      <c r="F140" s="1089">
        <v>102</v>
      </c>
      <c r="G140" s="1087"/>
      <c r="H140" s="1090"/>
      <c r="I140" s="2643" t="s">
        <v>2632</v>
      </c>
      <c r="J140" s="314">
        <f>ROUNDUP((J139-1)/2,0)</f>
        <v>10</v>
      </c>
      <c r="K140" s="1091">
        <v>100</v>
      </c>
    </row>
    <row r="141" spans="1:17" ht="15">
      <c r="B141" s="1086">
        <v>4</v>
      </c>
      <c r="C141" s="1087">
        <v>102</v>
      </c>
      <c r="D141" s="1087"/>
      <c r="E141" s="1088"/>
      <c r="F141" s="1089">
        <v>101.5</v>
      </c>
      <c r="G141" s="1087"/>
      <c r="H141" s="1090"/>
      <c r="I141" s="2643" t="s">
        <v>2633</v>
      </c>
      <c r="J141" s="314">
        <v>1</v>
      </c>
      <c r="K141" s="1092">
        <f>ROUND(100+(J141-J140)*K139*100,1)</f>
        <v>96.4</v>
      </c>
    </row>
    <row r="142" spans="1:17" ht="15">
      <c r="B142" s="1086">
        <v>3</v>
      </c>
      <c r="C142" s="1087">
        <v>103</v>
      </c>
      <c r="D142" s="1087"/>
      <c r="E142" s="1088"/>
      <c r="F142" s="1089">
        <v>101</v>
      </c>
      <c r="G142" s="1087"/>
      <c r="H142" s="1090"/>
      <c r="I142" s="2643" t="s">
        <v>2634</v>
      </c>
      <c r="J142" s="314">
        <f>J139</f>
        <v>20</v>
      </c>
      <c r="K142" s="1093">
        <v>95</v>
      </c>
    </row>
    <row r="143" spans="1:17" ht="15">
      <c r="B143" s="1086">
        <v>2</v>
      </c>
      <c r="C143" s="1087">
        <v>100</v>
      </c>
      <c r="D143" s="1087"/>
      <c r="E143" s="1088"/>
      <c r="F143" s="1089">
        <v>100.5</v>
      </c>
      <c r="G143" s="1087"/>
      <c r="H143" s="1090"/>
      <c r="I143" s="2643" t="s">
        <v>2635</v>
      </c>
      <c r="J143" s="1087">
        <v>15</v>
      </c>
      <c r="K143" s="1092">
        <f>ROUND(100+(J143-J140)*K139*100,1)</f>
        <v>102</v>
      </c>
    </row>
    <row r="144" spans="1:17" ht="15">
      <c r="B144" s="1086">
        <v>1</v>
      </c>
      <c r="C144" s="1087">
        <v>98</v>
      </c>
      <c r="D144" s="2644" t="s">
        <v>2636</v>
      </c>
      <c r="E144" s="1088">
        <v>102</v>
      </c>
      <c r="F144" s="1094">
        <v>100</v>
      </c>
      <c r="G144" s="2644" t="s">
        <v>2636</v>
      </c>
      <c r="H144" s="1090">
        <v>105</v>
      </c>
      <c r="I144" s="2643" t="s">
        <v>2635</v>
      </c>
      <c r="J144" s="1087">
        <v>18</v>
      </c>
      <c r="K144" s="1092">
        <f>ROUND(100+(J144-J140)*K139*100,1)</f>
        <v>103.2</v>
      </c>
    </row>
    <row r="145" spans="2:11" ht="15.75" thickBot="1">
      <c r="B145" s="2645" t="s">
        <v>2637</v>
      </c>
      <c r="C145" s="1095">
        <f>ROUND(MAX(C139:C144)/MIN(C139:C144)-1,3)</f>
        <v>7.2999999999999995E-2</v>
      </c>
      <c r="D145" s="1096"/>
      <c r="E145" s="1096"/>
      <c r="F145" s="2646" t="s">
        <v>2638</v>
      </c>
      <c r="G145" s="2647"/>
      <c r="H145" s="2648"/>
      <c r="I145" s="2649" t="s">
        <v>2635</v>
      </c>
      <c r="J145" s="1097">
        <v>8</v>
      </c>
      <c r="K145" s="1098">
        <f>ROUND(100+(J145-J140)*K139*100,1)</f>
        <v>99.2</v>
      </c>
    </row>
    <row r="147" spans="2:11">
      <c r="B147" s="2630" t="s">
        <v>2639</v>
      </c>
    </row>
    <row r="148" spans="2:11">
      <c r="B148" s="2630"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1" priority="15" stopIfTrue="1" operator="containsText" text="超过">
      <formula>NOT(ISERROR(SEARCH("超过",F52)))</formula>
    </cfRule>
  </conditionalFormatting>
  <conditionalFormatting sqref="J54">
    <cfRule type="containsText" dxfId="90" priority="14" stopIfTrue="1" operator="containsText" text="超过">
      <formula>NOT(ISERROR(SEARCH("超过",J54)))</formula>
    </cfRule>
  </conditionalFormatting>
  <conditionalFormatting sqref="H54">
    <cfRule type="containsText" dxfId="89" priority="13" stopIfTrue="1" operator="containsText" text="超过">
      <formula>NOT(ISERROR(SEARCH("超过",H54)))</formula>
    </cfRule>
  </conditionalFormatting>
  <conditionalFormatting sqref="F54">
    <cfRule type="containsText" dxfId="88" priority="12" stopIfTrue="1" operator="containsText" text="超过">
      <formula>NOT(ISERROR(SEARCH("超过",F54)))</formula>
    </cfRule>
  </conditionalFormatting>
  <conditionalFormatting sqref="F53 H53 J53">
    <cfRule type="containsText" dxfId="87" priority="11" stopIfTrue="1" operator="containsText" text="超过">
      <formula>NOT(ISERROR(SEARCH("超过",F53)))</formula>
    </cfRule>
  </conditionalFormatting>
  <conditionalFormatting sqref="E52">
    <cfRule type="expression" dxfId="86" priority="10" stopIfTrue="1">
      <formula>$F$52="超过30%"</formula>
    </cfRule>
  </conditionalFormatting>
  <conditionalFormatting sqref="G54">
    <cfRule type="expression" dxfId="85" priority="8" stopIfTrue="1">
      <formula>$H$54="超过30%"</formula>
    </cfRule>
  </conditionalFormatting>
  <conditionalFormatting sqref="E53">
    <cfRule type="expression" dxfId="84" priority="7" stopIfTrue="1">
      <formula>$F$53="超过20%"</formula>
    </cfRule>
  </conditionalFormatting>
  <conditionalFormatting sqref="E54">
    <cfRule type="expression" dxfId="83" priority="6" stopIfTrue="1">
      <formula>$F$54="超过30%"</formula>
    </cfRule>
  </conditionalFormatting>
  <conditionalFormatting sqref="G52">
    <cfRule type="expression" dxfId="82" priority="5" stopIfTrue="1">
      <formula>$H$52="超过30%"</formula>
    </cfRule>
  </conditionalFormatting>
  <conditionalFormatting sqref="G53">
    <cfRule type="expression" dxfId="81" priority="4" stopIfTrue="1">
      <formula>$H$53="超过20%"</formula>
    </cfRule>
  </conditionalFormatting>
  <conditionalFormatting sqref="I52">
    <cfRule type="expression" dxfId="80" priority="3" stopIfTrue="1">
      <formula>$J$52="超过30%"</formula>
    </cfRule>
  </conditionalFormatting>
  <conditionalFormatting sqref="I53">
    <cfRule type="expression" dxfId="79" priority="2" stopIfTrue="1">
      <formula>$J$53="超过20%"</formula>
    </cfRule>
  </conditionalFormatting>
  <conditionalFormatting sqref="I54">
    <cfRule type="expression" dxfId="7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2527</v>
      </c>
      <c r="B1" s="2662" t="s">
        <v>2701</v>
      </c>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IF(C2="——",ROUND(C43*D3/10000,0),ROUND(C43*D3/10000,0)-D2)</f>
        <v>#DIV/0!</v>
      </c>
      <c r="C2" s="2579"/>
      <c r="D2" s="1120" t="e">
        <f ca="1">SUMIF(INDIRECT("'"&amp;F2&amp;"'"&amp;"!A:A"),"承租人权益价值",INDIRECT("'"&amp;F2&amp;"'"&amp;"!c:c"))</f>
        <v>#REF!</v>
      </c>
      <c r="E2" s="2580" t="s">
        <v>2327</v>
      </c>
      <c r="F2" s="2581"/>
      <c r="G2" s="1121"/>
      <c r="H2" s="1121"/>
      <c r="I2" s="1121"/>
      <c r="J2" s="1121"/>
      <c r="K2" s="1121"/>
      <c r="L2" s="1124"/>
      <c r="M2" s="1125"/>
      <c r="N2" s="1125"/>
      <c r="O2" s="1125"/>
      <c r="P2" s="767"/>
      <c r="Q2" s="767"/>
      <c r="R2" s="767"/>
      <c r="S2" s="767"/>
      <c r="T2" s="767"/>
      <c r="U2" s="767"/>
      <c r="V2" s="767"/>
      <c r="W2" s="767"/>
      <c r="X2" s="767"/>
      <c r="Y2" s="767"/>
      <c r="Z2" s="767"/>
      <c r="AA2" s="767"/>
      <c r="AB2" s="767"/>
      <c r="AC2" s="781"/>
    </row>
    <row r="3" spans="1:29" s="397" customFormat="1" ht="28.5" customHeight="1" thickBot="1">
      <c r="A3" s="246" t="s">
        <v>2328</v>
      </c>
      <c r="B3" s="608" t="e">
        <f ca="1">IF(C2="——",C43,ROUND(B2*10000/D3,0))</f>
        <v>#DIV/0!</v>
      </c>
      <c r="C3" s="399" t="s">
        <v>2643</v>
      </c>
      <c r="D3" s="398">
        <f>IF(D1="",'数据-汇总表'!E3,SUMIF('数据-汇总表'!$C19:$C33,D1,'数据-汇总表'!$E19:$E33))</f>
        <v>48185.319999999992</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33" t="s">
        <v>2647</v>
      </c>
      <c r="AC4" s="3284" t="s">
        <v>2648</v>
      </c>
    </row>
    <row r="5" spans="1:29" ht="15">
      <c r="A5" s="403"/>
      <c r="B5" s="404"/>
      <c r="C5" s="3243" t="s">
        <v>2541</v>
      </c>
      <c r="D5" s="3244"/>
      <c r="E5" s="3287" t="s">
        <v>2542</v>
      </c>
      <c r="F5" s="3242"/>
      <c r="G5" s="3243" t="s">
        <v>2543</v>
      </c>
      <c r="H5" s="3244"/>
      <c r="I5" s="3243" t="s">
        <v>2544</v>
      </c>
      <c r="J5" s="3244"/>
      <c r="K5" s="609"/>
      <c r="L5" s="1126"/>
      <c r="M5" s="1127"/>
      <c r="N5" s="1127"/>
      <c r="O5" s="1127"/>
      <c r="P5" s="3290"/>
      <c r="Q5" s="3261"/>
      <c r="R5" s="3239"/>
      <c r="S5" s="3240"/>
      <c r="T5" s="3239"/>
      <c r="U5" s="3240"/>
      <c r="V5" s="3267"/>
      <c r="W5" s="3267"/>
      <c r="X5" s="1809"/>
      <c r="Y5" s="3239"/>
      <c r="Z5" s="3240"/>
      <c r="AA5" s="3233"/>
      <c r="AB5" s="3233"/>
      <c r="AC5" s="3233"/>
    </row>
    <row r="6" spans="1:29" ht="15.75" thickBot="1">
      <c r="A6" s="405"/>
      <c r="B6" s="406"/>
      <c r="C6" s="3245" t="s">
        <v>2545</v>
      </c>
      <c r="D6" s="3246"/>
      <c r="E6" s="3248" t="s">
        <v>2545</v>
      </c>
      <c r="F6" s="3249"/>
      <c r="G6" s="3245" t="s">
        <v>2545</v>
      </c>
      <c r="H6" s="3246"/>
      <c r="I6" s="3245" t="s">
        <v>2545</v>
      </c>
      <c r="J6" s="3246"/>
      <c r="K6" s="609" t="s">
        <v>2546</v>
      </c>
      <c r="L6" s="1126"/>
      <c r="M6" s="1127"/>
      <c r="N6" s="1127"/>
      <c r="O6" s="1127"/>
      <c r="P6" s="3291"/>
      <c r="Q6" s="3263"/>
      <c r="R6" s="3239"/>
      <c r="S6" s="3240"/>
      <c r="T6" s="3264"/>
      <c r="U6" s="3265"/>
      <c r="V6" s="3267"/>
      <c r="W6" s="3267"/>
      <c r="X6" s="1809"/>
      <c r="Y6" s="3264"/>
      <c r="Z6" s="3265"/>
      <c r="AA6" s="3234"/>
      <c r="AB6" s="3234"/>
      <c r="AC6" s="3234"/>
    </row>
    <row r="7" spans="1:29" s="116" customFormat="1" ht="15.75" thickBot="1">
      <c r="A7" s="407" t="s">
        <v>2547</v>
      </c>
      <c r="B7" s="408"/>
      <c r="C7" s="409">
        <f>'数据-取费表'!B2</f>
        <v>43182</v>
      </c>
      <c r="D7" s="410">
        <v>100</v>
      </c>
      <c r="E7" s="411"/>
      <c r="F7" s="412">
        <f>SUMIF(52:52,YEAR(E7)&amp;"-"&amp;MONTH(E7),53:53)</f>
        <v>0</v>
      </c>
      <c r="G7" s="411"/>
      <c r="H7" s="410">
        <f>SUMIF(52:52,YEAR(G7)&amp;"-"&amp;MONTH(G7),53:53)</f>
        <v>0</v>
      </c>
      <c r="I7" s="411"/>
      <c r="J7" s="410">
        <f>SUMIF(52:52,YEAR(I7)&amp;"-"&amp;MONTH(I7),53:53)</f>
        <v>0</v>
      </c>
      <c r="K7" s="610"/>
      <c r="L7" s="1128"/>
      <c r="M7" s="1129"/>
      <c r="N7" s="1129"/>
      <c r="O7" s="1129"/>
      <c r="P7" s="3235" t="s">
        <v>2548</v>
      </c>
      <c r="Q7" s="3269"/>
      <c r="R7" s="769" t="s">
        <v>17</v>
      </c>
      <c r="S7" s="770">
        <f t="shared" ref="S7:S15" si="0">F7</f>
        <v>0</v>
      </c>
      <c r="T7" s="769" t="s">
        <v>17</v>
      </c>
      <c r="U7" s="770">
        <f t="shared" ref="U7:U15" si="1">H7</f>
        <v>0</v>
      </c>
      <c r="V7" s="769" t="s">
        <v>17</v>
      </c>
      <c r="W7" s="770">
        <f t="shared" ref="W7:W15" si="2">J7</f>
        <v>0</v>
      </c>
      <c r="X7" s="771"/>
      <c r="Y7" s="3235" t="s">
        <v>2548</v>
      </c>
      <c r="Z7" s="3236"/>
      <c r="AA7" s="772" t="e">
        <f>D7/F7</f>
        <v>#DIV/0!</v>
      </c>
      <c r="AB7" s="772" t="e">
        <f>D7/H7</f>
        <v>#DIV/0!</v>
      </c>
      <c r="AC7" s="772" t="e">
        <f>D7/J7</f>
        <v>#DIV/0!</v>
      </c>
    </row>
    <row r="8" spans="1:29" s="116"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235" t="s">
        <v>2551</v>
      </c>
      <c r="Q8" s="3236"/>
      <c r="R8" s="769" t="s">
        <v>17</v>
      </c>
      <c r="S8" s="770">
        <f t="shared" si="0"/>
        <v>0</v>
      </c>
      <c r="T8" s="769" t="s">
        <v>17</v>
      </c>
      <c r="U8" s="770">
        <f t="shared" si="1"/>
        <v>0</v>
      </c>
      <c r="V8" s="769" t="s">
        <v>17</v>
      </c>
      <c r="W8" s="770">
        <f t="shared" si="2"/>
        <v>0</v>
      </c>
      <c r="X8" s="771"/>
      <c r="Y8" s="3235" t="s">
        <v>2551</v>
      </c>
      <c r="Z8" s="3236"/>
      <c r="AA8" s="772" t="e">
        <f t="shared" ref="AA8:AA40" si="3">D8/F8</f>
        <v>#DIV/0!</v>
      </c>
      <c r="AB8" s="772" t="e">
        <f t="shared" ref="AB8:AB40" si="4">D8/H8</f>
        <v>#DIV/0!</v>
      </c>
      <c r="AC8" s="772" t="e">
        <f t="shared" ref="AC8:AC40" si="5">D8/J8</f>
        <v>#DIV/0!</v>
      </c>
    </row>
    <row r="9" spans="1:29" s="116" customFormat="1">
      <c r="A9" s="414" t="s">
        <v>2552</v>
      </c>
      <c r="B9" s="70" t="s">
        <v>2553</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279"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279"/>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279"/>
      <c r="Q11" s="1791" t="str">
        <f t="shared" si="6"/>
        <v>容积率</v>
      </c>
      <c r="R11" s="769" t="s">
        <v>17</v>
      </c>
      <c r="S11" s="770" t="e">
        <f t="shared" si="0"/>
        <v>#N/A</v>
      </c>
      <c r="T11" s="769" t="s">
        <v>17</v>
      </c>
      <c r="U11" s="770" t="e">
        <f t="shared" si="1"/>
        <v>#N/A</v>
      </c>
      <c r="V11" s="769" t="s">
        <v>17</v>
      </c>
      <c r="W11" s="770" t="e">
        <f t="shared" si="2"/>
        <v>#N/A</v>
      </c>
      <c r="X11" s="771"/>
      <c r="Y11" s="3104"/>
      <c r="Z11" s="54"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5"/>
      <c r="H12" s="135">
        <f>SUMIF(64:64,G12,65:65)-SUMIF(64:64,C12,65:65)+100</f>
        <v>100</v>
      </c>
      <c r="I12" s="468"/>
      <c r="J12" s="135">
        <f>SUMIF(64:64,I12,65:65)-SUMIF(64:64,C12,65:65)+100</f>
        <v>100</v>
      </c>
      <c r="K12" s="612"/>
      <c r="L12" s="1128"/>
      <c r="M12" s="1129"/>
      <c r="N12" s="1129"/>
      <c r="O12" s="1130"/>
      <c r="P12" s="3279"/>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772">
        <f>D12/J12</f>
        <v>1</v>
      </c>
    </row>
    <row r="13" spans="1:29" ht="15">
      <c r="A13" s="427"/>
      <c r="B13" s="2593">
        <v>111</v>
      </c>
      <c r="C13" s="433"/>
      <c r="D13" s="434">
        <v>100</v>
      </c>
      <c r="E13" s="433"/>
      <c r="F13" s="135">
        <f>SUMIF(66:66,E13,67:67)-SUMIF(66:66,C13,67:67)+100</f>
        <v>100</v>
      </c>
      <c r="G13" s="2685"/>
      <c r="H13" s="434">
        <f>SUMIF(66:66,G13,67:67)-SUMIF(66:66,C13,67:67)+100</f>
        <v>100</v>
      </c>
      <c r="I13" s="468"/>
      <c r="J13" s="434">
        <f>SUMIF(66:66,I13,67:67)-SUMIF(66:66,C13,67:67)+100</f>
        <v>100</v>
      </c>
      <c r="K13" s="612"/>
      <c r="L13" s="1136"/>
      <c r="M13" s="1127"/>
      <c r="N13" s="1127"/>
      <c r="O13" s="1135"/>
      <c r="P13" s="3279"/>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772">
        <f t="shared" si="5"/>
        <v>1</v>
      </c>
    </row>
    <row r="14" spans="1:29" ht="15.75" thickBot="1">
      <c r="A14" s="435"/>
      <c r="B14" s="2595">
        <v>111</v>
      </c>
      <c r="C14" s="436"/>
      <c r="D14" s="437">
        <v>100</v>
      </c>
      <c r="E14" s="436"/>
      <c r="F14" s="437">
        <f>SUMIF(68:68,E14,69:69)-SUMIF(68:68,C14,69:69)+100</f>
        <v>100</v>
      </c>
      <c r="G14" s="2685"/>
      <c r="H14" s="437">
        <f>SUMIF(68:68,G14,69:69)-SUMIF(68:68,C14,69:69)+100</f>
        <v>100</v>
      </c>
      <c r="I14" s="468"/>
      <c r="J14" s="437">
        <f>SUMIF(68:68,I14,69:69)-SUMIF(68:68,C14,69:69)+100</f>
        <v>100</v>
      </c>
      <c r="K14" s="612"/>
      <c r="L14" s="1136"/>
      <c r="M14" s="1127"/>
      <c r="N14" s="1127"/>
      <c r="O14" s="1135"/>
      <c r="P14" s="3279"/>
      <c r="Q14" s="1791">
        <f t="shared" si="6"/>
        <v>111</v>
      </c>
      <c r="R14" s="769" t="s">
        <v>17</v>
      </c>
      <c r="S14" s="770">
        <f t="shared" si="0"/>
        <v>100</v>
      </c>
      <c r="T14" s="769" t="s">
        <v>17</v>
      </c>
      <c r="U14" s="770">
        <f t="shared" si="1"/>
        <v>100</v>
      </c>
      <c r="V14" s="769" t="s">
        <v>17</v>
      </c>
      <c r="W14" s="770">
        <f t="shared" si="2"/>
        <v>100</v>
      </c>
      <c r="X14" s="771"/>
      <c r="Y14" s="3104"/>
      <c r="Z14" s="54">
        <f t="shared" si="7"/>
        <v>111</v>
      </c>
      <c r="AA14" s="772">
        <f t="shared" si="3"/>
        <v>1</v>
      </c>
      <c r="AB14" s="772">
        <f t="shared" si="4"/>
        <v>1</v>
      </c>
      <c r="AC14" s="772">
        <f t="shared" si="5"/>
        <v>1</v>
      </c>
    </row>
    <row r="15" spans="1:29" ht="57">
      <c r="A15" s="439" t="s">
        <v>2558</v>
      </c>
      <c r="B15" s="68" t="s">
        <v>2702</v>
      </c>
      <c r="C15" s="268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72" t="s">
        <v>2559</v>
      </c>
      <c r="Q15" s="1806" t="str">
        <f t="shared" si="6"/>
        <v>产业集聚程度</v>
      </c>
      <c r="R15" s="773" t="s">
        <v>17</v>
      </c>
      <c r="S15" s="774">
        <f t="shared" si="0"/>
        <v>100</v>
      </c>
      <c r="T15" s="773" t="s">
        <v>17</v>
      </c>
      <c r="U15" s="774">
        <f t="shared" si="1"/>
        <v>100</v>
      </c>
      <c r="V15" s="773" t="s">
        <v>17</v>
      </c>
      <c r="W15" s="774">
        <f t="shared" si="2"/>
        <v>100</v>
      </c>
      <c r="X15" s="1809"/>
      <c r="Y15" s="3272" t="s">
        <v>2559</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273"/>
      <c r="Q16" s="1806"/>
      <c r="R16" s="773"/>
      <c r="S16" s="774"/>
      <c r="T16" s="773"/>
      <c r="U16" s="774"/>
      <c r="V16" s="773"/>
      <c r="W16" s="774"/>
      <c r="X16" s="1809"/>
      <c r="Y16" s="3273"/>
      <c r="Z16" s="1810"/>
      <c r="AA16" s="1807">
        <v>1</v>
      </c>
      <c r="AB16" s="1807">
        <v>1</v>
      </c>
      <c r="AC16" s="1807">
        <v>1</v>
      </c>
    </row>
    <row r="17" spans="1:29" ht="85.5">
      <c r="A17" s="427"/>
      <c r="B17" s="450" t="s">
        <v>2096</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73"/>
      <c r="Q17" s="1806" t="str">
        <f>B17</f>
        <v>交通便捷度</v>
      </c>
      <c r="R17" s="773" t="s">
        <v>17</v>
      </c>
      <c r="S17" s="774">
        <f>F17</f>
        <v>100</v>
      </c>
      <c r="T17" s="773" t="s">
        <v>17</v>
      </c>
      <c r="U17" s="774">
        <f>H17</f>
        <v>100</v>
      </c>
      <c r="V17" s="773" t="s">
        <v>17</v>
      </c>
      <c r="W17" s="774">
        <f>J17</f>
        <v>100</v>
      </c>
      <c r="X17" s="1809"/>
      <c r="Y17" s="3273"/>
      <c r="Z17" s="1810" t="str">
        <f>Q17</f>
        <v>交通便捷度</v>
      </c>
      <c r="AA17" s="1807">
        <f t="shared" si="3"/>
        <v>1</v>
      </c>
      <c r="AB17" s="1807">
        <f t="shared" si="4"/>
        <v>1</v>
      </c>
      <c r="AC17" s="1807">
        <f t="shared" si="5"/>
        <v>1</v>
      </c>
    </row>
    <row r="18" spans="1:29" ht="15">
      <c r="A18" s="427"/>
      <c r="B18" s="455"/>
      <c r="C18" s="2601"/>
      <c r="D18" s="449"/>
      <c r="E18" s="2603"/>
      <c r="F18" s="452"/>
      <c r="G18" s="2602"/>
      <c r="H18" s="447"/>
      <c r="I18" s="2603"/>
      <c r="J18" s="447"/>
      <c r="K18" s="614"/>
      <c r="L18" s="1136"/>
      <c r="M18" s="1127"/>
      <c r="N18" s="1127"/>
      <c r="O18" s="1135"/>
      <c r="P18" s="3273"/>
      <c r="Q18" s="1806"/>
      <c r="R18" s="773"/>
      <c r="S18" s="774"/>
      <c r="T18" s="773"/>
      <c r="U18" s="774"/>
      <c r="V18" s="773"/>
      <c r="W18" s="774"/>
      <c r="X18" s="1809"/>
      <c r="Y18" s="3273"/>
      <c r="Z18" s="1810"/>
      <c r="AA18" s="1807">
        <v>1</v>
      </c>
      <c r="AB18" s="1807">
        <v>1</v>
      </c>
      <c r="AC18" s="1807">
        <v>1</v>
      </c>
    </row>
    <row r="19" spans="1:29" ht="42.75">
      <c r="A19" s="427"/>
      <c r="B19" s="450" t="s">
        <v>2687</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73"/>
      <c r="Q19" s="1806" t="str">
        <f>B19</f>
        <v>公共配套设施</v>
      </c>
      <c r="R19" s="773" t="s">
        <v>17</v>
      </c>
      <c r="S19" s="774">
        <f>F19</f>
        <v>100</v>
      </c>
      <c r="T19" s="773" t="s">
        <v>17</v>
      </c>
      <c r="U19" s="774">
        <f>H19</f>
        <v>100</v>
      </c>
      <c r="V19" s="773" t="s">
        <v>17</v>
      </c>
      <c r="W19" s="774">
        <f>J19</f>
        <v>100</v>
      </c>
      <c r="X19" s="1809"/>
      <c r="Y19" s="3273"/>
      <c r="Z19" s="1810" t="str">
        <f>Q19</f>
        <v>公共配套设施</v>
      </c>
      <c r="AA19" s="1807">
        <f t="shared" si="3"/>
        <v>1</v>
      </c>
      <c r="AB19" s="1807">
        <f t="shared" si="4"/>
        <v>1</v>
      </c>
      <c r="AC19" s="1807">
        <f t="shared" si="5"/>
        <v>1</v>
      </c>
    </row>
    <row r="20" spans="1:29" ht="15">
      <c r="A20" s="427"/>
      <c r="B20" s="455"/>
      <c r="C20" s="446"/>
      <c r="D20" s="447"/>
      <c r="E20" s="2598"/>
      <c r="F20" s="448"/>
      <c r="G20" s="2597"/>
      <c r="H20" s="447"/>
      <c r="I20" s="2598"/>
      <c r="J20" s="447"/>
      <c r="K20" s="614"/>
      <c r="L20" s="1136"/>
      <c r="M20" s="1127"/>
      <c r="N20" s="1127"/>
      <c r="O20" s="1135"/>
      <c r="P20" s="3273"/>
      <c r="Q20" s="1806"/>
      <c r="R20" s="773"/>
      <c r="S20" s="774"/>
      <c r="T20" s="773"/>
      <c r="U20" s="774"/>
      <c r="V20" s="773"/>
      <c r="W20" s="774"/>
      <c r="X20" s="1809"/>
      <c r="Y20" s="3273"/>
      <c r="Z20" s="1810"/>
      <c r="AA20" s="1807">
        <v>1</v>
      </c>
      <c r="AB20" s="1807">
        <v>1</v>
      </c>
      <c r="AC20" s="1807">
        <v>1</v>
      </c>
    </row>
    <row r="21" spans="1:29" ht="28.5">
      <c r="A21" s="427"/>
      <c r="B21" s="1380" t="s">
        <v>2688</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73"/>
      <c r="Q21" s="1806" t="str">
        <f>B21</f>
        <v>基础设施水平</v>
      </c>
      <c r="R21" s="773" t="s">
        <v>17</v>
      </c>
      <c r="S21" s="774">
        <f>F21</f>
        <v>100</v>
      </c>
      <c r="T21" s="773" t="s">
        <v>17</v>
      </c>
      <c r="U21" s="774">
        <f>H21</f>
        <v>100</v>
      </c>
      <c r="V21" s="773" t="s">
        <v>17</v>
      </c>
      <c r="W21" s="774">
        <f>J21</f>
        <v>100</v>
      </c>
      <c r="X21" s="1809"/>
      <c r="Y21" s="3273"/>
      <c r="Z21" s="1810" t="str">
        <f>Q21</f>
        <v>基础设施水平</v>
      </c>
      <c r="AA21" s="1807">
        <f t="shared" ref="AA21" si="8">D21/F21</f>
        <v>1</v>
      </c>
      <c r="AB21" s="1807">
        <f t="shared" ref="AB21" si="9">D21/H21</f>
        <v>1</v>
      </c>
      <c r="AC21" s="1807">
        <f t="shared" ref="AC21" si="10">D21/J21</f>
        <v>1</v>
      </c>
    </row>
    <row r="22" spans="1:29" ht="15">
      <c r="A22" s="427"/>
      <c r="B22" s="1380"/>
      <c r="C22" s="2601"/>
      <c r="D22" s="447"/>
      <c r="E22" s="446"/>
      <c r="F22" s="448"/>
      <c r="G22" s="446"/>
      <c r="H22" s="447"/>
      <c r="I22" s="446"/>
      <c r="J22" s="447"/>
      <c r="K22" s="1379"/>
      <c r="L22" s="1136"/>
      <c r="M22" s="1127"/>
      <c r="N22" s="1127"/>
      <c r="O22" s="1135"/>
      <c r="P22" s="3273"/>
      <c r="Q22" s="1806"/>
      <c r="R22" s="773"/>
      <c r="S22" s="774"/>
      <c r="T22" s="773"/>
      <c r="U22" s="774"/>
      <c r="V22" s="773"/>
      <c r="W22" s="774"/>
      <c r="X22" s="1809"/>
      <c r="Y22" s="3273"/>
      <c r="Z22" s="1810"/>
      <c r="AA22" s="1807">
        <v>1</v>
      </c>
      <c r="AB22" s="1807">
        <v>1</v>
      </c>
      <c r="AC22" s="1807">
        <v>1</v>
      </c>
    </row>
    <row r="23" spans="1:29" ht="71.25">
      <c r="A23" s="427"/>
      <c r="B23" s="450" t="s">
        <v>2689</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73"/>
      <c r="Q23" s="1806" t="str">
        <f>B23</f>
        <v>环境质量</v>
      </c>
      <c r="R23" s="773" t="s">
        <v>17</v>
      </c>
      <c r="S23" s="774">
        <f>F23</f>
        <v>100</v>
      </c>
      <c r="T23" s="773" t="s">
        <v>17</v>
      </c>
      <c r="U23" s="774">
        <f>H23</f>
        <v>100</v>
      </c>
      <c r="V23" s="773" t="s">
        <v>17</v>
      </c>
      <c r="W23" s="774">
        <f>J23</f>
        <v>100</v>
      </c>
      <c r="X23" s="1809"/>
      <c r="Y23" s="3273"/>
      <c r="Z23" s="1810" t="str">
        <f>Q23</f>
        <v>环境质量</v>
      </c>
      <c r="AA23" s="1807">
        <f t="shared" si="3"/>
        <v>1</v>
      </c>
      <c r="AB23" s="1807">
        <f t="shared" si="4"/>
        <v>1</v>
      </c>
      <c r="AC23" s="1807">
        <f t="shared" si="5"/>
        <v>1</v>
      </c>
    </row>
    <row r="24" spans="1:29" ht="15">
      <c r="A24" s="427"/>
      <c r="B24" s="1380"/>
      <c r="C24" s="446"/>
      <c r="D24" s="447"/>
      <c r="E24" s="2598"/>
      <c r="F24" s="448"/>
      <c r="G24" s="2597"/>
      <c r="H24" s="447"/>
      <c r="I24" s="2598"/>
      <c r="J24" s="447"/>
      <c r="K24" s="614"/>
      <c r="L24" s="1136"/>
      <c r="M24" s="1127"/>
      <c r="N24" s="1127"/>
      <c r="O24" s="1135"/>
      <c r="P24" s="3273"/>
      <c r="Q24" s="1806"/>
      <c r="R24" s="773"/>
      <c r="S24" s="774"/>
      <c r="T24" s="773"/>
      <c r="U24" s="774"/>
      <c r="V24" s="773"/>
      <c r="W24" s="774"/>
      <c r="X24" s="1809"/>
      <c r="Y24" s="3273"/>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73"/>
      <c r="Q25" s="1806">
        <f>B25</f>
        <v>111</v>
      </c>
      <c r="R25" s="773" t="s">
        <v>17</v>
      </c>
      <c r="S25" s="774">
        <f>F25</f>
        <v>100</v>
      </c>
      <c r="T25" s="773" t="s">
        <v>17</v>
      </c>
      <c r="U25" s="774">
        <f>H25</f>
        <v>100</v>
      </c>
      <c r="V25" s="773" t="s">
        <v>17</v>
      </c>
      <c r="W25" s="774">
        <f>J25</f>
        <v>100</v>
      </c>
      <c r="X25" s="1809"/>
      <c r="Y25" s="3273"/>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73"/>
      <c r="Q26" s="1806">
        <f t="shared" ref="Q26:Q40" si="11">B26</f>
        <v>111</v>
      </c>
      <c r="R26" s="773" t="s">
        <v>17</v>
      </c>
      <c r="S26" s="774">
        <f>F26</f>
        <v>100</v>
      </c>
      <c r="T26" s="773" t="s">
        <v>17</v>
      </c>
      <c r="U26" s="774">
        <f>H26</f>
        <v>100</v>
      </c>
      <c r="V26" s="773" t="s">
        <v>17</v>
      </c>
      <c r="W26" s="774">
        <f>J26</f>
        <v>100</v>
      </c>
      <c r="X26" s="1809"/>
      <c r="Y26" s="3273"/>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73"/>
      <c r="Q27" s="1791">
        <f t="shared" si="11"/>
        <v>111</v>
      </c>
      <c r="R27" s="769" t="s">
        <v>17</v>
      </c>
      <c r="S27" s="770">
        <f>F27</f>
        <v>100</v>
      </c>
      <c r="T27" s="769" t="s">
        <v>17</v>
      </c>
      <c r="U27" s="770">
        <f>H27</f>
        <v>100</v>
      </c>
      <c r="V27" s="769" t="s">
        <v>17</v>
      </c>
      <c r="W27" s="770">
        <f>J27</f>
        <v>100</v>
      </c>
      <c r="X27" s="771"/>
      <c r="Y27" s="3273"/>
      <c r="Z27" s="54">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73"/>
      <c r="Q28" s="1806">
        <f t="shared" si="11"/>
        <v>111</v>
      </c>
      <c r="R28" s="773" t="s">
        <v>17</v>
      </c>
      <c r="S28" s="774">
        <f t="shared" ref="S28:S40" si="12">F28</f>
        <v>100</v>
      </c>
      <c r="T28" s="773" t="s">
        <v>17</v>
      </c>
      <c r="U28" s="774">
        <f t="shared" ref="U28:U40" si="13">H28</f>
        <v>100</v>
      </c>
      <c r="V28" s="773" t="s">
        <v>17</v>
      </c>
      <c r="W28" s="774">
        <f t="shared" ref="W28:W40" si="14">J28</f>
        <v>100</v>
      </c>
      <c r="X28" s="1809"/>
      <c r="Y28" s="3273"/>
      <c r="Z28" s="1810">
        <f t="shared" ref="Z28:Z40" si="15">Q28</f>
        <v>111</v>
      </c>
      <c r="AA28" s="1807">
        <f t="shared" si="3"/>
        <v>1</v>
      </c>
      <c r="AB28" s="1807">
        <f t="shared" si="4"/>
        <v>1</v>
      </c>
      <c r="AC28" s="1807">
        <f t="shared" si="5"/>
        <v>1</v>
      </c>
    </row>
    <row r="29" spans="1:29" ht="15">
      <c r="A29" s="465" t="s">
        <v>2562</v>
      </c>
      <c r="B29" s="70" t="s">
        <v>2692</v>
      </c>
      <c r="C29" s="2672"/>
      <c r="D29" s="466">
        <v>100</v>
      </c>
      <c r="E29" s="2672"/>
      <c r="F29" s="460">
        <f>SUMIF(88:88,E29,89:89)-SUMIF(88:88,C29,89:89)+100</f>
        <v>100</v>
      </c>
      <c r="G29" s="2672"/>
      <c r="H29" s="434">
        <f>SUMIF(88:88,G29,89:89)-SUMIF(88:88,C29,89:89)+100</f>
        <v>100</v>
      </c>
      <c r="I29" s="2672"/>
      <c r="J29" s="466">
        <f>SUMIF(88:88,I29,89:89)-SUMIF(88:88,C29,89:89)+100</f>
        <v>100</v>
      </c>
      <c r="K29" s="611"/>
      <c r="L29" s="1136"/>
      <c r="M29" s="1127"/>
      <c r="N29" s="1127"/>
      <c r="O29" s="1135"/>
      <c r="P29" s="3317" t="s">
        <v>2564</v>
      </c>
      <c r="Q29" s="1806" t="str">
        <f t="shared" si="11"/>
        <v>建筑类型</v>
      </c>
      <c r="R29" s="773" t="s">
        <v>17</v>
      </c>
      <c r="S29" s="774">
        <f t="shared" si="12"/>
        <v>100</v>
      </c>
      <c r="T29" s="773" t="s">
        <v>17</v>
      </c>
      <c r="U29" s="774">
        <f t="shared" si="13"/>
        <v>100</v>
      </c>
      <c r="V29" s="773" t="s">
        <v>17</v>
      </c>
      <c r="W29" s="774">
        <f t="shared" si="14"/>
        <v>100</v>
      </c>
      <c r="X29" s="1809"/>
      <c r="Y29" s="3277" t="s">
        <v>2564</v>
      </c>
      <c r="Z29" s="1810" t="str">
        <f t="shared" si="15"/>
        <v>建筑类型</v>
      </c>
      <c r="AA29" s="1807">
        <f t="shared" si="3"/>
        <v>1</v>
      </c>
      <c r="AB29" s="1807">
        <f t="shared" si="4"/>
        <v>1</v>
      </c>
      <c r="AC29" s="1807">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277"/>
      <c r="Q30" s="775" t="str">
        <f t="shared" si="11"/>
        <v>项目建筑规模</v>
      </c>
      <c r="R30" s="776" t="s">
        <v>17</v>
      </c>
      <c r="S30" s="777" t="e">
        <f t="shared" si="12"/>
        <v>#N/A</v>
      </c>
      <c r="T30" s="776" t="s">
        <v>17</v>
      </c>
      <c r="U30" s="777" t="e">
        <f t="shared" si="13"/>
        <v>#N/A</v>
      </c>
      <c r="V30" s="776" t="s">
        <v>17</v>
      </c>
      <c r="W30" s="777" t="e">
        <f t="shared" si="14"/>
        <v>#N/A</v>
      </c>
      <c r="X30" s="778"/>
      <c r="Y30" s="3277"/>
      <c r="Z30" s="779" t="str">
        <f t="shared" si="15"/>
        <v>项目建筑规模</v>
      </c>
      <c r="AA30" s="1807" t="e">
        <f t="shared" si="3"/>
        <v>#N/A</v>
      </c>
      <c r="AB30" s="1807" t="e">
        <f t="shared" si="4"/>
        <v>#N/A</v>
      </c>
      <c r="AC30" s="1807"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277"/>
      <c r="Q31" s="1806" t="str">
        <f t="shared" si="11"/>
        <v>建筑结构</v>
      </c>
      <c r="R31" s="773" t="s">
        <v>17</v>
      </c>
      <c r="S31" s="774">
        <f t="shared" si="12"/>
        <v>100</v>
      </c>
      <c r="T31" s="773" t="s">
        <v>17</v>
      </c>
      <c r="U31" s="774">
        <f t="shared" si="13"/>
        <v>100</v>
      </c>
      <c r="V31" s="773" t="s">
        <v>17</v>
      </c>
      <c r="W31" s="774">
        <f t="shared" si="14"/>
        <v>100</v>
      </c>
      <c r="X31" s="1809"/>
      <c r="Y31" s="3277"/>
      <c r="Z31" s="1810" t="str">
        <f t="shared" si="15"/>
        <v>建筑结构</v>
      </c>
      <c r="AA31" s="1807">
        <f t="shared" si="3"/>
        <v>1</v>
      </c>
      <c r="AB31" s="1807">
        <f t="shared" si="4"/>
        <v>1</v>
      </c>
      <c r="AC31" s="1807">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277"/>
      <c r="Q32" s="1806" t="str">
        <f t="shared" si="11"/>
        <v>公共部分装修</v>
      </c>
      <c r="R32" s="773" t="s">
        <v>17</v>
      </c>
      <c r="S32" s="774">
        <f t="shared" si="12"/>
        <v>100</v>
      </c>
      <c r="T32" s="773" t="s">
        <v>17</v>
      </c>
      <c r="U32" s="774">
        <f t="shared" si="13"/>
        <v>100</v>
      </c>
      <c r="V32" s="773" t="s">
        <v>17</v>
      </c>
      <c r="W32" s="774">
        <f t="shared" si="14"/>
        <v>100</v>
      </c>
      <c r="X32" s="1809"/>
      <c r="Y32" s="3277"/>
      <c r="Z32" s="1810" t="str">
        <f t="shared" si="15"/>
        <v>公共部分装修</v>
      </c>
      <c r="AA32" s="1807">
        <f t="shared" si="3"/>
        <v>1</v>
      </c>
      <c r="AB32" s="1807">
        <f t="shared" si="4"/>
        <v>1</v>
      </c>
      <c r="AC32" s="1807">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277"/>
      <c r="Q33" s="1806" t="str">
        <f t="shared" si="11"/>
        <v>成新度</v>
      </c>
      <c r="R33" s="773" t="s">
        <v>17</v>
      </c>
      <c r="S33" s="774" t="e">
        <f t="shared" si="12"/>
        <v>#N/A</v>
      </c>
      <c r="T33" s="773" t="s">
        <v>17</v>
      </c>
      <c r="U33" s="774" t="e">
        <f t="shared" si="13"/>
        <v>#N/A</v>
      </c>
      <c r="V33" s="773" t="s">
        <v>17</v>
      </c>
      <c r="W33" s="774" t="e">
        <f t="shared" si="14"/>
        <v>#N/A</v>
      </c>
      <c r="X33" s="1809"/>
      <c r="Y33" s="3277"/>
      <c r="Z33" s="1810" t="str">
        <f t="shared" si="15"/>
        <v>成新度</v>
      </c>
      <c r="AA33" s="1807" t="e">
        <f t="shared" si="3"/>
        <v>#N/A</v>
      </c>
      <c r="AB33" s="1807" t="e">
        <f t="shared" si="4"/>
        <v>#N/A</v>
      </c>
      <c r="AC33" s="1807" t="e">
        <f t="shared" si="5"/>
        <v>#N/A</v>
      </c>
    </row>
    <row r="34" spans="1:29" s="116"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277"/>
      <c r="Q34" s="1791" t="str">
        <f t="shared" si="11"/>
        <v>物业管理</v>
      </c>
      <c r="R34" s="769" t="s">
        <v>17</v>
      </c>
      <c r="S34" s="770">
        <f t="shared" si="12"/>
        <v>100</v>
      </c>
      <c r="T34" s="769" t="s">
        <v>17</v>
      </c>
      <c r="U34" s="770">
        <f t="shared" si="13"/>
        <v>100</v>
      </c>
      <c r="V34" s="769" t="s">
        <v>17</v>
      </c>
      <c r="W34" s="770">
        <f t="shared" si="14"/>
        <v>100</v>
      </c>
      <c r="X34" s="771"/>
      <c r="Y34" s="3277"/>
      <c r="Z34" s="54"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277" t="s">
        <v>2564</v>
      </c>
      <c r="Q35" s="1806" t="str">
        <f t="shared" si="11"/>
        <v>市政基础设施</v>
      </c>
      <c r="R35" s="773" t="s">
        <v>17</v>
      </c>
      <c r="S35" s="774">
        <f t="shared" si="12"/>
        <v>100</v>
      </c>
      <c r="T35" s="773" t="s">
        <v>17</v>
      </c>
      <c r="U35" s="774">
        <f t="shared" si="13"/>
        <v>100</v>
      </c>
      <c r="V35" s="773" t="s">
        <v>17</v>
      </c>
      <c r="W35" s="774">
        <f t="shared" si="14"/>
        <v>100</v>
      </c>
      <c r="X35" s="1809"/>
      <c r="Y35" s="3277" t="s">
        <v>2564</v>
      </c>
      <c r="Z35" s="1810" t="str">
        <f t="shared" si="15"/>
        <v>市政基础设施</v>
      </c>
      <c r="AA35" s="1807">
        <f t="shared" si="3"/>
        <v>1</v>
      </c>
      <c r="AB35" s="1807">
        <f t="shared" si="4"/>
        <v>1</v>
      </c>
      <c r="AC35" s="1807">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277"/>
      <c r="Q36" s="1806" t="str">
        <f t="shared" si="11"/>
        <v>内部装修</v>
      </c>
      <c r="R36" s="773" t="s">
        <v>17</v>
      </c>
      <c r="S36" s="774">
        <f t="shared" si="12"/>
        <v>100</v>
      </c>
      <c r="T36" s="773" t="s">
        <v>17</v>
      </c>
      <c r="U36" s="774">
        <f t="shared" si="13"/>
        <v>100</v>
      </c>
      <c r="V36" s="773" t="s">
        <v>17</v>
      </c>
      <c r="W36" s="774">
        <f t="shared" si="14"/>
        <v>100</v>
      </c>
      <c r="X36" s="1809"/>
      <c r="Y36" s="3277"/>
      <c r="Z36" s="1810" t="str">
        <f t="shared" si="15"/>
        <v>内部装修</v>
      </c>
      <c r="AA36" s="1807">
        <f t="shared" si="3"/>
        <v>1</v>
      </c>
      <c r="AB36" s="1807">
        <f t="shared" si="4"/>
        <v>1</v>
      </c>
      <c r="AC36" s="1807">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277"/>
      <c r="Q37" s="1806" t="str">
        <f t="shared" si="11"/>
        <v>内部装修状况</v>
      </c>
      <c r="R37" s="773" t="s">
        <v>17</v>
      </c>
      <c r="S37" s="774">
        <f t="shared" si="12"/>
        <v>100</v>
      </c>
      <c r="T37" s="773" t="s">
        <v>17</v>
      </c>
      <c r="U37" s="774">
        <f t="shared" si="13"/>
        <v>100</v>
      </c>
      <c r="V37" s="773" t="s">
        <v>17</v>
      </c>
      <c r="W37" s="774">
        <f t="shared" si="14"/>
        <v>100</v>
      </c>
      <c r="X37" s="1809"/>
      <c r="Y37" s="3277"/>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277"/>
      <c r="Q38" s="775">
        <f t="shared" si="11"/>
        <v>111</v>
      </c>
      <c r="R38" s="776" t="s">
        <v>17</v>
      </c>
      <c r="S38" s="777">
        <f t="shared" si="12"/>
        <v>100</v>
      </c>
      <c r="T38" s="776" t="s">
        <v>17</v>
      </c>
      <c r="U38" s="777">
        <f t="shared" si="13"/>
        <v>100</v>
      </c>
      <c r="V38" s="776" t="s">
        <v>17</v>
      </c>
      <c r="W38" s="777">
        <f t="shared" si="14"/>
        <v>100</v>
      </c>
      <c r="X38" s="778"/>
      <c r="Y38" s="3277"/>
      <c r="Z38" s="779">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277"/>
      <c r="Q39" s="1806">
        <f t="shared" si="11"/>
        <v>111</v>
      </c>
      <c r="R39" s="773" t="s">
        <v>17</v>
      </c>
      <c r="S39" s="774">
        <f t="shared" si="12"/>
        <v>100</v>
      </c>
      <c r="T39" s="773" t="s">
        <v>17</v>
      </c>
      <c r="U39" s="774">
        <f t="shared" si="13"/>
        <v>100</v>
      </c>
      <c r="V39" s="773" t="s">
        <v>17</v>
      </c>
      <c r="W39" s="774">
        <f t="shared" si="14"/>
        <v>100</v>
      </c>
      <c r="X39" s="1809"/>
      <c r="Y39" s="3277"/>
      <c r="Z39" s="1810">
        <f t="shared" si="15"/>
        <v>111</v>
      </c>
      <c r="AA39" s="1807">
        <f t="shared" si="3"/>
        <v>1</v>
      </c>
      <c r="AB39" s="1807">
        <f t="shared" si="4"/>
        <v>1</v>
      </c>
      <c r="AC39" s="1807">
        <f t="shared" si="5"/>
        <v>1</v>
      </c>
    </row>
    <row r="40" spans="1:29" ht="15.75"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278"/>
      <c r="Q40" s="1806">
        <f t="shared" si="11"/>
        <v>111</v>
      </c>
      <c r="R40" s="773" t="s">
        <v>17</v>
      </c>
      <c r="S40" s="774">
        <f t="shared" si="12"/>
        <v>100</v>
      </c>
      <c r="T40" s="773" t="s">
        <v>17</v>
      </c>
      <c r="U40" s="774">
        <f t="shared" si="13"/>
        <v>100</v>
      </c>
      <c r="V40" s="773" t="s">
        <v>17</v>
      </c>
      <c r="W40" s="774">
        <f t="shared" si="14"/>
        <v>100</v>
      </c>
      <c r="X40" s="1809"/>
      <c r="Y40" s="3278"/>
      <c r="Z40" s="1810">
        <f t="shared" si="15"/>
        <v>111</v>
      </c>
      <c r="AA40" s="1807">
        <f t="shared" si="3"/>
        <v>1</v>
      </c>
      <c r="AB40" s="1807">
        <f t="shared" si="4"/>
        <v>1</v>
      </c>
      <c r="AC40" s="1807">
        <f t="shared" si="5"/>
        <v>1</v>
      </c>
    </row>
    <row r="41" spans="1:29" ht="15">
      <c r="A41" s="478" t="s">
        <v>2576</v>
      </c>
      <c r="B41" s="479"/>
      <c r="C41" s="1403" t="s">
        <v>1</v>
      </c>
      <c r="D41" s="1404"/>
      <c r="E41" s="1405"/>
      <c r="F41" s="1406"/>
      <c r="G41" s="1407"/>
      <c r="H41" s="1408"/>
      <c r="I41" s="1405"/>
      <c r="J41" s="1408"/>
      <c r="K41" s="782"/>
      <c r="L41" s="1139"/>
      <c r="M41" s="1140"/>
      <c r="N41" s="1127"/>
      <c r="O41" s="1140"/>
      <c r="P41" s="3279" t="str">
        <f>A41</f>
        <v>成交单价（元/平方米）</v>
      </c>
      <c r="Q41" s="3279"/>
      <c r="R41" s="3280">
        <f>E41</f>
        <v>0</v>
      </c>
      <c r="S41" s="3280"/>
      <c r="T41" s="3280">
        <f>G41</f>
        <v>0</v>
      </c>
      <c r="U41" s="3280"/>
      <c r="V41" s="3280">
        <f>I41</f>
        <v>0</v>
      </c>
      <c r="W41" s="3280"/>
      <c r="X41" s="758"/>
      <c r="Y41" s="780"/>
      <c r="Z41" s="758"/>
      <c r="AA41" s="758"/>
      <c r="AB41" s="758"/>
      <c r="AC41" s="758"/>
    </row>
    <row r="42" spans="1:29" ht="15.75" thickBot="1">
      <c r="A42" s="485" t="s">
        <v>2668</v>
      </c>
      <c r="B42" s="486"/>
      <c r="C42" s="1409" t="e">
        <f>R43</f>
        <v>#DIV/0!</v>
      </c>
      <c r="D42" s="1410"/>
      <c r="E42" s="1411" t="e">
        <f>R42</f>
        <v>#DIV/0!</v>
      </c>
      <c r="F42" s="1411"/>
      <c r="G42" s="1409" t="e">
        <f>T42</f>
        <v>#DIV/0!</v>
      </c>
      <c r="H42" s="1410"/>
      <c r="I42" s="1411" t="e">
        <f>V42</f>
        <v>#DIV/0!</v>
      </c>
      <c r="J42" s="1410"/>
      <c r="K42" s="783"/>
      <c r="L42" s="1139"/>
      <c r="M42" s="1140"/>
      <c r="N42" s="1127"/>
      <c r="O42" s="1140"/>
      <c r="P42" s="3279" t="str">
        <f>A42</f>
        <v>比较价值（元/平方米）</v>
      </c>
      <c r="Q42" s="3279"/>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8"/>
      <c r="Y42" s="758"/>
      <c r="Z42" s="758"/>
      <c r="AA42" s="758"/>
      <c r="AB42" s="758"/>
      <c r="AC42" s="758"/>
    </row>
    <row r="43" spans="1:29" ht="15.75" thickBot="1">
      <c r="A43" s="491" t="s">
        <v>2669</v>
      </c>
      <c r="B43" s="492"/>
      <c r="C43" s="1413" t="e">
        <f>R43</f>
        <v>#DIV/0!</v>
      </c>
      <c r="D43" s="1413"/>
      <c r="E43" s="1413"/>
      <c r="F43" s="1413"/>
      <c r="G43" s="1413"/>
      <c r="H43" s="1413"/>
      <c r="I43" s="1413"/>
      <c r="J43" s="1413"/>
      <c r="K43" s="784"/>
      <c r="L43" s="1139"/>
      <c r="M43" s="1140"/>
      <c r="N43" s="1140"/>
      <c r="O43" s="1140"/>
      <c r="P43" s="3292" t="str">
        <f>A43</f>
        <v>估价对象XX用房的比较价值（楼面单价，元/平方米）</v>
      </c>
      <c r="Q43" s="3293"/>
      <c r="R43" s="3294" t="e">
        <f>IF(F1="售价",ROUND(AVERAGE(R42:V42),0),ROUND(AVERAGE(R42:V42),1))</f>
        <v>#DIV/0!</v>
      </c>
      <c r="S43" s="3294"/>
      <c r="T43" s="3294"/>
      <c r="U43" s="3294"/>
      <c r="V43" s="3294"/>
      <c r="W43" s="3294"/>
      <c r="X43" s="758"/>
      <c r="Y43" s="758"/>
      <c r="Z43" s="758"/>
      <c r="AA43" s="758"/>
      <c r="AB43" s="758"/>
      <c r="AC43" s="758"/>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2" t="s">
        <v>2673</v>
      </c>
      <c r="B51" s="758"/>
      <c r="C51" s="763"/>
      <c r="D51" s="763"/>
      <c r="E51" s="763"/>
      <c r="F51" s="764"/>
      <c r="G51" s="764"/>
      <c r="H51" s="763"/>
      <c r="I51" s="763"/>
      <c r="J51" s="763"/>
      <c r="K51" s="1156"/>
      <c r="L51" s="1157"/>
      <c r="M51" s="1155"/>
      <c r="N51" s="1155"/>
      <c r="O51" s="1155"/>
      <c r="P51" s="502"/>
      <c r="Q51" s="503"/>
    </row>
    <row r="52" spans="1:17" s="507" customFormat="1" ht="15">
      <c r="A52" s="504" t="s">
        <v>2547</v>
      </c>
      <c r="B52" s="505"/>
      <c r="C52" s="1570" t="str">
        <f>YEAR(C7)&amp;"-"&amp;MONTH(C7)</f>
        <v>2018-3</v>
      </c>
      <c r="D52" s="1571">
        <f>EDATE(C52,-1)</f>
        <v>43132</v>
      </c>
      <c r="E52" s="1571">
        <f t="shared" ref="E52:O52" si="16">EDATE(D52,-1)</f>
        <v>43101</v>
      </c>
      <c r="F52" s="1571">
        <f t="shared" si="16"/>
        <v>43070</v>
      </c>
      <c r="G52" s="1571">
        <f t="shared" si="16"/>
        <v>43040</v>
      </c>
      <c r="H52" s="1571">
        <f t="shared" si="16"/>
        <v>43009</v>
      </c>
      <c r="I52" s="1571">
        <f t="shared" si="16"/>
        <v>42979</v>
      </c>
      <c r="J52" s="1571">
        <f t="shared" si="16"/>
        <v>42948</v>
      </c>
      <c r="K52" s="1571">
        <f t="shared" si="16"/>
        <v>42917</v>
      </c>
      <c r="L52" s="1571">
        <f t="shared" si="16"/>
        <v>42887</v>
      </c>
      <c r="M52" s="1571">
        <f t="shared" si="16"/>
        <v>42856</v>
      </c>
      <c r="N52" s="1571">
        <f t="shared" si="16"/>
        <v>42826</v>
      </c>
      <c r="O52" s="1571">
        <f t="shared" si="16"/>
        <v>42795</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2584</v>
      </c>
      <c r="B54" s="515"/>
      <c r="C54" s="516"/>
      <c r="D54" s="517"/>
      <c r="E54" s="517"/>
      <c r="F54" s="517"/>
      <c r="G54" s="517"/>
      <c r="H54" s="517"/>
      <c r="I54" s="517"/>
      <c r="J54" s="517"/>
      <c r="K54" s="517"/>
      <c r="L54" s="517"/>
      <c r="M54" s="518"/>
      <c r="N54" s="517"/>
      <c r="O54" s="519"/>
      <c r="P54" s="503"/>
      <c r="Q54" s="503"/>
    </row>
    <row r="55" spans="1:17" s="116" customFormat="1" ht="15">
      <c r="A55" s="520" t="s">
        <v>2549</v>
      </c>
      <c r="B55" s="509"/>
      <c r="C55" s="521" t="s">
        <v>2651</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2587</v>
      </c>
      <c r="B57" s="527" t="s">
        <v>2553</v>
      </c>
      <c r="C57" s="528">
        <f>C9</f>
        <v>0</v>
      </c>
      <c r="D57" s="529"/>
      <c r="E57" s="529"/>
      <c r="F57" s="529"/>
      <c r="G57" s="529"/>
      <c r="H57" s="529"/>
      <c r="I57" s="529"/>
      <c r="J57" s="529"/>
      <c r="K57" s="530"/>
      <c r="L57" s="531"/>
      <c r="M57" s="532"/>
      <c r="N57" s="1148"/>
      <c r="O57" s="1148"/>
      <c r="P57" s="44"/>
      <c r="Q57" s="503"/>
    </row>
    <row r="58" spans="1:17" ht="15.75" thickBot="1">
      <c r="A58" s="533"/>
      <c r="B58" s="534"/>
      <c r="C58" s="535">
        <v>100</v>
      </c>
      <c r="D58" s="535"/>
      <c r="E58" s="535"/>
      <c r="F58" s="535"/>
      <c r="G58" s="535"/>
      <c r="H58" s="535"/>
      <c r="I58" s="535"/>
      <c r="J58" s="535"/>
      <c r="K58" s="535"/>
      <c r="L58" s="535"/>
      <c r="M58" s="536"/>
      <c r="N58" s="1149"/>
      <c r="O58" s="1149"/>
      <c r="P58" s="44"/>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48"/>
      <c r="O59" s="1148"/>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4"/>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4"/>
      <c r="Q61" s="503"/>
    </row>
    <row r="62" spans="1:17" ht="15">
      <c r="A62" s="533"/>
      <c r="B62" s="547"/>
      <c r="C62" s="548"/>
      <c r="D62" s="548"/>
      <c r="E62" s="548"/>
      <c r="F62" s="548"/>
      <c r="G62" s="548"/>
      <c r="H62" s="548"/>
      <c r="I62" s="548"/>
      <c r="J62" s="548"/>
      <c r="K62" s="549"/>
      <c r="L62" s="550"/>
      <c r="M62" s="551"/>
      <c r="N62" s="1148"/>
      <c r="O62" s="1148"/>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4"/>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4"/>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48"/>
      <c r="O72" s="1148"/>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4"/>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48"/>
      <c r="O74" s="1148"/>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4"/>
      <c r="Q75" s="503"/>
    </row>
    <row r="76" spans="1:17" ht="15.75" thickTop="1">
      <c r="A76" s="533"/>
      <c r="B76" s="545" t="s">
        <v>2688</v>
      </c>
      <c r="C76" s="659" t="s">
        <v>2674</v>
      </c>
      <c r="D76" s="659" t="s">
        <v>2675</v>
      </c>
      <c r="E76" s="659" t="s">
        <v>2676</v>
      </c>
      <c r="F76" s="659" t="s">
        <v>2677</v>
      </c>
      <c r="G76" s="659" t="s">
        <v>2678</v>
      </c>
      <c r="H76" s="538"/>
      <c r="I76" s="538"/>
      <c r="J76" s="538"/>
      <c r="K76" s="538"/>
      <c r="L76" s="538"/>
      <c r="M76" s="1378"/>
      <c r="N76" s="1149"/>
      <c r="O76" s="1149"/>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4"/>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48"/>
      <c r="O78" s="1148"/>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4"/>
      <c r="Q79" s="503"/>
    </row>
    <row r="80" spans="1:17" s="116" customFormat="1" ht="15.75" thickTop="1">
      <c r="A80" s="578"/>
      <c r="B80" s="537">
        <f>B25</f>
        <v>111</v>
      </c>
      <c r="C80" s="553"/>
      <c r="D80" s="553"/>
      <c r="E80" s="553"/>
      <c r="F80" s="553"/>
      <c r="G80" s="553"/>
      <c r="H80" s="553"/>
      <c r="I80" s="553"/>
      <c r="J80" s="553"/>
      <c r="K80" s="553"/>
      <c r="L80" s="579"/>
      <c r="M80" s="580"/>
      <c r="N80" s="1147"/>
      <c r="O80" s="1147"/>
      <c r="P80" s="44"/>
      <c r="Q80" s="503"/>
    </row>
    <row r="81" spans="1:17" s="116" customFormat="1" ht="15.75" thickBot="1">
      <c r="A81" s="578"/>
      <c r="B81" s="542"/>
      <c r="C81" s="559"/>
      <c r="D81" s="535"/>
      <c r="E81" s="535"/>
      <c r="F81" s="535"/>
      <c r="G81" s="535"/>
      <c r="H81" s="535"/>
      <c r="I81" s="535"/>
      <c r="J81" s="535"/>
      <c r="K81" s="535"/>
      <c r="L81" s="535"/>
      <c r="M81" s="536"/>
      <c r="N81" s="1149"/>
      <c r="O81" s="1149"/>
      <c r="P81" s="44"/>
      <c r="Q81" s="503"/>
    </row>
    <row r="82" spans="1:17" s="116" customFormat="1" ht="15.75" thickTop="1">
      <c r="A82" s="578"/>
      <c r="B82" s="537">
        <f>B26</f>
        <v>111</v>
      </c>
      <c r="C82" s="553"/>
      <c r="D82" s="553"/>
      <c r="E82" s="553"/>
      <c r="F82" s="553"/>
      <c r="G82" s="553"/>
      <c r="H82" s="553"/>
      <c r="I82" s="553"/>
      <c r="J82" s="553"/>
      <c r="K82" s="553"/>
      <c r="L82" s="579"/>
      <c r="M82" s="580"/>
      <c r="N82" s="1147"/>
      <c r="O82" s="1147"/>
      <c r="P82" s="44"/>
      <c r="Q82" s="503"/>
    </row>
    <row r="83" spans="1:17" s="116" customFormat="1" ht="15.75" thickBot="1">
      <c r="A83" s="578"/>
      <c r="B83" s="542"/>
      <c r="C83" s="559"/>
      <c r="D83" s="535"/>
      <c r="E83" s="535"/>
      <c r="F83" s="535"/>
      <c r="G83" s="535"/>
      <c r="H83" s="535"/>
      <c r="I83" s="535"/>
      <c r="J83" s="535"/>
      <c r="K83" s="535"/>
      <c r="L83" s="535"/>
      <c r="M83" s="536"/>
      <c r="N83" s="1149"/>
      <c r="O83" s="1149"/>
      <c r="P83" s="44"/>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4"/>
      <c r="Q86" s="503"/>
    </row>
    <row r="87" spans="1:17" ht="15.75" thickBot="1">
      <c r="A87" s="2629"/>
      <c r="B87" s="568"/>
      <c r="C87" s="569"/>
      <c r="D87" s="569"/>
      <c r="E87" s="569"/>
      <c r="F87" s="569"/>
      <c r="G87" s="590"/>
      <c r="H87" s="590"/>
      <c r="I87" s="590"/>
      <c r="J87" s="590"/>
      <c r="K87" s="590"/>
      <c r="L87" s="590"/>
      <c r="M87" s="591"/>
      <c r="N87" s="1149"/>
      <c r="O87" s="1149"/>
      <c r="P87" s="44"/>
      <c r="Q87" s="503"/>
    </row>
    <row r="88" spans="1:17">
      <c r="A88" s="526" t="s">
        <v>2562</v>
      </c>
      <c r="B88" s="527" t="s">
        <v>2611</v>
      </c>
      <c r="C88" s="529"/>
      <c r="D88" s="529"/>
      <c r="E88" s="529"/>
      <c r="F88" s="529"/>
      <c r="G88" s="529"/>
      <c r="H88" s="529"/>
      <c r="I88" s="529"/>
      <c r="J88" s="529"/>
      <c r="K88" s="530"/>
      <c r="L88" s="531"/>
      <c r="M88" s="532"/>
      <c r="N88" s="1148"/>
      <c r="O88" s="1148"/>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4"/>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4"/>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2613</v>
      </c>
      <c r="C93" s="553"/>
      <c r="D93" s="553"/>
      <c r="E93" s="582"/>
      <c r="F93" s="582"/>
      <c r="G93" s="582"/>
      <c r="H93" s="582"/>
      <c r="I93" s="582"/>
      <c r="J93" s="582"/>
      <c r="K93" s="583"/>
      <c r="L93" s="584"/>
      <c r="M93" s="585"/>
      <c r="N93" s="1148"/>
      <c r="O93" s="1148"/>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4"/>
      <c r="Q94" s="503"/>
    </row>
    <row r="95" spans="1:17" ht="15" thickTop="1">
      <c r="A95" s="598"/>
      <c r="B95" s="537" t="s">
        <v>2615</v>
      </c>
      <c r="C95" s="553"/>
      <c r="D95" s="553"/>
      <c r="E95" s="553"/>
      <c r="F95" s="582"/>
      <c r="G95" s="582"/>
      <c r="H95" s="582"/>
      <c r="I95" s="582"/>
      <c r="J95" s="582"/>
      <c r="K95" s="583"/>
      <c r="L95" s="584"/>
      <c r="M95" s="585"/>
      <c r="N95" s="1148"/>
      <c r="O95" s="1148"/>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4"/>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4"/>
      <c r="Q97" s="503"/>
    </row>
    <row r="98" spans="1:17">
      <c r="A98" s="598"/>
      <c r="B98" s="545"/>
      <c r="C98" s="602">
        <v>0.5</v>
      </c>
      <c r="D98" s="602">
        <v>0.6</v>
      </c>
      <c r="E98" s="602">
        <v>0.7</v>
      </c>
      <c r="F98" s="602">
        <v>0.8</v>
      </c>
      <c r="G98" s="602">
        <v>0.9</v>
      </c>
      <c r="H98" s="602">
        <v>1.0001</v>
      </c>
      <c r="I98" s="622"/>
      <c r="J98" s="622"/>
      <c r="K98" s="623"/>
      <c r="L98" s="624"/>
      <c r="M98" s="625"/>
      <c r="N98" s="1148"/>
      <c r="O98" s="1148"/>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4"/>
      <c r="Q99" s="503"/>
    </row>
    <row r="100" spans="1:17" s="470" customFormat="1" ht="15" thickTop="1">
      <c r="A100" s="592"/>
      <c r="B100" s="537" t="s">
        <v>2616</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2617</v>
      </c>
      <c r="C102" s="553"/>
      <c r="D102" s="553"/>
      <c r="E102" s="553"/>
      <c r="F102" s="553"/>
      <c r="G102" s="553"/>
      <c r="H102" s="582"/>
      <c r="I102" s="582"/>
      <c r="J102" s="582"/>
      <c r="K102" s="583"/>
      <c r="L102" s="584"/>
      <c r="M102" s="585"/>
      <c r="N102" s="1148"/>
      <c r="O102" s="1148"/>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4"/>
      <c r="Q103" s="503"/>
    </row>
    <row r="104" spans="1:17" ht="15" thickTop="1">
      <c r="A104" s="598"/>
      <c r="B104" s="537" t="s">
        <v>2619</v>
      </c>
      <c r="C104" s="553"/>
      <c r="D104" s="553"/>
      <c r="E104" s="553"/>
      <c r="F104" s="553"/>
      <c r="G104" s="553"/>
      <c r="H104" s="582"/>
      <c r="I104" s="582"/>
      <c r="J104" s="582"/>
      <c r="K104" s="583"/>
      <c r="L104" s="584"/>
      <c r="M104" s="585"/>
      <c r="N104" s="1148"/>
      <c r="O104" s="1148"/>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4"/>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4"/>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4"/>
      <c r="Q110" s="503"/>
    </row>
    <row r="111" spans="1:17" ht="15.75" thickBot="1">
      <c r="A111" s="533"/>
      <c r="B111" s="542"/>
      <c r="C111" s="559"/>
      <c r="D111" s="535"/>
      <c r="E111" s="535"/>
      <c r="F111" s="535"/>
      <c r="G111" s="559"/>
      <c r="H111" s="561"/>
      <c r="I111" s="561"/>
      <c r="J111" s="561"/>
      <c r="K111" s="561"/>
      <c r="L111" s="561"/>
      <c r="M111" s="562"/>
      <c r="N111" s="1149"/>
      <c r="O111" s="1149"/>
      <c r="P111" s="44"/>
      <c r="Q111" s="503"/>
    </row>
    <row r="112" spans="1:17" ht="15" thickTop="1">
      <c r="A112" s="598"/>
      <c r="B112" s="545">
        <f>B40</f>
        <v>111</v>
      </c>
      <c r="C112" s="522"/>
      <c r="D112" s="522"/>
      <c r="E112" s="522"/>
      <c r="F112" s="522"/>
      <c r="G112" s="586"/>
      <c r="H112" s="586"/>
      <c r="I112" s="586"/>
      <c r="J112" s="586"/>
      <c r="K112" s="522"/>
      <c r="L112" s="523"/>
      <c r="M112" s="589"/>
      <c r="N112" s="1148"/>
      <c r="O112" s="1148"/>
      <c r="P112" s="44"/>
      <c r="Q112" s="503"/>
    </row>
    <row r="113" spans="1:17" ht="15.75" thickBot="1">
      <c r="A113" s="2629"/>
      <c r="B113" s="568"/>
      <c r="C113" s="569"/>
      <c r="D113" s="569"/>
      <c r="E113" s="569"/>
      <c r="F113" s="569"/>
      <c r="G113" s="590"/>
      <c r="H113" s="590"/>
      <c r="I113" s="590"/>
      <c r="J113" s="590"/>
      <c r="K113" s="590"/>
      <c r="L113" s="590"/>
      <c r="M113" s="591"/>
      <c r="N113" s="1149"/>
      <c r="O113" s="1149"/>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18"/>
      <c r="F1" s="2577"/>
      <c r="G1" s="1619" t="s">
        <v>2642</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2326</v>
      </c>
      <c r="B2" s="1414" t="e">
        <f ca="1">IF(C2="——",IF(B37="元/平方米",ROUND(C39*D3/10000,0),ROUND(F3*C39/10000,0)),IF(B37="元/平方米",ROUND(C39*D3/10000,0),ROUND(F3*C39/10000,0))-D2)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1415"/>
      <c r="Q2" s="767"/>
      <c r="R2" s="767"/>
      <c r="S2" s="767"/>
      <c r="T2" s="767"/>
      <c r="U2" s="767"/>
      <c r="V2" s="767"/>
      <c r="W2" s="767"/>
      <c r="X2" s="767"/>
      <c r="Y2" s="767"/>
      <c r="Z2" s="767"/>
      <c r="AA2" s="767"/>
      <c r="AB2" s="767"/>
      <c r="AC2" s="768"/>
    </row>
    <row r="3" spans="1:29" s="397" customFormat="1" ht="28.5" customHeight="1" thickBot="1">
      <c r="A3" s="246" t="s">
        <v>2328</v>
      </c>
      <c r="B3" s="608" t="e">
        <f ca="1">IF(AND(C2="——",B37="元/平方米"),C39,ROUND(B2*10000/D3,0))</f>
        <v>#DIV/0!</v>
      </c>
      <c r="C3" s="399" t="s">
        <v>2643</v>
      </c>
      <c r="D3" s="398">
        <f>SUMIF('数据-汇总表'!$C19:$C33,D1,'数据-汇总表'!$E19:$E33)</f>
        <v>0</v>
      </c>
      <c r="E3" s="399" t="s">
        <v>2707</v>
      </c>
      <c r="F3" s="398">
        <f>SUMIF('数据-取费表'!A5:A15,D1,'数据-取费表'!AH5:AH15)</f>
        <v>0</v>
      </c>
      <c r="G3" s="1121"/>
      <c r="H3" s="1121"/>
      <c r="I3" s="1121"/>
      <c r="J3" s="1121"/>
      <c r="K3" s="1123"/>
      <c r="L3" s="1124"/>
      <c r="M3" s="1125"/>
      <c r="N3" s="1125"/>
      <c r="O3" s="1125"/>
      <c r="P3" s="1415"/>
      <c r="Q3" s="767"/>
      <c r="R3" s="767"/>
      <c r="S3" s="767"/>
      <c r="T3" s="767"/>
      <c r="U3" s="767"/>
      <c r="V3" s="767"/>
      <c r="W3" s="767"/>
      <c r="X3" s="767"/>
      <c r="Y3" s="767"/>
      <c r="Z3" s="767"/>
      <c r="AA3" s="767"/>
      <c r="AB3" s="785"/>
      <c r="AC3" s="781"/>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33" t="s">
        <v>2647</v>
      </c>
      <c r="AC4" s="3284" t="s">
        <v>2648</v>
      </c>
    </row>
    <row r="5" spans="1:29" ht="15">
      <c r="A5" s="403"/>
      <c r="B5" s="404"/>
      <c r="C5" s="3243" t="s">
        <v>2541</v>
      </c>
      <c r="D5" s="3244"/>
      <c r="E5" s="3287" t="s">
        <v>2542</v>
      </c>
      <c r="F5" s="3242"/>
      <c r="G5" s="3243" t="s">
        <v>2543</v>
      </c>
      <c r="H5" s="3244"/>
      <c r="I5" s="3243" t="s">
        <v>2544</v>
      </c>
      <c r="J5" s="3244"/>
      <c r="K5" s="609"/>
      <c r="L5" s="1126"/>
      <c r="M5" s="1127"/>
      <c r="N5" s="1127"/>
      <c r="O5" s="1127"/>
      <c r="P5" s="3290"/>
      <c r="Q5" s="3261"/>
      <c r="R5" s="3239"/>
      <c r="S5" s="3240"/>
      <c r="T5" s="3239"/>
      <c r="U5" s="3240"/>
      <c r="V5" s="3267"/>
      <c r="W5" s="3267"/>
      <c r="X5" s="1809"/>
      <c r="Y5" s="3239"/>
      <c r="Z5" s="3240"/>
      <c r="AA5" s="3233"/>
      <c r="AB5" s="3233"/>
      <c r="AC5" s="3233"/>
    </row>
    <row r="6" spans="1:29" ht="15.75" thickBot="1">
      <c r="A6" s="405"/>
      <c r="B6" s="406"/>
      <c r="C6" s="3245" t="s">
        <v>2545</v>
      </c>
      <c r="D6" s="3246"/>
      <c r="E6" s="3248" t="s">
        <v>2545</v>
      </c>
      <c r="F6" s="3249"/>
      <c r="G6" s="3245" t="s">
        <v>2545</v>
      </c>
      <c r="H6" s="3246"/>
      <c r="I6" s="3245" t="s">
        <v>2545</v>
      </c>
      <c r="J6" s="3246"/>
      <c r="K6" s="609" t="s">
        <v>2546</v>
      </c>
      <c r="L6" s="1126"/>
      <c r="M6" s="1127"/>
      <c r="N6" s="1127"/>
      <c r="O6" s="1127"/>
      <c r="P6" s="3291"/>
      <c r="Q6" s="3263"/>
      <c r="R6" s="3239"/>
      <c r="S6" s="3240"/>
      <c r="T6" s="3264"/>
      <c r="U6" s="3265"/>
      <c r="V6" s="3267"/>
      <c r="W6" s="3267"/>
      <c r="X6" s="1809"/>
      <c r="Y6" s="3264"/>
      <c r="Z6" s="3265"/>
      <c r="AA6" s="3234"/>
      <c r="AB6" s="3234"/>
      <c r="AC6" s="3234"/>
    </row>
    <row r="7" spans="1:29" s="116" customFormat="1" ht="15.75" thickBot="1">
      <c r="A7" s="407" t="s">
        <v>2547</v>
      </c>
      <c r="B7" s="408"/>
      <c r="C7" s="409">
        <f>'数据-取费表'!B2</f>
        <v>43182</v>
      </c>
      <c r="D7" s="410">
        <v>100</v>
      </c>
      <c r="E7" s="411"/>
      <c r="F7" s="412">
        <f>SUMIF(48:48,YEAR(E7)&amp;"-"&amp;MONTH(E7),49:49)</f>
        <v>0</v>
      </c>
      <c r="G7" s="411"/>
      <c r="H7" s="410">
        <f>SUMIF(48:48,YEAR(G7)&amp;"-"&amp;MONTH(G7),49:49)</f>
        <v>0</v>
      </c>
      <c r="I7" s="411"/>
      <c r="J7" s="410">
        <f>SUMIF(48:48,YEAR(I7)&amp;"-"&amp;MONTH(I7),49:49)</f>
        <v>0</v>
      </c>
      <c r="K7" s="610"/>
      <c r="L7" s="1128"/>
      <c r="M7" s="1129"/>
      <c r="N7" s="1129"/>
      <c r="O7" s="1129"/>
      <c r="P7" s="3235" t="s">
        <v>2548</v>
      </c>
      <c r="Q7" s="3269"/>
      <c r="R7" s="769" t="s">
        <v>17</v>
      </c>
      <c r="S7" s="770">
        <f t="shared" ref="S7:S14" si="0">F7</f>
        <v>0</v>
      </c>
      <c r="T7" s="769" t="s">
        <v>17</v>
      </c>
      <c r="U7" s="770">
        <f t="shared" ref="U7:U14" si="1">H7</f>
        <v>0</v>
      </c>
      <c r="V7" s="769" t="s">
        <v>17</v>
      </c>
      <c r="W7" s="770">
        <f t="shared" ref="W7:W14" si="2">J7</f>
        <v>0</v>
      </c>
      <c r="X7" s="771"/>
      <c r="Y7" s="3235" t="s">
        <v>2548</v>
      </c>
      <c r="Z7" s="3236"/>
      <c r="AA7" s="772" t="e">
        <f>D7/F7</f>
        <v>#DIV/0!</v>
      </c>
      <c r="AB7" s="772" t="e">
        <f>D7/H7</f>
        <v>#DIV/0!</v>
      </c>
      <c r="AC7" s="772" t="e">
        <f>D7/J7</f>
        <v>#DIV/0!</v>
      </c>
    </row>
    <row r="8" spans="1:29" s="116"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235" t="s">
        <v>2551</v>
      </c>
      <c r="Q8" s="3236"/>
      <c r="R8" s="769" t="s">
        <v>17</v>
      </c>
      <c r="S8" s="770">
        <f t="shared" si="0"/>
        <v>0</v>
      </c>
      <c r="T8" s="769" t="s">
        <v>17</v>
      </c>
      <c r="U8" s="770">
        <f t="shared" si="1"/>
        <v>0</v>
      </c>
      <c r="V8" s="769" t="s">
        <v>17</v>
      </c>
      <c r="W8" s="770">
        <f t="shared" si="2"/>
        <v>0</v>
      </c>
      <c r="X8" s="771"/>
      <c r="Y8" s="3235" t="s">
        <v>2551</v>
      </c>
      <c r="Z8" s="3236"/>
      <c r="AA8" s="772" t="e">
        <f t="shared" ref="AA8:AA36" si="3">D8/F8</f>
        <v>#DIV/0!</v>
      </c>
      <c r="AB8" s="772" t="e">
        <f t="shared" ref="AB8:AB36" si="4">D8/H8</f>
        <v>#DIV/0!</v>
      </c>
      <c r="AC8" s="772" t="e">
        <f t="shared" ref="AC8:AC36" si="5">D8/J8</f>
        <v>#DIV/0!</v>
      </c>
    </row>
    <row r="9" spans="1:29" s="116" customFormat="1">
      <c r="A9" s="67"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279" t="s">
        <v>2554</v>
      </c>
      <c r="Q9" s="1791" t="str">
        <f t="shared" ref="Q9:Q14" si="6">B9</f>
        <v>用途</v>
      </c>
      <c r="R9" s="769" t="s">
        <v>17</v>
      </c>
      <c r="S9" s="770">
        <f t="shared" si="0"/>
        <v>100</v>
      </c>
      <c r="T9" s="769" t="s">
        <v>17</v>
      </c>
      <c r="U9" s="770">
        <f t="shared" si="1"/>
        <v>100</v>
      </c>
      <c r="V9" s="769" t="s">
        <v>17</v>
      </c>
      <c r="W9" s="770">
        <f t="shared" si="2"/>
        <v>100</v>
      </c>
      <c r="X9" s="771"/>
      <c r="Y9" s="3104" t="s">
        <v>2555</v>
      </c>
      <c r="Z9" s="54"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279"/>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279"/>
      <c r="Q11" s="1791">
        <f t="shared" si="6"/>
        <v>111</v>
      </c>
      <c r="R11" s="769" t="s">
        <v>17</v>
      </c>
      <c r="S11" s="770">
        <f t="shared" si="0"/>
        <v>100</v>
      </c>
      <c r="T11" s="769" t="s">
        <v>17</v>
      </c>
      <c r="U11" s="770">
        <f t="shared" si="1"/>
        <v>100</v>
      </c>
      <c r="V11" s="769" t="s">
        <v>17</v>
      </c>
      <c r="W11" s="770">
        <f t="shared" si="2"/>
        <v>100</v>
      </c>
      <c r="X11" s="771"/>
      <c r="Y11" s="3104"/>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279"/>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279"/>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772">
        <f t="shared" si="5"/>
        <v>1</v>
      </c>
    </row>
    <row r="14" spans="1:29" ht="242.25">
      <c r="A14" s="400" t="s">
        <v>2558</v>
      </c>
      <c r="B14" s="62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272" t="s">
        <v>2559</v>
      </c>
      <c r="Q14" s="1806" t="str">
        <f t="shared" si="6"/>
        <v>交通便捷度</v>
      </c>
      <c r="R14" s="773" t="s">
        <v>17</v>
      </c>
      <c r="S14" s="774">
        <f t="shared" si="0"/>
        <v>100</v>
      </c>
      <c r="T14" s="773" t="s">
        <v>17</v>
      </c>
      <c r="U14" s="774">
        <f t="shared" si="1"/>
        <v>100</v>
      </c>
      <c r="V14" s="773" t="s">
        <v>17</v>
      </c>
      <c r="W14" s="774">
        <f t="shared" si="2"/>
        <v>100</v>
      </c>
      <c r="X14" s="1809"/>
      <c r="Y14" s="3272" t="s">
        <v>2559</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273"/>
      <c r="Q15" s="1806"/>
      <c r="R15" s="773"/>
      <c r="S15" s="774"/>
      <c r="T15" s="773"/>
      <c r="U15" s="774"/>
      <c r="V15" s="773"/>
      <c r="W15" s="774"/>
      <c r="X15" s="1809"/>
      <c r="Y15" s="3273"/>
      <c r="Z15" s="1810"/>
      <c r="AA15" s="1807">
        <v>1</v>
      </c>
      <c r="AB15" s="1807">
        <v>1</v>
      </c>
      <c r="AC15" s="1807">
        <v>1</v>
      </c>
    </row>
    <row r="16" spans="1:29" ht="42.75">
      <c r="A16" s="403"/>
      <c r="B16" s="630" t="s">
        <v>2687</v>
      </c>
      <c r="C16" s="2600" t="str">
        <f>IF(B1="工业",估价对象房地状况!G5,估价对象房地状况!C7)</f>
        <v>估价对象所在区域公共配套设施齐备度一般</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273"/>
      <c r="Q16" s="1806" t="str">
        <f>B16</f>
        <v>公共配套设施</v>
      </c>
      <c r="R16" s="773" t="s">
        <v>17</v>
      </c>
      <c r="S16" s="774">
        <f>F16</f>
        <v>100</v>
      </c>
      <c r="T16" s="773" t="s">
        <v>17</v>
      </c>
      <c r="U16" s="774">
        <f>H16</f>
        <v>100</v>
      </c>
      <c r="V16" s="773" t="s">
        <v>17</v>
      </c>
      <c r="W16" s="774">
        <f>J16</f>
        <v>100</v>
      </c>
      <c r="X16" s="1809"/>
      <c r="Y16" s="3273"/>
      <c r="Z16" s="1810" t="str">
        <f>Q16</f>
        <v>公共配套设施</v>
      </c>
      <c r="AA16" s="1807">
        <f t="shared" si="3"/>
        <v>1</v>
      </c>
      <c r="AB16" s="1807">
        <f t="shared" si="4"/>
        <v>1</v>
      </c>
      <c r="AC16" s="1807">
        <f t="shared" si="5"/>
        <v>1</v>
      </c>
    </row>
    <row r="17" spans="1:29" ht="15">
      <c r="A17" s="403"/>
      <c r="B17" s="631"/>
      <c r="C17" s="2601"/>
      <c r="D17" s="447"/>
      <c r="E17" s="446"/>
      <c r="F17" s="448"/>
      <c r="G17" s="446"/>
      <c r="H17" s="447"/>
      <c r="I17" s="446"/>
      <c r="J17" s="447"/>
      <c r="K17" s="614"/>
      <c r="L17" s="1136"/>
      <c r="M17" s="1127"/>
      <c r="N17" s="1127"/>
      <c r="O17" s="1127"/>
      <c r="P17" s="3273"/>
      <c r="Q17" s="1806"/>
      <c r="R17" s="773"/>
      <c r="S17" s="774"/>
      <c r="T17" s="773"/>
      <c r="U17" s="774"/>
      <c r="V17" s="773"/>
      <c r="W17" s="774"/>
      <c r="X17" s="1809"/>
      <c r="Y17" s="3273"/>
      <c r="Z17" s="1810"/>
      <c r="AA17" s="1807">
        <v>1</v>
      </c>
      <c r="AB17" s="1807">
        <v>1</v>
      </c>
      <c r="AC17" s="1807">
        <v>1</v>
      </c>
    </row>
    <row r="18" spans="1:29" ht="42.75">
      <c r="A18" s="403"/>
      <c r="B18" s="632" t="s">
        <v>2688</v>
      </c>
      <c r="C18" s="2600" t="str">
        <f>IF(B1="工业",估价对象房地状况!G6,估价对象房地状况!C8)</f>
        <v>估价对象所在区域基础设施水平七通</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273"/>
      <c r="Q18" s="1806" t="str">
        <f>B18</f>
        <v>基础设施水平</v>
      </c>
      <c r="R18" s="773" t="s">
        <v>17</v>
      </c>
      <c r="S18" s="774">
        <f>F18</f>
        <v>100</v>
      </c>
      <c r="T18" s="773" t="s">
        <v>17</v>
      </c>
      <c r="U18" s="774">
        <f>H18</f>
        <v>100</v>
      </c>
      <c r="V18" s="773" t="s">
        <v>17</v>
      </c>
      <c r="W18" s="774">
        <f>J18</f>
        <v>100</v>
      </c>
      <c r="X18" s="1809"/>
      <c r="Y18" s="3273"/>
      <c r="Z18" s="1810" t="str">
        <f>Q18</f>
        <v>基础设施水平</v>
      </c>
      <c r="AA18" s="1807">
        <f t="shared" ref="AA18" si="8">D18/F18</f>
        <v>1</v>
      </c>
      <c r="AB18" s="1807">
        <f t="shared" ref="AB18" si="9">D18/H18</f>
        <v>1</v>
      </c>
      <c r="AC18" s="1807">
        <f t="shared" ref="AC18" si="10">D18/J18</f>
        <v>1</v>
      </c>
    </row>
    <row r="19" spans="1:29" ht="15">
      <c r="A19" s="403"/>
      <c r="B19" s="632"/>
      <c r="C19" s="2601"/>
      <c r="D19" s="449"/>
      <c r="E19" s="2601"/>
      <c r="F19" s="452"/>
      <c r="G19" s="2601"/>
      <c r="H19" s="447"/>
      <c r="I19" s="446"/>
      <c r="J19" s="447"/>
      <c r="K19" s="1379"/>
      <c r="L19" s="1136"/>
      <c r="M19" s="1127"/>
      <c r="N19" s="1127"/>
      <c r="O19" s="1127"/>
      <c r="P19" s="3273"/>
      <c r="Q19" s="1806"/>
      <c r="R19" s="773"/>
      <c r="S19" s="774"/>
      <c r="T19" s="773"/>
      <c r="U19" s="774"/>
      <c r="V19" s="773"/>
      <c r="W19" s="774"/>
      <c r="X19" s="1809"/>
      <c r="Y19" s="3273"/>
      <c r="Z19" s="1810"/>
      <c r="AA19" s="1807">
        <v>1</v>
      </c>
      <c r="AB19" s="1807">
        <v>1</v>
      </c>
      <c r="AC19" s="1807">
        <v>1</v>
      </c>
    </row>
    <row r="20" spans="1:29" ht="142.5">
      <c r="A20" s="403"/>
      <c r="B20" s="63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273"/>
      <c r="Q20" s="1806" t="str">
        <f>B20</f>
        <v>自然及人文环境</v>
      </c>
      <c r="R20" s="773" t="s">
        <v>17</v>
      </c>
      <c r="S20" s="774">
        <f>F20</f>
        <v>100</v>
      </c>
      <c r="T20" s="773" t="s">
        <v>17</v>
      </c>
      <c r="U20" s="774">
        <f>H20</f>
        <v>100</v>
      </c>
      <c r="V20" s="773" t="s">
        <v>17</v>
      </c>
      <c r="W20" s="774">
        <f>J20</f>
        <v>100</v>
      </c>
      <c r="X20" s="1809"/>
      <c r="Y20" s="3273"/>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273"/>
      <c r="Q21" s="1806"/>
      <c r="R21" s="773"/>
      <c r="S21" s="774"/>
      <c r="T21" s="773"/>
      <c r="U21" s="774"/>
      <c r="V21" s="773"/>
      <c r="W21" s="774"/>
      <c r="X21" s="1809"/>
      <c r="Y21" s="3273"/>
      <c r="Z21" s="1810"/>
      <c r="AA21" s="1807">
        <v>1</v>
      </c>
      <c r="AB21" s="1807">
        <v>1</v>
      </c>
      <c r="AC21" s="1807">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273"/>
      <c r="Q22" s="1806" t="str">
        <f>B22</f>
        <v>楼层</v>
      </c>
      <c r="R22" s="773" t="s">
        <v>17</v>
      </c>
      <c r="S22" s="774">
        <f>F22</f>
        <v>100</v>
      </c>
      <c r="T22" s="773" t="s">
        <v>17</v>
      </c>
      <c r="U22" s="774">
        <f>H22</f>
        <v>100</v>
      </c>
      <c r="V22" s="773" t="s">
        <v>17</v>
      </c>
      <c r="W22" s="774">
        <f>J22</f>
        <v>100</v>
      </c>
      <c r="X22" s="1809"/>
      <c r="Y22" s="3273"/>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73"/>
      <c r="Q23" s="1806">
        <f>B23</f>
        <v>111</v>
      </c>
      <c r="R23" s="773" t="s">
        <v>17</v>
      </c>
      <c r="S23" s="774">
        <f>F23</f>
        <v>100</v>
      </c>
      <c r="T23" s="773" t="s">
        <v>17</v>
      </c>
      <c r="U23" s="774">
        <f>H23</f>
        <v>100</v>
      </c>
      <c r="V23" s="773" t="s">
        <v>17</v>
      </c>
      <c r="W23" s="774">
        <f>J23</f>
        <v>100</v>
      </c>
      <c r="X23" s="1809"/>
      <c r="Y23" s="3273"/>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73"/>
      <c r="Q24" s="1806">
        <f t="shared" ref="Q24:Q36" si="11">B24</f>
        <v>111</v>
      </c>
      <c r="R24" s="773" t="s">
        <v>17</v>
      </c>
      <c r="S24" s="774">
        <f>F24</f>
        <v>100</v>
      </c>
      <c r="T24" s="773" t="s">
        <v>17</v>
      </c>
      <c r="U24" s="774">
        <f>H24</f>
        <v>100</v>
      </c>
      <c r="V24" s="773" t="s">
        <v>17</v>
      </c>
      <c r="W24" s="774">
        <f>J24</f>
        <v>100</v>
      </c>
      <c r="X24" s="1809"/>
      <c r="Y24" s="3273"/>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73"/>
      <c r="Q25" s="1791">
        <f t="shared" si="11"/>
        <v>111</v>
      </c>
      <c r="R25" s="769" t="s">
        <v>17</v>
      </c>
      <c r="S25" s="770">
        <f>F25</f>
        <v>100</v>
      </c>
      <c r="T25" s="769" t="s">
        <v>17</v>
      </c>
      <c r="U25" s="770">
        <f>H25</f>
        <v>100</v>
      </c>
      <c r="V25" s="769" t="s">
        <v>17</v>
      </c>
      <c r="W25" s="770">
        <f>J25</f>
        <v>100</v>
      </c>
      <c r="X25" s="771"/>
      <c r="Y25" s="3273"/>
      <c r="Z25" s="54">
        <f>Q25</f>
        <v>111</v>
      </c>
      <c r="AA25" s="1807">
        <f>D25/F25</f>
        <v>1</v>
      </c>
      <c r="AB25" s="1807">
        <f>D25/H25</f>
        <v>1</v>
      </c>
      <c r="AC25" s="1807">
        <f>D25/J25</f>
        <v>1</v>
      </c>
    </row>
    <row r="26" spans="1:29" ht="15">
      <c r="A26" s="651" t="s">
        <v>2562</v>
      </c>
      <c r="B26" s="69" t="s">
        <v>2711</v>
      </c>
      <c r="C26" s="2687">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317" t="s">
        <v>2564</v>
      </c>
      <c r="Q26" s="1806" t="str">
        <f t="shared" si="11"/>
        <v>配套类型</v>
      </c>
      <c r="R26" s="773" t="s">
        <v>17</v>
      </c>
      <c r="S26" s="774">
        <f t="shared" ref="S26:S36" si="12">F26</f>
        <v>100</v>
      </c>
      <c r="T26" s="773" t="s">
        <v>17</v>
      </c>
      <c r="U26" s="774">
        <f t="shared" ref="U26:U36" si="13">H26</f>
        <v>100</v>
      </c>
      <c r="V26" s="773" t="s">
        <v>17</v>
      </c>
      <c r="W26" s="774">
        <f t="shared" ref="W26:W36" si="14">J26</f>
        <v>100</v>
      </c>
      <c r="X26" s="1809"/>
      <c r="Y26" s="3277" t="s">
        <v>2564</v>
      </c>
      <c r="Z26" s="1810" t="str">
        <f t="shared" ref="Z26:Z36" si="15">Q26</f>
        <v>配套类型</v>
      </c>
      <c r="AA26" s="1807">
        <f t="shared" si="3"/>
        <v>1</v>
      </c>
      <c r="AB26" s="1807">
        <f t="shared" si="4"/>
        <v>1</v>
      </c>
      <c r="AC26" s="1807">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277"/>
      <c r="Q27" s="775" t="str">
        <f t="shared" si="11"/>
        <v>项目停车位配比</v>
      </c>
      <c r="R27" s="776" t="s">
        <v>17</v>
      </c>
      <c r="S27" s="777">
        <f t="shared" si="12"/>
        <v>100</v>
      </c>
      <c r="T27" s="776" t="s">
        <v>17</v>
      </c>
      <c r="U27" s="777">
        <f t="shared" si="13"/>
        <v>100</v>
      </c>
      <c r="V27" s="776" t="s">
        <v>17</v>
      </c>
      <c r="W27" s="777">
        <f t="shared" si="14"/>
        <v>100</v>
      </c>
      <c r="X27" s="778"/>
      <c r="Y27" s="3277"/>
      <c r="Z27" s="779" t="str">
        <f t="shared" si="15"/>
        <v>项目停车位配比</v>
      </c>
      <c r="AA27" s="1807">
        <f t="shared" si="3"/>
        <v>1</v>
      </c>
      <c r="AB27" s="1807">
        <f t="shared" si="4"/>
        <v>1</v>
      </c>
      <c r="AC27" s="1807">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277"/>
      <c r="Q28" s="1806" t="str">
        <f t="shared" si="11"/>
        <v>公共部分装修</v>
      </c>
      <c r="R28" s="773" t="s">
        <v>17</v>
      </c>
      <c r="S28" s="774">
        <f t="shared" si="12"/>
        <v>100</v>
      </c>
      <c r="T28" s="773" t="s">
        <v>17</v>
      </c>
      <c r="U28" s="774">
        <f t="shared" si="13"/>
        <v>100</v>
      </c>
      <c r="V28" s="773" t="s">
        <v>17</v>
      </c>
      <c r="W28" s="774">
        <f t="shared" si="14"/>
        <v>100</v>
      </c>
      <c r="X28" s="1809"/>
      <c r="Y28" s="3277"/>
      <c r="Z28" s="1810" t="str">
        <f t="shared" si="15"/>
        <v>公共部分装修</v>
      </c>
      <c r="AA28" s="1807">
        <f t="shared" si="3"/>
        <v>1</v>
      </c>
      <c r="AB28" s="1807">
        <f t="shared" si="4"/>
        <v>1</v>
      </c>
      <c r="AC28" s="1807">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277"/>
      <c r="Q29" s="1806" t="str">
        <f t="shared" si="11"/>
        <v>成新率</v>
      </c>
      <c r="R29" s="773" t="s">
        <v>17</v>
      </c>
      <c r="S29" s="774" t="e">
        <f t="shared" si="12"/>
        <v>#N/A</v>
      </c>
      <c r="T29" s="773" t="s">
        <v>17</v>
      </c>
      <c r="U29" s="774" t="e">
        <f t="shared" si="13"/>
        <v>#N/A</v>
      </c>
      <c r="V29" s="773" t="s">
        <v>17</v>
      </c>
      <c r="W29" s="774" t="e">
        <f t="shared" si="14"/>
        <v>#N/A</v>
      </c>
      <c r="X29" s="1809"/>
      <c r="Y29" s="3277"/>
      <c r="Z29" s="1810" t="str">
        <f t="shared" si="15"/>
        <v>成新率</v>
      </c>
      <c r="AA29" s="1807" t="e">
        <f t="shared" si="3"/>
        <v>#N/A</v>
      </c>
      <c r="AB29" s="1807" t="e">
        <f t="shared" si="4"/>
        <v>#N/A</v>
      </c>
      <c r="AC29" s="1807"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277"/>
      <c r="Q30" s="1806" t="str">
        <f t="shared" si="11"/>
        <v>物业等级</v>
      </c>
      <c r="R30" s="773" t="s">
        <v>17</v>
      </c>
      <c r="S30" s="774">
        <f t="shared" si="12"/>
        <v>100</v>
      </c>
      <c r="T30" s="773" t="s">
        <v>17</v>
      </c>
      <c r="U30" s="774">
        <f t="shared" si="13"/>
        <v>100</v>
      </c>
      <c r="V30" s="773" t="s">
        <v>17</v>
      </c>
      <c r="W30" s="774">
        <f t="shared" si="14"/>
        <v>100</v>
      </c>
      <c r="X30" s="1809"/>
      <c r="Y30" s="3277"/>
      <c r="Z30" s="1810" t="str">
        <f t="shared" si="15"/>
        <v>物业等级</v>
      </c>
      <c r="AA30" s="1807">
        <f t="shared" si="3"/>
        <v>1</v>
      </c>
      <c r="AB30" s="1807">
        <f t="shared" si="4"/>
        <v>1</v>
      </c>
      <c r="AC30" s="1807">
        <f t="shared" si="5"/>
        <v>1</v>
      </c>
    </row>
    <row r="31" spans="1:29" s="116"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277"/>
      <c r="Q31" s="1791" t="str">
        <f t="shared" si="11"/>
        <v>停车位面积</v>
      </c>
      <c r="R31" s="769" t="s">
        <v>17</v>
      </c>
      <c r="S31" s="770" t="e">
        <f t="shared" si="12"/>
        <v>#N/A</v>
      </c>
      <c r="T31" s="769" t="s">
        <v>17</v>
      </c>
      <c r="U31" s="770" t="e">
        <f t="shared" si="13"/>
        <v>#N/A</v>
      </c>
      <c r="V31" s="769" t="s">
        <v>17</v>
      </c>
      <c r="W31" s="770" t="e">
        <f t="shared" si="14"/>
        <v>#N/A</v>
      </c>
      <c r="X31" s="771"/>
      <c r="Y31" s="3277"/>
      <c r="Z31" s="54"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277" t="s">
        <v>2564</v>
      </c>
      <c r="Q32" s="1806" t="str">
        <f t="shared" si="11"/>
        <v>车位类型</v>
      </c>
      <c r="R32" s="773" t="s">
        <v>17</v>
      </c>
      <c r="S32" s="774">
        <f t="shared" si="12"/>
        <v>100</v>
      </c>
      <c r="T32" s="773" t="s">
        <v>17</v>
      </c>
      <c r="U32" s="774">
        <f t="shared" si="13"/>
        <v>100</v>
      </c>
      <c r="V32" s="773" t="s">
        <v>17</v>
      </c>
      <c r="W32" s="774">
        <f t="shared" si="14"/>
        <v>100</v>
      </c>
      <c r="X32" s="1809"/>
      <c r="Y32" s="3277" t="s">
        <v>2564</v>
      </c>
      <c r="Z32" s="1810" t="str">
        <f t="shared" si="15"/>
        <v>车位类型</v>
      </c>
      <c r="AA32" s="1807">
        <f t="shared" si="3"/>
        <v>1</v>
      </c>
      <c r="AB32" s="1807">
        <f t="shared" si="4"/>
        <v>1</v>
      </c>
      <c r="AC32" s="1807">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277"/>
      <c r="Q33" s="1806" t="str">
        <f t="shared" si="11"/>
        <v>是否直接入户</v>
      </c>
      <c r="R33" s="773" t="s">
        <v>17</v>
      </c>
      <c r="S33" s="774">
        <f t="shared" si="12"/>
        <v>100</v>
      </c>
      <c r="T33" s="773" t="s">
        <v>17</v>
      </c>
      <c r="U33" s="774">
        <f t="shared" si="13"/>
        <v>100</v>
      </c>
      <c r="V33" s="773" t="s">
        <v>17</v>
      </c>
      <c r="W33" s="774">
        <f t="shared" si="14"/>
        <v>100</v>
      </c>
      <c r="X33" s="1809"/>
      <c r="Y33" s="3277"/>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277"/>
      <c r="Q34" s="1806">
        <f t="shared" si="11"/>
        <v>111</v>
      </c>
      <c r="R34" s="773" t="s">
        <v>17</v>
      </c>
      <c r="S34" s="774">
        <f t="shared" si="12"/>
        <v>100</v>
      </c>
      <c r="T34" s="773" t="s">
        <v>17</v>
      </c>
      <c r="U34" s="774">
        <f t="shared" si="13"/>
        <v>100</v>
      </c>
      <c r="V34" s="773" t="s">
        <v>17</v>
      </c>
      <c r="W34" s="774">
        <f t="shared" si="14"/>
        <v>100</v>
      </c>
      <c r="X34" s="1809"/>
      <c r="Y34" s="3277"/>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277"/>
      <c r="Q35" s="775">
        <f t="shared" si="11"/>
        <v>111</v>
      </c>
      <c r="R35" s="776" t="s">
        <v>17</v>
      </c>
      <c r="S35" s="777">
        <f t="shared" si="12"/>
        <v>100</v>
      </c>
      <c r="T35" s="776" t="s">
        <v>17</v>
      </c>
      <c r="U35" s="777">
        <f t="shared" si="13"/>
        <v>100</v>
      </c>
      <c r="V35" s="776" t="s">
        <v>17</v>
      </c>
      <c r="W35" s="777">
        <f t="shared" si="14"/>
        <v>100</v>
      </c>
      <c r="X35" s="778"/>
      <c r="Y35" s="3277"/>
      <c r="Z35" s="779">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277"/>
      <c r="Q36" s="1806">
        <f t="shared" si="11"/>
        <v>111</v>
      </c>
      <c r="R36" s="773" t="s">
        <v>17</v>
      </c>
      <c r="S36" s="774">
        <f t="shared" si="12"/>
        <v>100</v>
      </c>
      <c r="T36" s="773" t="s">
        <v>17</v>
      </c>
      <c r="U36" s="774">
        <f t="shared" si="13"/>
        <v>100</v>
      </c>
      <c r="V36" s="773" t="s">
        <v>17</v>
      </c>
      <c r="W36" s="774">
        <f t="shared" si="14"/>
        <v>100</v>
      </c>
      <c r="X36" s="1809"/>
      <c r="Y36" s="3277"/>
      <c r="Z36" s="1810">
        <f t="shared" si="15"/>
        <v>111</v>
      </c>
      <c r="AA36" s="1807">
        <f t="shared" si="3"/>
        <v>1</v>
      </c>
      <c r="AB36" s="1807">
        <f t="shared" si="4"/>
        <v>1</v>
      </c>
      <c r="AC36" s="1807">
        <f t="shared" si="5"/>
        <v>1</v>
      </c>
    </row>
    <row r="37" spans="1:29" ht="15">
      <c r="A37" s="478" t="s">
        <v>2719</v>
      </c>
      <c r="B37" s="2688" t="s">
        <v>2720</v>
      </c>
      <c r="C37" s="1403" t="s">
        <v>1</v>
      </c>
      <c r="D37" s="1404"/>
      <c r="E37" s="1405"/>
      <c r="F37" s="1406"/>
      <c r="G37" s="1407"/>
      <c r="H37" s="1408"/>
      <c r="I37" s="1405"/>
      <c r="J37" s="1408"/>
      <c r="K37" s="618"/>
      <c r="L37" s="1139"/>
      <c r="M37" s="1140"/>
      <c r="N37" s="1127"/>
      <c r="O37" s="1140"/>
      <c r="P37" s="3279" t="str">
        <f>A37</f>
        <v>成交单价</v>
      </c>
      <c r="Q37" s="3279"/>
      <c r="R37" s="3280">
        <f>E37</f>
        <v>0</v>
      </c>
      <c r="S37" s="3280"/>
      <c r="T37" s="3280">
        <f>G37</f>
        <v>0</v>
      </c>
      <c r="U37" s="3280"/>
      <c r="V37" s="3280">
        <f>I37</f>
        <v>0</v>
      </c>
      <c r="W37" s="3280"/>
      <c r="X37" s="758"/>
      <c r="Y37" s="780"/>
      <c r="Z37" s="758"/>
      <c r="AA37" s="758"/>
      <c r="AB37" s="758"/>
      <c r="AC37" s="758"/>
    </row>
    <row r="38" spans="1:29" ht="15.75" thickBot="1">
      <c r="A38" s="485" t="s">
        <v>2721</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279" t="str">
        <f>A38</f>
        <v>比较价值（元/平方米）</v>
      </c>
      <c r="Q38" s="3279"/>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8"/>
      <c r="Y38" s="758"/>
      <c r="Z38" s="758"/>
      <c r="AA38" s="758"/>
      <c r="AB38" s="758"/>
      <c r="AC38" s="758"/>
    </row>
    <row r="39" spans="1:29" ht="15.75" thickBot="1">
      <c r="A39" s="491" t="s">
        <v>2722</v>
      </c>
      <c r="B39" s="492"/>
      <c r="C39" s="1413" t="e">
        <f>R39</f>
        <v>#DIV/0!</v>
      </c>
      <c r="D39" s="1413"/>
      <c r="E39" s="1413"/>
      <c r="F39" s="1413"/>
      <c r="G39" s="1413"/>
      <c r="H39" s="1413"/>
      <c r="I39" s="1413"/>
      <c r="J39" s="1413"/>
      <c r="K39" s="620"/>
      <c r="L39" s="1139"/>
      <c r="M39" s="1140"/>
      <c r="N39" s="1140"/>
      <c r="O39" s="1140"/>
      <c r="P39" s="3292" t="str">
        <f>A39</f>
        <v>估价对象XX用房的比较价值（楼面单价，元/平方米）</v>
      </c>
      <c r="Q39" s="3293"/>
      <c r="R39" s="3294" t="e">
        <f>IF(F1="售价",ROUND(AVERAGE(R38:V38),0),ROUND(AVERAGE(R38:V38),1))</f>
        <v>#DIV/0!</v>
      </c>
      <c r="S39" s="3294"/>
      <c r="T39" s="3294"/>
      <c r="U39" s="3294"/>
      <c r="V39" s="3294"/>
      <c r="W39" s="3294"/>
      <c r="X39" s="758"/>
      <c r="Y39" s="758"/>
      <c r="Z39" s="758"/>
      <c r="AA39" s="758"/>
      <c r="AB39" s="758"/>
      <c r="AC39" s="758"/>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2726</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2727</v>
      </c>
      <c r="B48" s="505"/>
      <c r="C48" s="1570" t="str">
        <f>YEAR(C7)&amp;"-"&amp;MONTH(C7)</f>
        <v>2018-3</v>
      </c>
      <c r="D48" s="1571">
        <f>EDATE(C48,-1)</f>
        <v>43132</v>
      </c>
      <c r="E48" s="1571">
        <f t="shared" ref="E48:O48" si="16">EDATE(D48,-1)</f>
        <v>43101</v>
      </c>
      <c r="F48" s="1571">
        <f t="shared" si="16"/>
        <v>43070</v>
      </c>
      <c r="G48" s="1571">
        <f t="shared" si="16"/>
        <v>43040</v>
      </c>
      <c r="H48" s="1571">
        <f t="shared" si="16"/>
        <v>43009</v>
      </c>
      <c r="I48" s="1571">
        <f t="shared" si="16"/>
        <v>42979</v>
      </c>
      <c r="J48" s="1571">
        <f t="shared" si="16"/>
        <v>42948</v>
      </c>
      <c r="K48" s="1571">
        <f t="shared" si="16"/>
        <v>42917</v>
      </c>
      <c r="L48" s="1571">
        <f t="shared" si="16"/>
        <v>42887</v>
      </c>
      <c r="M48" s="1571">
        <f t="shared" si="16"/>
        <v>42856</v>
      </c>
      <c r="N48" s="1571">
        <f t="shared" si="16"/>
        <v>42826</v>
      </c>
      <c r="O48" s="1571">
        <f t="shared" si="16"/>
        <v>42795</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2584</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2549</v>
      </c>
      <c r="B51" s="509"/>
      <c r="C51" s="521" t="s">
        <v>2651</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2587</v>
      </c>
      <c r="B53" s="527" t="s">
        <v>2553</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2602</v>
      </c>
      <c r="C65" s="577" t="s">
        <v>2596</v>
      </c>
      <c r="D65" s="577" t="s">
        <v>2597</v>
      </c>
      <c r="E65" s="577" t="s">
        <v>2598</v>
      </c>
      <c r="F65" s="577" t="s">
        <v>2599</v>
      </c>
      <c r="G65" s="577" t="s">
        <v>2600</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2688</v>
      </c>
      <c r="C67" s="659" t="s">
        <v>2674</v>
      </c>
      <c r="D67" s="659" t="s">
        <v>2675</v>
      </c>
      <c r="E67" s="659" t="s">
        <v>2676</v>
      </c>
      <c r="F67" s="659" t="s">
        <v>2677</v>
      </c>
      <c r="G67" s="659" t="s">
        <v>2678</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2608</v>
      </c>
      <c r="C69" s="577" t="s">
        <v>2596</v>
      </c>
      <c r="D69" s="577" t="s">
        <v>2597</v>
      </c>
      <c r="E69" s="577" t="s">
        <v>2598</v>
      </c>
      <c r="F69" s="577" t="s">
        <v>2599</v>
      </c>
      <c r="G69" s="577" t="s">
        <v>2600</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2728</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2562</v>
      </c>
      <c r="B79" s="527" t="s">
        <v>2729</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2730</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2615</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2732</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2734</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2735</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2706</v>
      </c>
      <c r="B1" s="1615"/>
      <c r="C1" s="1616" t="s">
        <v>2529</v>
      </c>
      <c r="D1" s="1617"/>
      <c r="E1" s="1626"/>
      <c r="F1" s="2577"/>
      <c r="G1" s="1627" t="s">
        <v>2642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2326</v>
      </c>
      <c r="B2" s="1414" t="e">
        <f ca="1">IF(C2="——",ROUND(C37*D3/10000,0),ROUND(C37*D3/10000,0)-D2)</f>
        <v>#DIV/0!</v>
      </c>
      <c r="C2" s="2579"/>
      <c r="D2" s="1120" t="e">
        <f ca="1">SUMIF(INDIRECT("'"&amp;F2&amp;"'"&amp;"!A:A"),"承租人权益价值",INDIRECT("'"&amp;F2&amp;"'"&amp;"!c:c"))</f>
        <v>#REF!</v>
      </c>
      <c r="E2" s="2580" t="s">
        <v>2327</v>
      </c>
      <c r="F2" s="2581"/>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 ca="1">IF(C2="——",C37,ROUND(B2*10000/D3,0))</f>
        <v>#DIV/0!</v>
      </c>
      <c r="C3" s="399" t="s">
        <v>2643</v>
      </c>
      <c r="D3" s="398">
        <f>SUMIF('数据-汇总表'!$C19:$C33,D1,'数据-汇总表'!$E19:$E33)</f>
        <v>0</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33" t="s">
        <v>2647</v>
      </c>
      <c r="AC4" s="3284" t="s">
        <v>2648</v>
      </c>
    </row>
    <row r="5" spans="1:29" ht="15">
      <c r="A5" s="403"/>
      <c r="B5" s="404"/>
      <c r="C5" s="3243" t="s">
        <v>2541</v>
      </c>
      <c r="D5" s="3244"/>
      <c r="E5" s="3287" t="s">
        <v>2542</v>
      </c>
      <c r="F5" s="3242"/>
      <c r="G5" s="3243" t="s">
        <v>2543</v>
      </c>
      <c r="H5" s="3244"/>
      <c r="I5" s="3243" t="s">
        <v>2544</v>
      </c>
      <c r="J5" s="3244"/>
      <c r="K5" s="609"/>
      <c r="L5" s="1126"/>
      <c r="M5" s="1127"/>
      <c r="N5" s="1127"/>
      <c r="O5" s="1127"/>
      <c r="P5" s="3290"/>
      <c r="Q5" s="3261"/>
      <c r="R5" s="3239"/>
      <c r="S5" s="3240"/>
      <c r="T5" s="3239"/>
      <c r="U5" s="3240"/>
      <c r="V5" s="3267"/>
      <c r="W5" s="3267"/>
      <c r="X5" s="1809"/>
      <c r="Y5" s="3239"/>
      <c r="Z5" s="3240"/>
      <c r="AA5" s="3233"/>
      <c r="AB5" s="3233"/>
      <c r="AC5" s="3233"/>
    </row>
    <row r="6" spans="1:29" ht="15.75" thickBot="1">
      <c r="A6" s="405"/>
      <c r="B6" s="406"/>
      <c r="C6" s="3245" t="s">
        <v>2545</v>
      </c>
      <c r="D6" s="3246"/>
      <c r="E6" s="3248" t="s">
        <v>2545</v>
      </c>
      <c r="F6" s="3249"/>
      <c r="G6" s="3245" t="s">
        <v>2545</v>
      </c>
      <c r="H6" s="3246"/>
      <c r="I6" s="3245" t="s">
        <v>2545</v>
      </c>
      <c r="J6" s="3246"/>
      <c r="K6" s="609" t="s">
        <v>2546</v>
      </c>
      <c r="L6" s="1126"/>
      <c r="M6" s="1127"/>
      <c r="N6" s="1127"/>
      <c r="O6" s="1127"/>
      <c r="P6" s="3291"/>
      <c r="Q6" s="3263"/>
      <c r="R6" s="3239"/>
      <c r="S6" s="3240"/>
      <c r="T6" s="3264"/>
      <c r="U6" s="3265"/>
      <c r="V6" s="3267"/>
      <c r="W6" s="3267"/>
      <c r="X6" s="1809"/>
      <c r="Y6" s="3264"/>
      <c r="Z6" s="3265"/>
      <c r="AA6" s="3234"/>
      <c r="AB6" s="3234"/>
      <c r="AC6" s="3234"/>
    </row>
    <row r="7" spans="1:29" s="116" customFormat="1" ht="15.75" thickBot="1">
      <c r="A7" s="407" t="s">
        <v>2547</v>
      </c>
      <c r="B7" s="408"/>
      <c r="C7" s="409">
        <f>'数据-取费表'!B2</f>
        <v>43182</v>
      </c>
      <c r="D7" s="410">
        <v>100</v>
      </c>
      <c r="E7" s="411"/>
      <c r="F7" s="412">
        <f>SUMIF(46:46,YEAR(E7)&amp;"-"&amp;MONTH(E7),47:47)</f>
        <v>0</v>
      </c>
      <c r="G7" s="2689"/>
      <c r="H7" s="410">
        <f>SUMIF(46:46,YEAR(G7)&amp;"-"&amp;MONTH(G7),47:47)</f>
        <v>0</v>
      </c>
      <c r="I7" s="411"/>
      <c r="J7" s="410">
        <f>SUMIF(46:46,YEAR(I7)&amp;"-"&amp;MONTH(I7),47:47)</f>
        <v>0</v>
      </c>
      <c r="K7" s="610"/>
      <c r="L7" s="1128"/>
      <c r="M7" s="1129"/>
      <c r="N7" s="1129"/>
      <c r="O7" s="1129"/>
      <c r="P7" s="3235" t="s">
        <v>2548</v>
      </c>
      <c r="Q7" s="3269"/>
      <c r="R7" s="769" t="s">
        <v>17</v>
      </c>
      <c r="S7" s="770">
        <f t="shared" ref="S7:S14" si="0">F7</f>
        <v>0</v>
      </c>
      <c r="T7" s="769" t="s">
        <v>17</v>
      </c>
      <c r="U7" s="770">
        <f t="shared" ref="U7:U14" si="1">H7</f>
        <v>0</v>
      </c>
      <c r="V7" s="769" t="s">
        <v>17</v>
      </c>
      <c r="W7" s="770">
        <f t="shared" ref="W7:W14" si="2">J7</f>
        <v>0</v>
      </c>
      <c r="X7" s="771"/>
      <c r="Y7" s="3235" t="s">
        <v>2548</v>
      </c>
      <c r="Z7" s="3236"/>
      <c r="AA7" s="772" t="e">
        <f>D7/F7</f>
        <v>#DIV/0!</v>
      </c>
      <c r="AB7" s="772" t="e">
        <f>D7/H7</f>
        <v>#DIV/0!</v>
      </c>
      <c r="AC7" s="772" t="e">
        <f>D7/J7</f>
        <v>#DIV/0!</v>
      </c>
    </row>
    <row r="8" spans="1:29" s="116"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35" t="s">
        <v>2551</v>
      </c>
      <c r="Q8" s="3236"/>
      <c r="R8" s="769" t="s">
        <v>17</v>
      </c>
      <c r="S8" s="770">
        <f t="shared" si="0"/>
        <v>0</v>
      </c>
      <c r="T8" s="769" t="s">
        <v>17</v>
      </c>
      <c r="U8" s="770">
        <f t="shared" si="1"/>
        <v>0</v>
      </c>
      <c r="V8" s="769" t="s">
        <v>17</v>
      </c>
      <c r="W8" s="770">
        <f t="shared" si="2"/>
        <v>0</v>
      </c>
      <c r="X8" s="771"/>
      <c r="Y8" s="3235" t="s">
        <v>2551</v>
      </c>
      <c r="Z8" s="3236"/>
      <c r="AA8" s="772" t="e">
        <f t="shared" ref="AA8:AA34" si="3">D8/F8</f>
        <v>#DIV/0!</v>
      </c>
      <c r="AB8" s="772" t="e">
        <f t="shared" ref="AB8:AB34" si="4">D8/H8</f>
        <v>#DIV/0!</v>
      </c>
      <c r="AC8" s="772" t="e">
        <f t="shared" ref="AC8:AC34" si="5">D8/J8</f>
        <v>#DIV/0!</v>
      </c>
    </row>
    <row r="9" spans="1:29" s="116" customFormat="1">
      <c r="A9" s="414" t="s">
        <v>2552</v>
      </c>
      <c r="B9" s="70" t="s">
        <v>2553</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279" t="s">
        <v>2554</v>
      </c>
      <c r="Q9" s="1791" t="str">
        <f t="shared" ref="Q9:Q14" si="6">B9</f>
        <v>用途</v>
      </c>
      <c r="R9" s="769" t="s">
        <v>17</v>
      </c>
      <c r="S9" s="770">
        <f t="shared" si="0"/>
        <v>100</v>
      </c>
      <c r="T9" s="769" t="s">
        <v>17</v>
      </c>
      <c r="U9" s="770">
        <f t="shared" si="1"/>
        <v>100</v>
      </c>
      <c r="V9" s="769" t="s">
        <v>17</v>
      </c>
      <c r="W9" s="770">
        <f t="shared" si="2"/>
        <v>100</v>
      </c>
      <c r="X9" s="771"/>
      <c r="Y9" s="3104" t="s">
        <v>2555</v>
      </c>
      <c r="Z9" s="54"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279"/>
      <c r="Q10" s="1791" t="str">
        <f t="shared" si="6"/>
        <v>土地使用年限（年）</v>
      </c>
      <c r="R10" s="769" t="s">
        <v>17</v>
      </c>
      <c r="S10" s="770">
        <f t="shared" si="0"/>
        <v>100</v>
      </c>
      <c r="T10" s="769" t="s">
        <v>17</v>
      </c>
      <c r="U10" s="770">
        <f t="shared" si="1"/>
        <v>100</v>
      </c>
      <c r="V10" s="769" t="s">
        <v>17</v>
      </c>
      <c r="W10" s="770">
        <f t="shared" si="2"/>
        <v>100</v>
      </c>
      <c r="X10" s="771"/>
      <c r="Y10" s="3104"/>
      <c r="Z10" s="54"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279"/>
      <c r="Q11" s="1791">
        <f t="shared" si="6"/>
        <v>111</v>
      </c>
      <c r="R11" s="769" t="s">
        <v>17</v>
      </c>
      <c r="S11" s="770">
        <f t="shared" si="0"/>
        <v>100</v>
      </c>
      <c r="T11" s="769" t="s">
        <v>17</v>
      </c>
      <c r="U11" s="770">
        <f t="shared" si="1"/>
        <v>100</v>
      </c>
      <c r="V11" s="769" t="s">
        <v>17</v>
      </c>
      <c r="W11" s="770">
        <f t="shared" si="2"/>
        <v>100</v>
      </c>
      <c r="X11" s="771"/>
      <c r="Y11" s="3104"/>
      <c r="Z11" s="54">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279"/>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772">
        <f>D12/J12</f>
        <v>1</v>
      </c>
    </row>
    <row r="13" spans="1:29" ht="15.75" thickBot="1">
      <c r="A13" s="427"/>
      <c r="B13" s="2593">
        <v>111</v>
      </c>
      <c r="C13" s="433"/>
      <c r="D13" s="434">
        <v>100</v>
      </c>
      <c r="E13" s="468"/>
      <c r="F13" s="424">
        <f>SUMIF(59:59,E13,60:60)-SUMIF(59:59,C13,60:60)+100</f>
        <v>100</v>
      </c>
      <c r="G13" s="2690"/>
      <c r="H13" s="437">
        <f>SUMIF(59:59,G13,60:60)-SUMIF(59:59,C13,60:60)+100</f>
        <v>100</v>
      </c>
      <c r="I13" s="468"/>
      <c r="J13" s="434">
        <f>SUMIF(59:59,I13,60:60)-SUMIF(59:59,C13,60:60)+100</f>
        <v>100</v>
      </c>
      <c r="K13" s="612"/>
      <c r="L13" s="1136"/>
      <c r="M13" s="1127"/>
      <c r="N13" s="1127"/>
      <c r="O13" s="1135"/>
      <c r="P13" s="3279"/>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772">
        <f t="shared" si="5"/>
        <v>1</v>
      </c>
    </row>
    <row r="14" spans="1:29" ht="242.25">
      <c r="A14" s="439" t="s">
        <v>2558</v>
      </c>
      <c r="B14" s="68" t="s">
        <v>2708</v>
      </c>
      <c r="C14" s="2686" t="str">
        <f>IF(B1="工业",估价对象房地状况!G4,估价对象房地状况!C6)</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72" t="s">
        <v>2559</v>
      </c>
      <c r="Q14" s="1806" t="str">
        <f t="shared" si="6"/>
        <v>交通便捷度</v>
      </c>
      <c r="R14" s="773" t="s">
        <v>17</v>
      </c>
      <c r="S14" s="774">
        <f t="shared" si="0"/>
        <v>100</v>
      </c>
      <c r="T14" s="773" t="s">
        <v>17</v>
      </c>
      <c r="U14" s="774">
        <f t="shared" si="1"/>
        <v>100</v>
      </c>
      <c r="V14" s="773" t="s">
        <v>17</v>
      </c>
      <c r="W14" s="774">
        <f t="shared" si="2"/>
        <v>100</v>
      </c>
      <c r="X14" s="1809"/>
      <c r="Y14" s="3272" t="s">
        <v>2559</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273"/>
      <c r="Q15" s="1806"/>
      <c r="R15" s="773"/>
      <c r="S15" s="774"/>
      <c r="T15" s="773"/>
      <c r="U15" s="774"/>
      <c r="V15" s="773"/>
      <c r="W15" s="774"/>
      <c r="X15" s="1809"/>
      <c r="Y15" s="3273"/>
      <c r="Z15" s="1810"/>
      <c r="AA15" s="1807">
        <v>1</v>
      </c>
      <c r="AB15" s="1807">
        <v>1</v>
      </c>
      <c r="AC15" s="1807">
        <v>1</v>
      </c>
    </row>
    <row r="16" spans="1:29" ht="42.75">
      <c r="A16" s="427"/>
      <c r="B16" s="450" t="s">
        <v>2687</v>
      </c>
      <c r="C16" s="2600" t="str">
        <f>IF(B1="工业",估价对象房地状况!G5,估价对象房地状况!C7)</f>
        <v>估价对象所在区域公共配套设施齐备度一般</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73"/>
      <c r="Q16" s="1806" t="str">
        <f>B16</f>
        <v>公共配套设施</v>
      </c>
      <c r="R16" s="773" t="s">
        <v>17</v>
      </c>
      <c r="S16" s="774">
        <f>F16</f>
        <v>100</v>
      </c>
      <c r="T16" s="773" t="s">
        <v>17</v>
      </c>
      <c r="U16" s="774">
        <f>H16</f>
        <v>100</v>
      </c>
      <c r="V16" s="773" t="s">
        <v>17</v>
      </c>
      <c r="W16" s="774">
        <f>J16</f>
        <v>100</v>
      </c>
      <c r="X16" s="1809"/>
      <c r="Y16" s="3273"/>
      <c r="Z16" s="1810" t="str">
        <f>Q16</f>
        <v>公共配套设施</v>
      </c>
      <c r="AA16" s="1807">
        <f t="shared" si="3"/>
        <v>1</v>
      </c>
      <c r="AB16" s="1807">
        <f t="shared" si="4"/>
        <v>1</v>
      </c>
      <c r="AC16" s="1807">
        <f t="shared" si="5"/>
        <v>1</v>
      </c>
    </row>
    <row r="17" spans="1:29" ht="15">
      <c r="A17" s="427"/>
      <c r="B17" s="455"/>
      <c r="C17" s="2601"/>
      <c r="D17" s="447"/>
      <c r="E17" s="446"/>
      <c r="F17" s="448"/>
      <c r="G17" s="446"/>
      <c r="H17" s="447"/>
      <c r="I17" s="446"/>
      <c r="J17" s="447"/>
      <c r="K17" s="614"/>
      <c r="L17" s="1136"/>
      <c r="M17" s="1127"/>
      <c r="N17" s="1127"/>
      <c r="O17" s="1135"/>
      <c r="P17" s="3273"/>
      <c r="Q17" s="1806"/>
      <c r="R17" s="773"/>
      <c r="S17" s="774"/>
      <c r="T17" s="773"/>
      <c r="U17" s="774"/>
      <c r="V17" s="773"/>
      <c r="W17" s="774"/>
      <c r="X17" s="1809"/>
      <c r="Y17" s="3273"/>
      <c r="Z17" s="1810"/>
      <c r="AA17" s="1807">
        <v>1</v>
      </c>
      <c r="AB17" s="1807">
        <v>1</v>
      </c>
      <c r="AC17" s="1807">
        <v>1</v>
      </c>
    </row>
    <row r="18" spans="1:29" ht="42.75">
      <c r="A18" s="427"/>
      <c r="B18" s="1380" t="s">
        <v>2688</v>
      </c>
      <c r="C18" s="2600" t="str">
        <f>IF(B1="工业",估价对象房地状况!G6,估价对象房地状况!C8)</f>
        <v>估价对象所在区域基础设施水平七通</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73"/>
      <c r="Q18" s="1806" t="str">
        <f>B18</f>
        <v>基础设施水平</v>
      </c>
      <c r="R18" s="773" t="s">
        <v>17</v>
      </c>
      <c r="S18" s="774">
        <f>F18</f>
        <v>100</v>
      </c>
      <c r="T18" s="773" t="s">
        <v>17</v>
      </c>
      <c r="U18" s="774">
        <f>H18</f>
        <v>100</v>
      </c>
      <c r="V18" s="773" t="s">
        <v>17</v>
      </c>
      <c r="W18" s="774">
        <f>J18</f>
        <v>100</v>
      </c>
      <c r="X18" s="1809"/>
      <c r="Y18" s="3273"/>
      <c r="Z18" s="1810" t="str">
        <f>Q18</f>
        <v>基础设施水平</v>
      </c>
      <c r="AA18" s="1807">
        <f t="shared" ref="AA18" si="8">D18/F18</f>
        <v>1</v>
      </c>
      <c r="AB18" s="1807">
        <f t="shared" ref="AB18" si="9">D18/H18</f>
        <v>1</v>
      </c>
      <c r="AC18" s="1807">
        <f t="shared" ref="AC18" si="10">D18/J18</f>
        <v>1</v>
      </c>
    </row>
    <row r="19" spans="1:29" ht="15">
      <c r="A19" s="427"/>
      <c r="B19" s="1380"/>
      <c r="C19" s="2601"/>
      <c r="D19" s="449"/>
      <c r="E19" s="2601"/>
      <c r="F19" s="452"/>
      <c r="G19" s="2601"/>
      <c r="H19" s="447"/>
      <c r="I19" s="446"/>
      <c r="J19" s="447"/>
      <c r="K19" s="1379"/>
      <c r="L19" s="1136"/>
      <c r="M19" s="1127"/>
      <c r="N19" s="1127"/>
      <c r="O19" s="1135"/>
      <c r="P19" s="3273"/>
      <c r="Q19" s="1806"/>
      <c r="R19" s="773"/>
      <c r="S19" s="774"/>
      <c r="T19" s="773"/>
      <c r="U19" s="774"/>
      <c r="V19" s="773"/>
      <c r="W19" s="774"/>
      <c r="X19" s="1809"/>
      <c r="Y19" s="3273"/>
      <c r="Z19" s="1810"/>
      <c r="AA19" s="1807">
        <v>1</v>
      </c>
      <c r="AB19" s="1807">
        <v>1</v>
      </c>
      <c r="AC19" s="1807">
        <v>1</v>
      </c>
    </row>
    <row r="20" spans="1:29" ht="142.5">
      <c r="A20" s="427"/>
      <c r="B20" s="450" t="s">
        <v>2709</v>
      </c>
      <c r="C20" s="2600" t="str">
        <f>IF(B1="工业",估价对象房地状况!G7,估价对象房地状况!C9)</f>
        <v>估价对象所处区域土地利用类型多为居住用地；估价对象周边有念坛公园，绿化率较好，周边无高等教育学校，无大型污染源，综合考虑自然及人文环境一般。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73"/>
      <c r="Q20" s="1806" t="str">
        <f>B20</f>
        <v>自然及人文环境</v>
      </c>
      <c r="R20" s="773" t="s">
        <v>17</v>
      </c>
      <c r="S20" s="774">
        <f>F20</f>
        <v>100</v>
      </c>
      <c r="T20" s="773" t="s">
        <v>17</v>
      </c>
      <c r="U20" s="774">
        <f>H20</f>
        <v>100</v>
      </c>
      <c r="V20" s="773" t="s">
        <v>17</v>
      </c>
      <c r="W20" s="774">
        <f>J20</f>
        <v>100</v>
      </c>
      <c r="X20" s="1809"/>
      <c r="Y20" s="3273"/>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273"/>
      <c r="Q21" s="1806"/>
      <c r="R21" s="773"/>
      <c r="S21" s="774"/>
      <c r="T21" s="773"/>
      <c r="U21" s="774"/>
      <c r="V21" s="773"/>
      <c r="W21" s="774"/>
      <c r="X21" s="1809"/>
      <c r="Y21" s="3273"/>
      <c r="Z21" s="1810"/>
      <c r="AA21" s="1807">
        <v>1</v>
      </c>
      <c r="AB21" s="1807">
        <v>1</v>
      </c>
      <c r="AC21" s="1807">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73"/>
      <c r="Q22" s="1806" t="str">
        <f>B22</f>
        <v>楼层</v>
      </c>
      <c r="R22" s="773" t="s">
        <v>17</v>
      </c>
      <c r="S22" s="774">
        <f>F22</f>
        <v>100</v>
      </c>
      <c r="T22" s="773" t="s">
        <v>17</v>
      </c>
      <c r="U22" s="774">
        <f>H22</f>
        <v>100</v>
      </c>
      <c r="V22" s="773" t="s">
        <v>17</v>
      </c>
      <c r="W22" s="774">
        <f>J22</f>
        <v>100</v>
      </c>
      <c r="X22" s="1809"/>
      <c r="Y22" s="3273"/>
      <c r="Z22" s="1810" t="str">
        <f>Q22</f>
        <v>楼层</v>
      </c>
      <c r="AA22" s="1807">
        <f t="shared" si="3"/>
        <v>1</v>
      </c>
      <c r="AB22" s="1807">
        <f t="shared" si="4"/>
        <v>1</v>
      </c>
      <c r="AC22" s="1807">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73"/>
      <c r="Q23" s="1806">
        <f>B23</f>
        <v>111</v>
      </c>
      <c r="R23" s="773" t="s">
        <v>17</v>
      </c>
      <c r="S23" s="774">
        <f>F23</f>
        <v>100</v>
      </c>
      <c r="T23" s="773" t="s">
        <v>17</v>
      </c>
      <c r="U23" s="774">
        <f>H23</f>
        <v>100</v>
      </c>
      <c r="V23" s="773" t="s">
        <v>17</v>
      </c>
      <c r="W23" s="774">
        <f>J23</f>
        <v>100</v>
      </c>
      <c r="X23" s="1809"/>
      <c r="Y23" s="3273"/>
      <c r="Z23" s="1810">
        <f>Q23</f>
        <v>111</v>
      </c>
      <c r="AA23" s="1807">
        <f t="shared" si="3"/>
        <v>1</v>
      </c>
      <c r="AB23" s="1807">
        <f t="shared" si="4"/>
        <v>1</v>
      </c>
      <c r="AC23" s="1807">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73"/>
      <c r="Q24" s="1806">
        <f t="shared" ref="Q24:Q34" si="11">B24</f>
        <v>111</v>
      </c>
      <c r="R24" s="773" t="s">
        <v>17</v>
      </c>
      <c r="S24" s="774">
        <f>F24</f>
        <v>100</v>
      </c>
      <c r="T24" s="773" t="s">
        <v>17</v>
      </c>
      <c r="U24" s="774">
        <f>H24</f>
        <v>100</v>
      </c>
      <c r="V24" s="773" t="s">
        <v>17</v>
      </c>
      <c r="W24" s="774">
        <f>J24</f>
        <v>100</v>
      </c>
      <c r="X24" s="1809"/>
      <c r="Y24" s="3273"/>
      <c r="Z24" s="1810">
        <f>Q24</f>
        <v>111</v>
      </c>
      <c r="AA24" s="1807">
        <f t="shared" si="3"/>
        <v>1</v>
      </c>
      <c r="AB24" s="1807">
        <f t="shared" si="4"/>
        <v>1</v>
      </c>
      <c r="AC24" s="1807">
        <f t="shared" si="5"/>
        <v>1</v>
      </c>
    </row>
    <row r="25" spans="1:29" s="116" customFormat="1" ht="15.75" thickBot="1">
      <c r="A25" s="430"/>
      <c r="B25" s="2593">
        <v>111</v>
      </c>
      <c r="C25" s="2691"/>
      <c r="D25" s="664">
        <v>100</v>
      </c>
      <c r="E25" s="2691"/>
      <c r="F25" s="665">
        <f>SUMIF(75:75,E25,76:76)-SUMIF(75:75,C25,76:76)+100</f>
        <v>100</v>
      </c>
      <c r="G25" s="2691"/>
      <c r="H25" s="664">
        <f>SUMIF(75:75,G25,76:76)-SUMIF(75:75,C25,76:76)+100</f>
        <v>100</v>
      </c>
      <c r="I25" s="2691"/>
      <c r="J25" s="664">
        <f>SUMIF(75:75,I25,76:76)-SUMIF(75:75,C25,76:76)+100</f>
        <v>100</v>
      </c>
      <c r="K25" s="612"/>
      <c r="L25" s="1128"/>
      <c r="M25" s="1129"/>
      <c r="N25" s="1129"/>
      <c r="O25" s="1130"/>
      <c r="P25" s="3273"/>
      <c r="Q25" s="1791">
        <f t="shared" si="11"/>
        <v>111</v>
      </c>
      <c r="R25" s="769" t="s">
        <v>17</v>
      </c>
      <c r="S25" s="770">
        <f>F25</f>
        <v>100</v>
      </c>
      <c r="T25" s="769" t="s">
        <v>17</v>
      </c>
      <c r="U25" s="770">
        <f>H25</f>
        <v>100</v>
      </c>
      <c r="V25" s="769" t="s">
        <v>17</v>
      </c>
      <c r="W25" s="770">
        <f>J25</f>
        <v>100</v>
      </c>
      <c r="X25" s="771"/>
      <c r="Y25" s="3273"/>
      <c r="Z25" s="54">
        <f>Q25</f>
        <v>111</v>
      </c>
      <c r="AA25" s="1807">
        <f>D25/F25</f>
        <v>1</v>
      </c>
      <c r="AB25" s="1807">
        <f>D25/H25</f>
        <v>1</v>
      </c>
      <c r="AC25" s="1807">
        <f>D25/J25</f>
        <v>1</v>
      </c>
    </row>
    <row r="26" spans="1:29" ht="15">
      <c r="A26" s="465" t="s">
        <v>2562</v>
      </c>
      <c r="B26" s="70" t="s">
        <v>2713</v>
      </c>
      <c r="C26" s="2672"/>
      <c r="D26" s="466">
        <v>100</v>
      </c>
      <c r="E26" s="2672"/>
      <c r="F26" s="666">
        <f>SUMIF(77:77,E26,78:78)-SUMIF(77:77,C26,78:78)+100</f>
        <v>100</v>
      </c>
      <c r="G26" s="2672"/>
      <c r="H26" s="466">
        <f>SUMIF(77:77,G26,78:78)-SUMIF(77:77,C26,78:78)+100</f>
        <v>100</v>
      </c>
      <c r="I26" s="2672"/>
      <c r="J26" s="466">
        <f>SUMIF(77:77,I26,78:78)-SUMIF(77:77,C26,78:78)+100</f>
        <v>100</v>
      </c>
      <c r="K26" s="611"/>
      <c r="L26" s="1136"/>
      <c r="M26" s="1127"/>
      <c r="N26" s="1127"/>
      <c r="O26" s="1135"/>
      <c r="P26" s="3317" t="s">
        <v>2564</v>
      </c>
      <c r="Q26" s="1806" t="str">
        <f t="shared" si="11"/>
        <v>公共部分装修</v>
      </c>
      <c r="R26" s="773" t="s">
        <v>17</v>
      </c>
      <c r="S26" s="774">
        <f t="shared" ref="S26:S34" si="12">F26</f>
        <v>100</v>
      </c>
      <c r="T26" s="773" t="s">
        <v>17</v>
      </c>
      <c r="U26" s="774">
        <f t="shared" ref="U26:U34" si="13">H26</f>
        <v>100</v>
      </c>
      <c r="V26" s="773" t="s">
        <v>17</v>
      </c>
      <c r="W26" s="774">
        <f t="shared" ref="W26:W34" si="14">J26</f>
        <v>100</v>
      </c>
      <c r="X26" s="1809"/>
      <c r="Y26" s="3277" t="s">
        <v>2564</v>
      </c>
      <c r="Z26" s="1810" t="str">
        <f t="shared" ref="Z26:Z34" si="15">Q26</f>
        <v>公共部分装修</v>
      </c>
      <c r="AA26" s="1807">
        <f t="shared" si="3"/>
        <v>1</v>
      </c>
      <c r="AB26" s="1807">
        <f t="shared" si="4"/>
        <v>1</v>
      </c>
      <c r="AC26" s="1807">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277"/>
      <c r="Q27" s="775" t="str">
        <f t="shared" si="11"/>
        <v>成新率</v>
      </c>
      <c r="R27" s="776" t="s">
        <v>17</v>
      </c>
      <c r="S27" s="777" t="e">
        <f t="shared" si="12"/>
        <v>#N/A</v>
      </c>
      <c r="T27" s="776" t="s">
        <v>17</v>
      </c>
      <c r="U27" s="777" t="e">
        <f t="shared" si="13"/>
        <v>#N/A</v>
      </c>
      <c r="V27" s="776" t="s">
        <v>17</v>
      </c>
      <c r="W27" s="777" t="e">
        <f t="shared" si="14"/>
        <v>#N/A</v>
      </c>
      <c r="X27" s="778"/>
      <c r="Y27" s="3277"/>
      <c r="Z27" s="779" t="str">
        <f t="shared" si="15"/>
        <v>成新率</v>
      </c>
      <c r="AA27" s="1807" t="e">
        <f t="shared" si="3"/>
        <v>#N/A</v>
      </c>
      <c r="AB27" s="1807" t="e">
        <f t="shared" si="4"/>
        <v>#N/A</v>
      </c>
      <c r="AC27" s="1807"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277"/>
      <c r="Q28" s="1806" t="str">
        <f t="shared" si="11"/>
        <v>物业等级</v>
      </c>
      <c r="R28" s="773" t="s">
        <v>17</v>
      </c>
      <c r="S28" s="774">
        <f t="shared" si="12"/>
        <v>100</v>
      </c>
      <c r="T28" s="773" t="s">
        <v>17</v>
      </c>
      <c r="U28" s="774">
        <f t="shared" si="13"/>
        <v>100</v>
      </c>
      <c r="V28" s="773" t="s">
        <v>17</v>
      </c>
      <c r="W28" s="774">
        <f t="shared" si="14"/>
        <v>100</v>
      </c>
      <c r="X28" s="1809"/>
      <c r="Y28" s="3277"/>
      <c r="Z28" s="1810" t="str">
        <f t="shared" si="15"/>
        <v>物业等级</v>
      </c>
      <c r="AA28" s="1807">
        <f t="shared" si="3"/>
        <v>1</v>
      </c>
      <c r="AB28" s="1807">
        <f t="shared" si="4"/>
        <v>1</v>
      </c>
      <c r="AC28" s="1807">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277"/>
      <c r="Q29" s="1806" t="str">
        <f t="shared" si="11"/>
        <v>有无电梯</v>
      </c>
      <c r="R29" s="773" t="s">
        <v>17</v>
      </c>
      <c r="S29" s="774">
        <f t="shared" si="12"/>
        <v>100</v>
      </c>
      <c r="T29" s="773" t="s">
        <v>17</v>
      </c>
      <c r="U29" s="774">
        <f t="shared" si="13"/>
        <v>100</v>
      </c>
      <c r="V29" s="773" t="s">
        <v>17</v>
      </c>
      <c r="W29" s="774">
        <f t="shared" si="14"/>
        <v>100</v>
      </c>
      <c r="X29" s="1809"/>
      <c r="Y29" s="3277"/>
      <c r="Z29" s="1810" t="str">
        <f t="shared" si="15"/>
        <v>有无电梯</v>
      </c>
      <c r="AA29" s="1807">
        <f t="shared" si="3"/>
        <v>1</v>
      </c>
      <c r="AB29" s="1807">
        <f t="shared" si="4"/>
        <v>1</v>
      </c>
      <c r="AC29" s="1807">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277"/>
      <c r="Q30" s="1806" t="str">
        <f t="shared" si="11"/>
        <v>建筑面积</v>
      </c>
      <c r="R30" s="773" t="s">
        <v>17</v>
      </c>
      <c r="S30" s="774" t="e">
        <f t="shared" si="12"/>
        <v>#N/A</v>
      </c>
      <c r="T30" s="773" t="s">
        <v>17</v>
      </c>
      <c r="U30" s="774" t="e">
        <f t="shared" si="13"/>
        <v>#N/A</v>
      </c>
      <c r="V30" s="773" t="s">
        <v>17</v>
      </c>
      <c r="W30" s="774" t="e">
        <f t="shared" si="14"/>
        <v>#N/A</v>
      </c>
      <c r="X30" s="1809"/>
      <c r="Y30" s="3277"/>
      <c r="Z30" s="1810" t="str">
        <f t="shared" si="15"/>
        <v>建筑面积</v>
      </c>
      <c r="AA30" s="1807" t="e">
        <f t="shared" si="3"/>
        <v>#N/A</v>
      </c>
      <c r="AB30" s="1807" t="e">
        <f t="shared" si="4"/>
        <v>#N/A</v>
      </c>
      <c r="AC30" s="1807" t="e">
        <f t="shared" si="5"/>
        <v>#N/A</v>
      </c>
    </row>
    <row r="31" spans="1:29" s="116"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277"/>
      <c r="Q31" s="1791" t="str">
        <f t="shared" si="11"/>
        <v>是否封闭</v>
      </c>
      <c r="R31" s="769" t="s">
        <v>17</v>
      </c>
      <c r="S31" s="770">
        <f t="shared" si="12"/>
        <v>100</v>
      </c>
      <c r="T31" s="769" t="s">
        <v>17</v>
      </c>
      <c r="U31" s="770">
        <f t="shared" si="13"/>
        <v>100</v>
      </c>
      <c r="V31" s="769" t="s">
        <v>17</v>
      </c>
      <c r="W31" s="770">
        <f t="shared" si="14"/>
        <v>100</v>
      </c>
      <c r="X31" s="771"/>
      <c r="Y31" s="3277"/>
      <c r="Z31" s="54"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277" t="s">
        <v>2564</v>
      </c>
      <c r="Q32" s="1806">
        <f t="shared" si="11"/>
        <v>111</v>
      </c>
      <c r="R32" s="773" t="s">
        <v>17</v>
      </c>
      <c r="S32" s="774">
        <f t="shared" si="12"/>
        <v>100</v>
      </c>
      <c r="T32" s="773" t="s">
        <v>17</v>
      </c>
      <c r="U32" s="774">
        <f t="shared" si="13"/>
        <v>100</v>
      </c>
      <c r="V32" s="773" t="s">
        <v>17</v>
      </c>
      <c r="W32" s="774">
        <f t="shared" si="14"/>
        <v>100</v>
      </c>
      <c r="X32" s="1809"/>
      <c r="Y32" s="3277" t="s">
        <v>2564</v>
      </c>
      <c r="Z32" s="1810">
        <f t="shared" si="15"/>
        <v>111</v>
      </c>
      <c r="AA32" s="1807">
        <f t="shared" si="3"/>
        <v>1</v>
      </c>
      <c r="AB32" s="1807">
        <f t="shared" si="4"/>
        <v>1</v>
      </c>
      <c r="AC32" s="1807">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277"/>
      <c r="Q33" s="1806">
        <f t="shared" si="11"/>
        <v>111</v>
      </c>
      <c r="R33" s="773" t="s">
        <v>17</v>
      </c>
      <c r="S33" s="774">
        <f t="shared" si="12"/>
        <v>100</v>
      </c>
      <c r="T33" s="773" t="s">
        <v>17</v>
      </c>
      <c r="U33" s="774">
        <f t="shared" si="13"/>
        <v>100</v>
      </c>
      <c r="V33" s="773" t="s">
        <v>17</v>
      </c>
      <c r="W33" s="774">
        <f t="shared" si="14"/>
        <v>100</v>
      </c>
      <c r="X33" s="1809"/>
      <c r="Y33" s="3277"/>
      <c r="Z33" s="1810">
        <f t="shared" si="15"/>
        <v>111</v>
      </c>
      <c r="AA33" s="1807">
        <f t="shared" si="3"/>
        <v>1</v>
      </c>
      <c r="AB33" s="1807">
        <f t="shared" si="4"/>
        <v>1</v>
      </c>
      <c r="AC33" s="1807">
        <f t="shared" si="5"/>
        <v>1</v>
      </c>
    </row>
    <row r="34" spans="1:29" ht="15.75" thickBot="1">
      <c r="A34" s="477"/>
      <c r="B34" s="2595">
        <v>111</v>
      </c>
      <c r="C34" s="436"/>
      <c r="D34" s="437">
        <v>100</v>
      </c>
      <c r="E34" s="2690"/>
      <c r="F34" s="438">
        <f>SUMIF(95:95,E34,96:96)-SUMIF(95:95,C34,96:96)+100</f>
        <v>100</v>
      </c>
      <c r="G34" s="2690"/>
      <c r="H34" s="437">
        <f>SUMIF(95:95,G34,96:96)-SUMIF(95:95,C34,96:96)+100</f>
        <v>100</v>
      </c>
      <c r="I34" s="2690"/>
      <c r="J34" s="437">
        <f>SUMIF(95:95,I34,96:96)-SUMIF(95:95,C34,96:96)+100</f>
        <v>100</v>
      </c>
      <c r="K34" s="612"/>
      <c r="L34" s="1136"/>
      <c r="M34" s="1127"/>
      <c r="N34" s="1127"/>
      <c r="O34" s="1135"/>
      <c r="P34" s="3277"/>
      <c r="Q34" s="1806">
        <f t="shared" si="11"/>
        <v>111</v>
      </c>
      <c r="R34" s="773" t="s">
        <v>17</v>
      </c>
      <c r="S34" s="774">
        <f t="shared" si="12"/>
        <v>100</v>
      </c>
      <c r="T34" s="773" t="s">
        <v>17</v>
      </c>
      <c r="U34" s="774">
        <f t="shared" si="13"/>
        <v>100</v>
      </c>
      <c r="V34" s="773" t="s">
        <v>17</v>
      </c>
      <c r="W34" s="774">
        <f t="shared" si="14"/>
        <v>100</v>
      </c>
      <c r="X34" s="1809"/>
      <c r="Y34" s="3277"/>
      <c r="Z34" s="1810">
        <f t="shared" si="15"/>
        <v>111</v>
      </c>
      <c r="AA34" s="1807">
        <f t="shared" si="3"/>
        <v>1</v>
      </c>
      <c r="AB34" s="1807">
        <f t="shared" si="4"/>
        <v>1</v>
      </c>
      <c r="AC34" s="1807">
        <f t="shared" si="5"/>
        <v>1</v>
      </c>
    </row>
    <row r="35" spans="1:29" ht="15">
      <c r="A35" s="478" t="s">
        <v>2576</v>
      </c>
      <c r="B35" s="479"/>
      <c r="C35" s="1403" t="s">
        <v>1</v>
      </c>
      <c r="D35" s="1404"/>
      <c r="E35" s="1405"/>
      <c r="F35" s="1406"/>
      <c r="G35" s="1407"/>
      <c r="H35" s="1408"/>
      <c r="I35" s="1405"/>
      <c r="J35" s="1408"/>
      <c r="K35" s="782"/>
      <c r="L35" s="1139"/>
      <c r="M35" s="1140"/>
      <c r="N35" s="1127"/>
      <c r="O35" s="1140"/>
      <c r="P35" s="3279" t="str">
        <f>A35</f>
        <v>成交单价（元/平方米）</v>
      </c>
      <c r="Q35" s="3279"/>
      <c r="R35" s="3280">
        <f>E35</f>
        <v>0</v>
      </c>
      <c r="S35" s="3280"/>
      <c r="T35" s="3280">
        <f>G35</f>
        <v>0</v>
      </c>
      <c r="U35" s="3280"/>
      <c r="V35" s="3280">
        <f>I35</f>
        <v>0</v>
      </c>
      <c r="W35" s="3280"/>
      <c r="X35" s="758"/>
      <c r="Y35" s="780"/>
      <c r="Z35" s="758"/>
      <c r="AA35" s="758"/>
      <c r="AB35" s="758"/>
      <c r="AC35" s="758"/>
    </row>
    <row r="36" spans="1:29" ht="15.75" thickBot="1">
      <c r="A36" s="485" t="s">
        <v>2668</v>
      </c>
      <c r="B36" s="486"/>
      <c r="C36" s="1409" t="e">
        <f>R37</f>
        <v>#DIV/0!</v>
      </c>
      <c r="D36" s="1410"/>
      <c r="E36" s="1411" t="e">
        <f>R36</f>
        <v>#DIV/0!</v>
      </c>
      <c r="F36" s="1411"/>
      <c r="G36" s="1409" t="e">
        <f>T36</f>
        <v>#DIV/0!</v>
      </c>
      <c r="H36" s="1410"/>
      <c r="I36" s="1411" t="e">
        <f>V36</f>
        <v>#DIV/0!</v>
      </c>
      <c r="J36" s="1410"/>
      <c r="K36" s="783"/>
      <c r="L36" s="1139"/>
      <c r="M36" s="1140"/>
      <c r="N36" s="1127"/>
      <c r="O36" s="1140"/>
      <c r="P36" s="3279" t="str">
        <f>A36</f>
        <v>比较价值（元/平方米）</v>
      </c>
      <c r="Q36" s="3279"/>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8"/>
      <c r="Y36" s="758"/>
      <c r="Z36" s="758"/>
      <c r="AA36" s="758"/>
      <c r="AB36" s="758"/>
      <c r="AC36" s="758"/>
    </row>
    <row r="37" spans="1:29" ht="15.75" thickBot="1">
      <c r="A37" s="491" t="s">
        <v>2669</v>
      </c>
      <c r="B37" s="492"/>
      <c r="C37" s="1413" t="e">
        <f>R37</f>
        <v>#DIV/0!</v>
      </c>
      <c r="D37" s="1413"/>
      <c r="E37" s="1413"/>
      <c r="F37" s="1413"/>
      <c r="G37" s="1413"/>
      <c r="H37" s="1413"/>
      <c r="I37" s="1413"/>
      <c r="J37" s="1413"/>
      <c r="K37" s="784"/>
      <c r="L37" s="1139"/>
      <c r="M37" s="1140"/>
      <c r="N37" s="1140"/>
      <c r="O37" s="1140"/>
      <c r="P37" s="3292" t="str">
        <f>A37</f>
        <v>估价对象XX用房的比较价值（楼面单价，元/平方米）</v>
      </c>
      <c r="Q37" s="3293"/>
      <c r="R37" s="3294" t="e">
        <f>IF(F1="售价",ROUND(AVERAGE(R36:V36),0),ROUND(AVERAGE(R36:V36),1))</f>
        <v>#DIV/0!</v>
      </c>
      <c r="S37" s="3294"/>
      <c r="T37" s="3294"/>
      <c r="U37" s="3294"/>
      <c r="V37" s="3294"/>
      <c r="W37" s="3294"/>
      <c r="X37" s="758"/>
      <c r="Y37" s="758"/>
      <c r="Z37" s="758"/>
      <c r="AA37" s="758"/>
      <c r="AB37" s="758"/>
      <c r="AC37" s="758"/>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0" t="str">
        <f>YEAR(C7)&amp;"-"&amp;MONTH(C7)</f>
        <v>2018-3</v>
      </c>
      <c r="D46" s="1571">
        <f>EDATE(C46,-1)</f>
        <v>43132</v>
      </c>
      <c r="E46" s="1571">
        <f t="shared" ref="E46:O46" si="16">EDATE(D46,-1)</f>
        <v>43101</v>
      </c>
      <c r="F46" s="1571">
        <f t="shared" si="16"/>
        <v>43070</v>
      </c>
      <c r="G46" s="1571">
        <f t="shared" si="16"/>
        <v>43040</v>
      </c>
      <c r="H46" s="1571">
        <f t="shared" si="16"/>
        <v>43009</v>
      </c>
      <c r="I46" s="1571">
        <f t="shared" si="16"/>
        <v>42979</v>
      </c>
      <c r="J46" s="1571">
        <f t="shared" si="16"/>
        <v>42948</v>
      </c>
      <c r="K46" s="1571">
        <f t="shared" si="16"/>
        <v>42917</v>
      </c>
      <c r="L46" s="1571">
        <f t="shared" si="16"/>
        <v>42887</v>
      </c>
      <c r="M46" s="1571">
        <f t="shared" si="16"/>
        <v>42856</v>
      </c>
      <c r="N46" s="1571">
        <f t="shared" si="16"/>
        <v>42826</v>
      </c>
      <c r="O46" s="1571">
        <f t="shared" si="16"/>
        <v>42795</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2584</v>
      </c>
      <c r="B48" s="515"/>
      <c r="C48" s="516"/>
      <c r="D48" s="517"/>
      <c r="E48" s="517"/>
      <c r="F48" s="517"/>
      <c r="G48" s="517"/>
      <c r="H48" s="517"/>
      <c r="I48" s="517"/>
      <c r="J48" s="517"/>
      <c r="K48" s="517"/>
      <c r="L48" s="517"/>
      <c r="M48" s="518"/>
      <c r="N48" s="517"/>
      <c r="O48" s="519"/>
      <c r="P48" s="503"/>
      <c r="Q48" s="503"/>
    </row>
    <row r="49" spans="1:17" s="116" customFormat="1" ht="15">
      <c r="A49" s="520" t="s">
        <v>2549</v>
      </c>
      <c r="B49" s="509"/>
      <c r="C49" s="521" t="s">
        <v>2651</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2587</v>
      </c>
      <c r="B51" s="527" t="s">
        <v>2553</v>
      </c>
      <c r="C51" s="528">
        <f>C9</f>
        <v>0</v>
      </c>
      <c r="D51" s="529"/>
      <c r="E51" s="529"/>
      <c r="F51" s="529"/>
      <c r="G51" s="529"/>
      <c r="H51" s="529"/>
      <c r="I51" s="529"/>
      <c r="J51" s="529"/>
      <c r="K51" s="530"/>
      <c r="L51" s="531"/>
      <c r="M51" s="532"/>
      <c r="N51" s="1148"/>
      <c r="O51" s="1148"/>
      <c r="P51" s="44"/>
      <c r="Q51" s="503"/>
    </row>
    <row r="52" spans="1:17" ht="15.75" thickBot="1">
      <c r="A52" s="533"/>
      <c r="B52" s="534"/>
      <c r="C52" s="535">
        <v>100</v>
      </c>
      <c r="D52" s="535"/>
      <c r="E52" s="535"/>
      <c r="F52" s="535"/>
      <c r="G52" s="535"/>
      <c r="H52" s="535"/>
      <c r="I52" s="535"/>
      <c r="J52" s="535"/>
      <c r="K52" s="535"/>
      <c r="L52" s="535"/>
      <c r="M52" s="536"/>
      <c r="N52" s="1149"/>
      <c r="O52" s="1149"/>
      <c r="P52" s="44"/>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48"/>
      <c r="O53" s="1148"/>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4"/>
      <c r="Q54" s="503"/>
    </row>
    <row r="55" spans="1:17" ht="15.75" thickTop="1">
      <c r="A55" s="533"/>
      <c r="B55" s="659">
        <f>B11</f>
        <v>111</v>
      </c>
      <c r="C55" s="548"/>
      <c r="D55" s="548"/>
      <c r="E55" s="548"/>
      <c r="F55" s="548"/>
      <c r="G55" s="548"/>
      <c r="H55" s="548"/>
      <c r="I55" s="548"/>
      <c r="J55" s="548"/>
      <c r="K55" s="549"/>
      <c r="L55" s="550"/>
      <c r="M55" s="551"/>
      <c r="N55" s="1148"/>
      <c r="O55" s="1148"/>
      <c r="P55" s="44"/>
      <c r="Q55" s="503"/>
    </row>
    <row r="56" spans="1:17" ht="15.75" thickBot="1">
      <c r="A56" s="533"/>
      <c r="B56" s="534"/>
      <c r="C56" s="559"/>
      <c r="D56" s="535"/>
      <c r="E56" s="535"/>
      <c r="F56" s="535"/>
      <c r="G56" s="535"/>
      <c r="H56" s="535"/>
      <c r="I56" s="535"/>
      <c r="J56" s="535"/>
      <c r="K56" s="535"/>
      <c r="L56" s="535"/>
      <c r="M56" s="536"/>
      <c r="N56" s="1149"/>
      <c r="O56" s="1149"/>
      <c r="P56" s="44"/>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4"/>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48"/>
      <c r="O63" s="1148"/>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4"/>
      <c r="Q64" s="503"/>
    </row>
    <row r="65" spans="1:17" ht="15.75" thickTop="1">
      <c r="A65" s="533"/>
      <c r="B65" s="545" t="s">
        <v>2688</v>
      </c>
      <c r="C65" s="659" t="s">
        <v>2674</v>
      </c>
      <c r="D65" s="659" t="s">
        <v>2675</v>
      </c>
      <c r="E65" s="659" t="s">
        <v>2676</v>
      </c>
      <c r="F65" s="659" t="s">
        <v>2677</v>
      </c>
      <c r="G65" s="659" t="s">
        <v>2678</v>
      </c>
      <c r="H65" s="538"/>
      <c r="I65" s="538"/>
      <c r="J65" s="538"/>
      <c r="K65" s="538"/>
      <c r="L65" s="538"/>
      <c r="M65" s="1378"/>
      <c r="N65" s="1149"/>
      <c r="O65" s="1149"/>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4"/>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48"/>
      <c r="O67" s="1148"/>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4"/>
      <c r="Q68" s="503"/>
    </row>
    <row r="69" spans="1:17" ht="15.75" thickTop="1">
      <c r="A69" s="533"/>
      <c r="B69" s="537" t="s">
        <v>2728</v>
      </c>
      <c r="C69" s="553"/>
      <c r="D69" s="553"/>
      <c r="E69" s="553"/>
      <c r="F69" s="553"/>
      <c r="G69" s="553"/>
      <c r="H69" s="582"/>
      <c r="I69" s="582"/>
      <c r="J69" s="582"/>
      <c r="K69" s="583"/>
      <c r="L69" s="584"/>
      <c r="M69" s="585"/>
      <c r="N69" s="1148"/>
      <c r="O69" s="1148"/>
      <c r="P69" s="44"/>
      <c r="Q69" s="503"/>
    </row>
    <row r="70" spans="1:17" ht="15.75" thickBot="1">
      <c r="A70" s="533"/>
      <c r="B70" s="542"/>
      <c r="C70" s="543">
        <v>100</v>
      </c>
      <c r="D70" s="543">
        <f>C70-$K22</f>
        <v>100</v>
      </c>
      <c r="E70" s="543"/>
      <c r="F70" s="543"/>
      <c r="G70" s="543"/>
      <c r="H70" s="543"/>
      <c r="I70" s="543"/>
      <c r="J70" s="543"/>
      <c r="K70" s="543"/>
      <c r="L70" s="543"/>
      <c r="M70" s="544"/>
      <c r="N70" s="1149"/>
      <c r="O70" s="1149"/>
      <c r="P70" s="44"/>
      <c r="Q70" s="503"/>
    </row>
    <row r="71" spans="1:17" s="116" customFormat="1" ht="15.75" thickTop="1">
      <c r="A71" s="578"/>
      <c r="B71" s="537">
        <f>B23</f>
        <v>111</v>
      </c>
      <c r="C71" s="548"/>
      <c r="D71" s="548"/>
      <c r="E71" s="548"/>
      <c r="F71" s="548"/>
      <c r="G71" s="553"/>
      <c r="H71" s="553"/>
      <c r="I71" s="553"/>
      <c r="J71" s="553"/>
      <c r="K71" s="553"/>
      <c r="L71" s="579"/>
      <c r="M71" s="580"/>
      <c r="N71" s="1147"/>
      <c r="O71" s="1147"/>
      <c r="P71" s="44"/>
      <c r="Q71" s="503"/>
    </row>
    <row r="72" spans="1:17" s="116" customFormat="1" ht="15.75" thickBot="1">
      <c r="A72" s="578"/>
      <c r="B72" s="542"/>
      <c r="C72" s="559"/>
      <c r="D72" s="535"/>
      <c r="E72" s="535"/>
      <c r="F72" s="535"/>
      <c r="G72" s="535"/>
      <c r="H72" s="535"/>
      <c r="I72" s="535"/>
      <c r="J72" s="535"/>
      <c r="K72" s="535"/>
      <c r="L72" s="535"/>
      <c r="M72" s="536"/>
      <c r="N72" s="1149"/>
      <c r="O72" s="1149"/>
      <c r="P72" s="44"/>
      <c r="Q72" s="503"/>
    </row>
    <row r="73" spans="1:17" s="116" customFormat="1" ht="15.75" thickTop="1">
      <c r="A73" s="578"/>
      <c r="B73" s="537">
        <f>B24</f>
        <v>111</v>
      </c>
      <c r="C73" s="548"/>
      <c r="D73" s="548"/>
      <c r="E73" s="548"/>
      <c r="F73" s="548"/>
      <c r="G73" s="553"/>
      <c r="H73" s="553"/>
      <c r="I73" s="553"/>
      <c r="J73" s="553"/>
      <c r="K73" s="553"/>
      <c r="L73" s="553"/>
      <c r="M73" s="580"/>
      <c r="N73" s="1147"/>
      <c r="O73" s="1147"/>
      <c r="P73" s="44"/>
      <c r="Q73" s="503"/>
    </row>
    <row r="74" spans="1:17" s="116" customFormat="1" ht="15.75" thickBot="1">
      <c r="A74" s="578"/>
      <c r="B74" s="542"/>
      <c r="C74" s="559"/>
      <c r="D74" s="535"/>
      <c r="E74" s="535"/>
      <c r="F74" s="535"/>
      <c r="G74" s="535"/>
      <c r="H74" s="535"/>
      <c r="I74" s="535"/>
      <c r="J74" s="535"/>
      <c r="K74" s="535"/>
      <c r="L74" s="535"/>
      <c r="M74" s="536"/>
      <c r="N74" s="1149"/>
      <c r="O74" s="1149"/>
      <c r="P74" s="44"/>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2562</v>
      </c>
      <c r="B77" s="527" t="s">
        <v>2615</v>
      </c>
      <c r="C77" s="553"/>
      <c r="D77" s="553"/>
      <c r="E77" s="529"/>
      <c r="F77" s="529"/>
      <c r="G77" s="529"/>
      <c r="H77" s="529"/>
      <c r="I77" s="529"/>
      <c r="J77" s="529"/>
      <c r="K77" s="530"/>
      <c r="L77" s="531"/>
      <c r="M77" s="532"/>
      <c r="N77" s="1148"/>
      <c r="O77" s="1148"/>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4"/>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4"/>
      <c r="Q79" s="503"/>
    </row>
    <row r="80" spans="1:17" ht="15">
      <c r="A80" s="533"/>
      <c r="B80" s="545"/>
      <c r="C80" s="602">
        <v>0.5</v>
      </c>
      <c r="D80" s="602">
        <v>0.6</v>
      </c>
      <c r="E80" s="602">
        <v>0.7</v>
      </c>
      <c r="F80" s="602">
        <v>0.8</v>
      </c>
      <c r="G80" s="602">
        <v>0.9</v>
      </c>
      <c r="H80" s="602">
        <v>1.0001</v>
      </c>
      <c r="I80" s="659"/>
      <c r="J80" s="659"/>
      <c r="K80" s="667"/>
      <c r="L80" s="668"/>
      <c r="M80" s="669"/>
      <c r="N80" s="1147"/>
      <c r="O80" s="1147"/>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2732</v>
      </c>
      <c r="C82" s="553"/>
      <c r="D82" s="553"/>
      <c r="E82" s="582"/>
      <c r="F82" s="582"/>
      <c r="G82" s="582"/>
      <c r="H82" s="582"/>
      <c r="I82" s="582"/>
      <c r="J82" s="582"/>
      <c r="K82" s="583"/>
      <c r="L82" s="584"/>
      <c r="M82" s="585"/>
      <c r="N82" s="1148"/>
      <c r="O82" s="1148"/>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4"/>
      <c r="Q83" s="503"/>
    </row>
    <row r="84" spans="1:17" ht="15" thickTop="1">
      <c r="A84" s="598"/>
      <c r="B84" s="537" t="s">
        <v>2740</v>
      </c>
      <c r="C84" s="553"/>
      <c r="D84" s="553"/>
      <c r="E84" s="553"/>
      <c r="F84" s="553"/>
      <c r="G84" s="553"/>
      <c r="H84" s="553"/>
      <c r="I84" s="582"/>
      <c r="J84" s="582"/>
      <c r="K84" s="583"/>
      <c r="L84" s="584"/>
      <c r="M84" s="585"/>
      <c r="N84" s="1148"/>
      <c r="O84" s="1148"/>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4"/>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4"/>
      <c r="Q86" s="503"/>
    </row>
    <row r="87" spans="1:17">
      <c r="A87" s="598"/>
      <c r="B87" s="545"/>
      <c r="C87" s="594"/>
      <c r="D87" s="594"/>
      <c r="E87" s="594"/>
      <c r="F87" s="594"/>
      <c r="G87" s="594"/>
      <c r="H87" s="594"/>
      <c r="I87" s="594"/>
      <c r="J87" s="595"/>
      <c r="K87" s="595"/>
      <c r="L87" s="596"/>
      <c r="M87" s="597"/>
      <c r="N87" s="1148"/>
      <c r="O87" s="1148"/>
      <c r="P87" s="44"/>
      <c r="Q87" s="503"/>
    </row>
    <row r="88" spans="1:17" ht="15.75" thickBot="1">
      <c r="A88" s="533"/>
      <c r="B88" s="542"/>
      <c r="C88" s="559"/>
      <c r="D88" s="535"/>
      <c r="E88" s="535"/>
      <c r="F88" s="535"/>
      <c r="G88" s="535"/>
      <c r="H88" s="535"/>
      <c r="I88" s="535"/>
      <c r="J88" s="535"/>
      <c r="K88" s="535"/>
      <c r="L88" s="535"/>
      <c r="M88" s="535"/>
      <c r="N88" s="1149"/>
      <c r="O88" s="1149"/>
      <c r="P88" s="44"/>
      <c r="Q88" s="503"/>
    </row>
    <row r="89" spans="1:17" s="470" customFormat="1" ht="15" thickTop="1">
      <c r="A89" s="592"/>
      <c r="B89" s="537" t="s">
        <v>2742</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4"/>
      <c r="Q91" s="503"/>
    </row>
    <row r="92" spans="1:17" ht="15.75" thickBot="1">
      <c r="A92" s="533"/>
      <c r="B92" s="542"/>
      <c r="C92" s="559"/>
      <c r="D92" s="535"/>
      <c r="E92" s="535"/>
      <c r="F92" s="535"/>
      <c r="G92" s="559"/>
      <c r="H92" s="561"/>
      <c r="I92" s="561"/>
      <c r="J92" s="561"/>
      <c r="K92" s="561"/>
      <c r="L92" s="561"/>
      <c r="M92" s="562"/>
      <c r="N92" s="1149"/>
      <c r="O92" s="1149"/>
      <c r="P92" s="44"/>
      <c r="Q92" s="503"/>
    </row>
    <row r="93" spans="1:17" ht="15" thickTop="1">
      <c r="A93" s="598"/>
      <c r="B93" s="537">
        <f>B33</f>
        <v>111</v>
      </c>
      <c r="C93" s="548"/>
      <c r="D93" s="548"/>
      <c r="E93" s="548"/>
      <c r="F93" s="548"/>
      <c r="G93" s="553"/>
      <c r="H93" s="554"/>
      <c r="I93" s="554"/>
      <c r="J93" s="554"/>
      <c r="K93" s="554"/>
      <c r="L93" s="555"/>
      <c r="M93" s="556"/>
      <c r="N93" s="1148"/>
      <c r="O93" s="1148"/>
      <c r="P93" s="44"/>
      <c r="Q93" s="503"/>
    </row>
    <row r="94" spans="1:17" ht="15.75" thickBot="1">
      <c r="A94" s="533"/>
      <c r="B94" s="542"/>
      <c r="C94" s="559"/>
      <c r="D94" s="535"/>
      <c r="E94" s="535"/>
      <c r="F94" s="535"/>
      <c r="G94" s="559"/>
      <c r="H94" s="561"/>
      <c r="I94" s="561"/>
      <c r="J94" s="561"/>
      <c r="K94" s="561"/>
      <c r="L94" s="561"/>
      <c r="M94" s="562"/>
      <c r="N94" s="1149"/>
      <c r="O94" s="1149"/>
      <c r="P94" s="44"/>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4"/>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6" zoomScale="80" zoomScaleNormal="80" workbookViewId="0">
      <selection activeCell="K12" sqref="K12"/>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2326</v>
      </c>
      <c r="B2" s="670">
        <f>F66</f>
        <v>90397</v>
      </c>
      <c r="C2" s="1120"/>
      <c r="D2" s="1120"/>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c r="AD2" s="396"/>
    </row>
    <row r="3" spans="1:30" s="397" customFormat="1" ht="28.5" customHeight="1" thickBot="1">
      <c r="A3" s="246" t="s">
        <v>2328</v>
      </c>
      <c r="B3" s="608">
        <f>ROUND(IF(D3="",B2*10000/'数据-汇总表'!E3,B2*10000/D3),0)</f>
        <v>18760</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30"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33" t="s">
        <v>2647</v>
      </c>
      <c r="AC4" s="3284" t="s">
        <v>2648</v>
      </c>
    </row>
    <row r="5" spans="1:30" ht="15">
      <c r="A5" s="403"/>
      <c r="B5" s="404"/>
      <c r="C5" s="3243" t="s">
        <v>2541</v>
      </c>
      <c r="D5" s="3244"/>
      <c r="E5" s="3287" t="str">
        <f>案例!A2</f>
        <v>大兴开发区北区1号地DX00-0301-0145地块</v>
      </c>
      <c r="F5" s="3242"/>
      <c r="G5" s="3243" t="str">
        <f>案例!A5</f>
        <v>大兴区黄村镇兴华大街DX00-0202-0307地块</v>
      </c>
      <c r="H5" s="3244"/>
      <c r="I5" s="3243" t="str">
        <f>案例!A35</f>
        <v>房山区长阳镇FS00-LX10-0042等地块</v>
      </c>
      <c r="J5" s="3244"/>
      <c r="K5" s="609"/>
      <c r="L5" s="1126"/>
      <c r="M5" s="1127"/>
      <c r="N5" s="1127"/>
      <c r="O5" s="1127"/>
      <c r="P5" s="3290"/>
      <c r="Q5" s="3261"/>
      <c r="R5" s="3239"/>
      <c r="S5" s="3240"/>
      <c r="T5" s="3239"/>
      <c r="U5" s="3240"/>
      <c r="V5" s="3267"/>
      <c r="W5" s="3267"/>
      <c r="X5" s="1809"/>
      <c r="Y5" s="3239"/>
      <c r="Z5" s="3240"/>
      <c r="AA5" s="3233"/>
      <c r="AB5" s="3233"/>
      <c r="AC5" s="3233"/>
    </row>
    <row r="6" spans="1:30" ht="15.75" thickBot="1">
      <c r="A6" s="405"/>
      <c r="B6" s="406"/>
      <c r="C6" s="3245" t="s">
        <v>2545</v>
      </c>
      <c r="D6" s="3246"/>
      <c r="E6" s="3248" t="s">
        <v>2545</v>
      </c>
      <c r="F6" s="3249"/>
      <c r="G6" s="3245" t="s">
        <v>2545</v>
      </c>
      <c r="H6" s="3246"/>
      <c r="I6" s="3245" t="s">
        <v>2545</v>
      </c>
      <c r="J6" s="3246"/>
      <c r="K6" s="609" t="s">
        <v>2546</v>
      </c>
      <c r="L6" s="1126"/>
      <c r="M6" s="1127"/>
      <c r="N6" s="1127"/>
      <c r="O6" s="1127"/>
      <c r="P6" s="3291"/>
      <c r="Q6" s="3263"/>
      <c r="R6" s="3239"/>
      <c r="S6" s="3240"/>
      <c r="T6" s="3264"/>
      <c r="U6" s="3265"/>
      <c r="V6" s="3267"/>
      <c r="W6" s="3267"/>
      <c r="X6" s="1809"/>
      <c r="Y6" s="3264"/>
      <c r="Z6" s="3265"/>
      <c r="AA6" s="3234"/>
      <c r="AB6" s="3234"/>
      <c r="AC6" s="3234"/>
    </row>
    <row r="7" spans="1:30" s="116" customFormat="1" ht="15.75" thickBot="1">
      <c r="A7" s="407" t="s">
        <v>2547</v>
      </c>
      <c r="B7" s="408"/>
      <c r="C7" s="409">
        <f>'数据-取费表'!B2</f>
        <v>43182</v>
      </c>
      <c r="D7" s="410">
        <v>100</v>
      </c>
      <c r="E7" s="411" t="str">
        <f>案例!H2</f>
        <v>2017-04-06</v>
      </c>
      <c r="F7" s="412">
        <f>SUMIF(70:70,YEAR(E7)&amp;"-"&amp;INT((MONTH(E7)+2)/3),71:71)</f>
        <v>95.5</v>
      </c>
      <c r="G7" s="2689" t="str">
        <f>案例!H5</f>
        <v>2016-05-05</v>
      </c>
      <c r="H7" s="410">
        <f>SUMIF(70:70,YEAR(G7)&amp;"-"&amp;INT((MONTH(G7)+2)/3),71:71)</f>
        <v>89.5</v>
      </c>
      <c r="I7" s="2689" t="str">
        <f>案例!H35</f>
        <v>2016-11-28</v>
      </c>
      <c r="J7" s="410">
        <f>SUMIF(70:70,YEAR(I7)&amp;"-"&amp;INT((MONTH(I7)+2)/3),71:71)</f>
        <v>92.5</v>
      </c>
      <c r="K7" s="610"/>
      <c r="L7" s="1128"/>
      <c r="M7" s="1129"/>
      <c r="N7" s="1129"/>
      <c r="O7" s="1129"/>
      <c r="P7" s="3235" t="s">
        <v>2548</v>
      </c>
      <c r="Q7" s="3269"/>
      <c r="R7" s="769" t="s">
        <v>17</v>
      </c>
      <c r="S7" s="770">
        <f t="shared" ref="S7:S15" si="0">F7</f>
        <v>95.5</v>
      </c>
      <c r="T7" s="769" t="s">
        <v>17</v>
      </c>
      <c r="U7" s="770">
        <f t="shared" ref="U7:U15" si="1">H7</f>
        <v>89.5</v>
      </c>
      <c r="V7" s="769" t="s">
        <v>17</v>
      </c>
      <c r="W7" s="770">
        <f t="shared" ref="W7:W15" si="2">J7</f>
        <v>92.5</v>
      </c>
      <c r="X7" s="771"/>
      <c r="Y7" s="3235" t="s">
        <v>2548</v>
      </c>
      <c r="Z7" s="3236"/>
      <c r="AA7" s="772">
        <f>D7/F7</f>
        <v>1.0471204188481675</v>
      </c>
      <c r="AB7" s="772">
        <f>D7/H7</f>
        <v>1.1173184357541899</v>
      </c>
      <c r="AC7" s="772">
        <f>D7/J7</f>
        <v>1.0810810810810811</v>
      </c>
    </row>
    <row r="8" spans="1:30" s="116" customFormat="1" ht="15.75" thickBot="1">
      <c r="A8" s="407" t="s">
        <v>2549</v>
      </c>
      <c r="B8" s="408"/>
      <c r="C8" s="413" t="s">
        <v>2550</v>
      </c>
      <c r="D8" s="410">
        <v>100</v>
      </c>
      <c r="E8" s="413" t="s">
        <v>2550</v>
      </c>
      <c r="F8" s="412">
        <f>SUMIF(73:73,E8,74:74)-SUMIF(73:73,C8,74:74)+100</f>
        <v>100</v>
      </c>
      <c r="G8" s="413" t="s">
        <v>2550</v>
      </c>
      <c r="H8" s="410">
        <f>SUMIF(73:73,G8,74:74)-SUMIF(73:73,C8,74:74)+100</f>
        <v>100</v>
      </c>
      <c r="I8" s="413" t="s">
        <v>2550</v>
      </c>
      <c r="J8" s="410">
        <f>SUMIF(73:73,I8,74:74)-SUMIF(73:73,C8,74:74)+100</f>
        <v>100</v>
      </c>
      <c r="K8" s="610"/>
      <c r="L8" s="1128"/>
      <c r="M8" s="1129"/>
      <c r="N8" s="1129"/>
      <c r="O8" s="1129"/>
      <c r="P8" s="3235" t="s">
        <v>2551</v>
      </c>
      <c r="Q8" s="3236"/>
      <c r="R8" s="769" t="s">
        <v>17</v>
      </c>
      <c r="S8" s="770">
        <f t="shared" si="0"/>
        <v>100</v>
      </c>
      <c r="T8" s="769" t="s">
        <v>17</v>
      </c>
      <c r="U8" s="770">
        <f t="shared" si="1"/>
        <v>100</v>
      </c>
      <c r="V8" s="769" t="s">
        <v>17</v>
      </c>
      <c r="W8" s="770">
        <f t="shared" si="2"/>
        <v>100</v>
      </c>
      <c r="X8" s="771"/>
      <c r="Y8" s="3235" t="s">
        <v>2551</v>
      </c>
      <c r="Z8" s="3236"/>
      <c r="AA8" s="772">
        <f t="shared" ref="AA8:AA45" si="3">D8/F8</f>
        <v>1</v>
      </c>
      <c r="AB8" s="772">
        <f t="shared" ref="AB8:AB45" si="4">D8/H8</f>
        <v>1</v>
      </c>
      <c r="AC8" s="772">
        <f t="shared" ref="AC8:AC45" si="5">D8/J8</f>
        <v>1</v>
      </c>
    </row>
    <row r="9" spans="1:30" s="116" customFormat="1">
      <c r="A9" s="414" t="s">
        <v>2552</v>
      </c>
      <c r="B9" s="70" t="s">
        <v>2553</v>
      </c>
      <c r="C9" s="2692" t="s">
        <v>3468</v>
      </c>
      <c r="D9" s="134">
        <v>100</v>
      </c>
      <c r="E9" s="2692" t="s">
        <v>3468</v>
      </c>
      <c r="F9" s="134">
        <f>SUMIF(75:75,E9,76:76)-SUMIF(75:75,C9,76:76)+100</f>
        <v>100</v>
      </c>
      <c r="G9" s="2692" t="s">
        <v>3468</v>
      </c>
      <c r="H9" s="134">
        <f>SUMIF(75:75,G9,76:76)-SUMIF(75:75,C9,76:76)+100</f>
        <v>100</v>
      </c>
      <c r="I9" s="2692" t="s">
        <v>3468</v>
      </c>
      <c r="J9" s="134">
        <f>SUMIF(75:75,I9,76:76)-SUMIF(75:75,C9,76:76)+100</f>
        <v>100</v>
      </c>
      <c r="K9" s="610"/>
      <c r="L9" s="1128"/>
      <c r="M9" s="1129"/>
      <c r="N9" s="1129"/>
      <c r="O9" s="1130"/>
      <c r="P9" s="3279"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772">
        <f t="shared" si="5"/>
        <v>1</v>
      </c>
    </row>
    <row r="10" spans="1:30" s="426" customFormat="1" ht="28.5">
      <c r="A10" s="420"/>
      <c r="B10" s="421" t="s">
        <v>2556</v>
      </c>
      <c r="C10" s="431" t="s">
        <v>3470</v>
      </c>
      <c r="D10" s="135">
        <v>100</v>
      </c>
      <c r="E10" s="431" t="s">
        <v>3471</v>
      </c>
      <c r="F10" s="135">
        <f>ROUND(100/'数据-取费表'!G16,0)</f>
        <v>102</v>
      </c>
      <c r="G10" s="431" t="s">
        <v>3471</v>
      </c>
      <c r="H10" s="135">
        <f>ROUND(100/'数据-取费表'!G16,0)</f>
        <v>102</v>
      </c>
      <c r="I10" s="431" t="s">
        <v>3471</v>
      </c>
      <c r="J10" s="135">
        <f>ROUND(100/'数据-取费表'!G16,0)</f>
        <v>102</v>
      </c>
      <c r="K10" s="671"/>
      <c r="L10" s="1131"/>
      <c r="M10" s="1132"/>
      <c r="N10" s="1132"/>
      <c r="O10" s="1133"/>
      <c r="P10" s="3279"/>
      <c r="Q10" s="1791" t="str">
        <f t="shared" si="6"/>
        <v>土地使用年限（年）</v>
      </c>
      <c r="R10" s="769" t="s">
        <v>17</v>
      </c>
      <c r="S10" s="770">
        <f t="shared" si="0"/>
        <v>102</v>
      </c>
      <c r="T10" s="769" t="s">
        <v>17</v>
      </c>
      <c r="U10" s="770">
        <f t="shared" si="1"/>
        <v>102</v>
      </c>
      <c r="V10" s="769" t="s">
        <v>17</v>
      </c>
      <c r="W10" s="770">
        <f t="shared" si="2"/>
        <v>102</v>
      </c>
      <c r="X10" s="771"/>
      <c r="Y10" s="3104"/>
      <c r="Z10" s="54" t="str">
        <f t="shared" si="7"/>
        <v>土地使用年限（年）</v>
      </c>
      <c r="AA10" s="772">
        <f t="shared" si="3"/>
        <v>0.98039215686274506</v>
      </c>
      <c r="AB10" s="772">
        <f t="shared" si="4"/>
        <v>0.98039215686274506</v>
      </c>
      <c r="AC10" s="772">
        <f t="shared" si="5"/>
        <v>0.98039215686274506</v>
      </c>
    </row>
    <row r="11" spans="1:30" ht="15">
      <c r="A11" s="427"/>
      <c r="B11" s="421" t="s">
        <v>2557</v>
      </c>
      <c r="C11" s="428">
        <f>'数据-汇总表'!I7</f>
        <v>3.8</v>
      </c>
      <c r="D11" s="135">
        <v>100</v>
      </c>
      <c r="E11" s="428">
        <f>案例!F2</f>
        <v>3.2</v>
      </c>
      <c r="F11" s="135">
        <f>LOOKUP(E11,80:80,81:81)-LOOKUP(C11,80:80,81:81)+100</f>
        <v>100</v>
      </c>
      <c r="G11" s="429">
        <f>案例!F5</f>
        <v>4</v>
      </c>
      <c r="H11" s="135">
        <f>LOOKUP(G11,80:80,81:81)-LOOKUP(C11,80:80,81:81)+100</f>
        <v>99.7</v>
      </c>
      <c r="I11" s="428">
        <f>案例!G35</f>
        <v>2.09</v>
      </c>
      <c r="J11" s="135">
        <f>LOOKUP(I11,80:80,81:81)-LOOKUP(C11,80:80,81:81)+100</f>
        <v>100.3</v>
      </c>
      <c r="K11" s="672">
        <v>0.3</v>
      </c>
      <c r="L11" s="1134"/>
      <c r="M11" s="1127"/>
      <c r="N11" s="1127"/>
      <c r="O11" s="1135"/>
      <c r="P11" s="3279"/>
      <c r="Q11" s="1791" t="str">
        <f t="shared" si="6"/>
        <v>容积率</v>
      </c>
      <c r="R11" s="769" t="s">
        <v>17</v>
      </c>
      <c r="S11" s="770">
        <f t="shared" si="0"/>
        <v>100</v>
      </c>
      <c r="T11" s="769" t="s">
        <v>17</v>
      </c>
      <c r="U11" s="770">
        <f t="shared" si="1"/>
        <v>99.7</v>
      </c>
      <c r="V11" s="769" t="s">
        <v>17</v>
      </c>
      <c r="W11" s="770">
        <f t="shared" si="2"/>
        <v>100.3</v>
      </c>
      <c r="X11" s="771"/>
      <c r="Y11" s="3104"/>
      <c r="Z11" s="54" t="str">
        <f t="shared" si="7"/>
        <v>容积率</v>
      </c>
      <c r="AA11" s="772">
        <f t="shared" si="3"/>
        <v>1</v>
      </c>
      <c r="AB11" s="772">
        <f t="shared" si="4"/>
        <v>1.0030090270812437</v>
      </c>
      <c r="AC11" s="772">
        <f t="shared" si="5"/>
        <v>0.99700897308075775</v>
      </c>
    </row>
    <row r="12" spans="1:30" s="116" customFormat="1" ht="15">
      <c r="A12" s="430"/>
      <c r="B12" s="2593" t="s">
        <v>2746</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279"/>
      <c r="Q12" s="1791" t="str">
        <f t="shared" si="6"/>
        <v>配建</v>
      </c>
      <c r="R12" s="769" t="s">
        <v>17</v>
      </c>
      <c r="S12" s="770">
        <f t="shared" si="0"/>
        <v>100</v>
      </c>
      <c r="T12" s="769" t="s">
        <v>17</v>
      </c>
      <c r="U12" s="770">
        <f t="shared" si="1"/>
        <v>100</v>
      </c>
      <c r="V12" s="769" t="s">
        <v>17</v>
      </c>
      <c r="W12" s="770">
        <f t="shared" si="2"/>
        <v>100</v>
      </c>
      <c r="X12" s="771"/>
      <c r="Y12" s="3104"/>
      <c r="Z12" s="54" t="str">
        <f t="shared" si="7"/>
        <v>配建</v>
      </c>
      <c r="AA12" s="772">
        <f>D12/F12</f>
        <v>1</v>
      </c>
      <c r="AB12" s="772">
        <f>D12/H12</f>
        <v>1</v>
      </c>
      <c r="AC12" s="772">
        <f>D12/J12</f>
        <v>1</v>
      </c>
    </row>
    <row r="13" spans="1:30" ht="15">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279"/>
      <c r="Q13" s="1791">
        <f t="shared" si="6"/>
        <v>111</v>
      </c>
      <c r="R13" s="769" t="s">
        <v>17</v>
      </c>
      <c r="S13" s="770">
        <f t="shared" si="0"/>
        <v>100</v>
      </c>
      <c r="T13" s="769" t="s">
        <v>17</v>
      </c>
      <c r="U13" s="770">
        <f t="shared" si="1"/>
        <v>100</v>
      </c>
      <c r="V13" s="769" t="s">
        <v>17</v>
      </c>
      <c r="W13" s="770">
        <f t="shared" si="2"/>
        <v>100</v>
      </c>
      <c r="X13" s="771"/>
      <c r="Y13" s="3104"/>
      <c r="Z13" s="54">
        <f t="shared" si="7"/>
        <v>111</v>
      </c>
      <c r="AA13" s="772">
        <f>D13/F13</f>
        <v>1</v>
      </c>
      <c r="AB13" s="772">
        <f>D13/H13</f>
        <v>1</v>
      </c>
      <c r="AC13" s="772">
        <f>D13/J13</f>
        <v>1</v>
      </c>
    </row>
    <row r="14" spans="1:30" ht="15.75"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279"/>
      <c r="Q14" s="1791">
        <f t="shared" si="6"/>
        <v>111</v>
      </c>
      <c r="R14" s="769" t="s">
        <v>17</v>
      </c>
      <c r="S14" s="770">
        <f t="shared" si="0"/>
        <v>100</v>
      </c>
      <c r="T14" s="769" t="s">
        <v>17</v>
      </c>
      <c r="U14" s="770">
        <f t="shared" si="1"/>
        <v>100</v>
      </c>
      <c r="V14" s="769" t="s">
        <v>17</v>
      </c>
      <c r="W14" s="770">
        <f t="shared" si="2"/>
        <v>100</v>
      </c>
      <c r="X14" s="771"/>
      <c r="Y14" s="3104"/>
      <c r="Z14" s="54">
        <f t="shared" si="7"/>
        <v>111</v>
      </c>
      <c r="AA14" s="772">
        <f>D14/F14</f>
        <v>1</v>
      </c>
      <c r="AB14" s="772">
        <f>D14/H14</f>
        <v>1</v>
      </c>
      <c r="AC14" s="772">
        <f>D14/J14</f>
        <v>1</v>
      </c>
    </row>
    <row r="15" spans="1:30" ht="15">
      <c r="A15" s="439" t="s">
        <v>2558</v>
      </c>
      <c r="B15" s="68" t="s">
        <v>2087</v>
      </c>
      <c r="C15" s="2596">
        <f>估价对象房地状况!C15</f>
        <v>0</v>
      </c>
      <c r="D15" s="440">
        <v>100</v>
      </c>
      <c r="E15" s="441"/>
      <c r="F15" s="440">
        <f>SUMIF(88:88,E16,89:89)-SUMIF(88:88,C16,89:89)+100</f>
        <v>100</v>
      </c>
      <c r="G15" s="441"/>
      <c r="H15" s="440">
        <f>SUMIF(88:88,G16,89:89)-SUMIF(88:88,C16,89:89)+100</f>
        <v>100</v>
      </c>
      <c r="I15" s="443"/>
      <c r="J15" s="440">
        <f>SUMIF(88:88,I16,89:89)-SUMIF(88:88,C16,89:89)+100</f>
        <v>100</v>
      </c>
      <c r="K15" s="672">
        <v>0</v>
      </c>
      <c r="L15" s="1136"/>
      <c r="M15" s="1127"/>
      <c r="N15" s="1127"/>
      <c r="O15" s="1135"/>
      <c r="P15" s="3272" t="s">
        <v>2559</v>
      </c>
      <c r="Q15" s="1806" t="str">
        <f t="shared" si="6"/>
        <v>居住社区成熟度</v>
      </c>
      <c r="R15" s="773" t="s">
        <v>17</v>
      </c>
      <c r="S15" s="774">
        <f t="shared" si="0"/>
        <v>100</v>
      </c>
      <c r="T15" s="773" t="s">
        <v>17</v>
      </c>
      <c r="U15" s="774">
        <f t="shared" si="1"/>
        <v>100</v>
      </c>
      <c r="V15" s="773" t="s">
        <v>17</v>
      </c>
      <c r="W15" s="774">
        <f t="shared" si="2"/>
        <v>100</v>
      </c>
      <c r="X15" s="1809"/>
      <c r="Y15" s="3272" t="s">
        <v>2559</v>
      </c>
      <c r="Z15" s="1810" t="str">
        <f t="shared" si="7"/>
        <v>居住社区成熟度</v>
      </c>
      <c r="AA15" s="1807">
        <f t="shared" si="3"/>
        <v>1</v>
      </c>
      <c r="AB15" s="1807">
        <f t="shared" si="4"/>
        <v>1</v>
      </c>
      <c r="AC15" s="1807">
        <f t="shared" si="5"/>
        <v>1</v>
      </c>
    </row>
    <row r="16" spans="1:30" ht="15">
      <c r="A16" s="427"/>
      <c r="B16" s="445"/>
      <c r="C16" s="446"/>
      <c r="D16" s="447"/>
      <c r="E16" s="2598"/>
      <c r="F16" s="447"/>
      <c r="G16" s="2598"/>
      <c r="H16" s="449"/>
      <c r="I16" s="2597"/>
      <c r="J16" s="447"/>
      <c r="K16" s="671"/>
      <c r="L16" s="1136"/>
      <c r="M16" s="1127"/>
      <c r="N16" s="1127"/>
      <c r="O16" s="1135"/>
      <c r="P16" s="3273"/>
      <c r="Q16" s="1806"/>
      <c r="R16" s="773"/>
      <c r="S16" s="774"/>
      <c r="T16" s="773"/>
      <c r="U16" s="774"/>
      <c r="V16" s="773"/>
      <c r="W16" s="774"/>
      <c r="X16" s="1809"/>
      <c r="Y16" s="3273"/>
      <c r="Z16" s="1810"/>
      <c r="AA16" s="1807">
        <v>1</v>
      </c>
      <c r="AB16" s="1807">
        <v>1</v>
      </c>
      <c r="AC16" s="1807">
        <v>1</v>
      </c>
    </row>
    <row r="17" spans="1:29" ht="99.75">
      <c r="A17" s="427"/>
      <c r="B17" s="450" t="s">
        <v>2652</v>
      </c>
      <c r="C17" s="2657" t="str">
        <f>估价对象房地状况!C16</f>
        <v>区域内分布多为社区配套商业，商业规模较小，与商业中心距离较远，人流量一般，综合考虑商业繁华度一般。</v>
      </c>
      <c r="D17" s="449">
        <v>100</v>
      </c>
      <c r="E17" s="451"/>
      <c r="F17" s="449">
        <f>SUMIF(90:90,E18,91:91)-SUMIF(90:90,C18,91:91)+100</f>
        <v>100</v>
      </c>
      <c r="G17" s="451"/>
      <c r="H17" s="454">
        <f>SUMIF(90:90,G18,91:91)-SUMIF(90:90,C18,91:91)+100</f>
        <v>100</v>
      </c>
      <c r="I17" s="453"/>
      <c r="J17" s="454">
        <f>SUMIF(90:90,I18,91:91)-SUMIF(90:90,C18,91:91)+100</f>
        <v>100</v>
      </c>
      <c r="K17" s="672">
        <v>2</v>
      </c>
      <c r="L17" s="1136"/>
      <c r="M17" s="1127"/>
      <c r="N17" s="1127"/>
      <c r="O17" s="1135"/>
      <c r="P17" s="3273"/>
      <c r="Q17" s="1806" t="str">
        <f>B17</f>
        <v>商业繁华度</v>
      </c>
      <c r="R17" s="773" t="s">
        <v>17</v>
      </c>
      <c r="S17" s="774">
        <f>F17</f>
        <v>100</v>
      </c>
      <c r="T17" s="773" t="s">
        <v>17</v>
      </c>
      <c r="U17" s="774">
        <f>H17</f>
        <v>100</v>
      </c>
      <c r="V17" s="773" t="s">
        <v>17</v>
      </c>
      <c r="W17" s="774">
        <f>J17</f>
        <v>100</v>
      </c>
      <c r="X17" s="1809"/>
      <c r="Y17" s="3273"/>
      <c r="Z17" s="1810" t="str">
        <f>Q17</f>
        <v>商业繁华度</v>
      </c>
      <c r="AA17" s="1807">
        <f t="shared" si="3"/>
        <v>1</v>
      </c>
      <c r="AB17" s="1807">
        <f t="shared" si="4"/>
        <v>1</v>
      </c>
      <c r="AC17" s="1807">
        <f t="shared" si="5"/>
        <v>1</v>
      </c>
    </row>
    <row r="18" spans="1:29" ht="15">
      <c r="A18" s="427"/>
      <c r="B18" s="455"/>
      <c r="C18" s="2601" t="s">
        <v>3472</v>
      </c>
      <c r="D18" s="449"/>
      <c r="E18" s="2601" t="s">
        <v>3472</v>
      </c>
      <c r="F18" s="449"/>
      <c r="G18" s="2601" t="s">
        <v>3472</v>
      </c>
      <c r="H18" s="447"/>
      <c r="I18" s="2601" t="s">
        <v>3472</v>
      </c>
      <c r="J18" s="447"/>
      <c r="K18" s="671"/>
      <c r="L18" s="1136"/>
      <c r="M18" s="1127"/>
      <c r="N18" s="1127"/>
      <c r="O18" s="1135"/>
      <c r="P18" s="3273"/>
      <c r="Q18" s="1806"/>
      <c r="R18" s="773"/>
      <c r="S18" s="774"/>
      <c r="T18" s="773"/>
      <c r="U18" s="774"/>
      <c r="V18" s="773"/>
      <c r="W18" s="774"/>
      <c r="X18" s="1809"/>
      <c r="Y18" s="3273"/>
      <c r="Z18" s="1810"/>
      <c r="AA18" s="1807">
        <v>1</v>
      </c>
      <c r="AB18" s="1807">
        <v>1</v>
      </c>
      <c r="AC18" s="1807">
        <v>1</v>
      </c>
    </row>
    <row r="19" spans="1:29" ht="85.5">
      <c r="A19" s="427"/>
      <c r="B19" s="450" t="s">
        <v>2686</v>
      </c>
      <c r="C19" s="2657" t="str">
        <f>估价对象房地状况!C17</f>
        <v>区域内分布有盈润大厦、绿地中央广场，写字楼规模一般，综合考虑办公集聚程度一般。</v>
      </c>
      <c r="D19" s="454">
        <v>100</v>
      </c>
      <c r="E19" s="456"/>
      <c r="F19" s="454">
        <f>SUMIF(92:92,E20,93:93)-SUMIF(92:92,C20,93:93)+100</f>
        <v>100</v>
      </c>
      <c r="G19" s="456"/>
      <c r="H19" s="449">
        <f>SUMIF(92:92,G20,93:93)-SUMIF(92:92,C20,93:93)+100</f>
        <v>100</v>
      </c>
      <c r="I19" s="458"/>
      <c r="J19" s="449">
        <f>SUMIF(92:92,I20,93:93)-SUMIF(92:92,C20,93:93)+100</f>
        <v>100</v>
      </c>
      <c r="K19" s="672">
        <v>2</v>
      </c>
      <c r="L19" s="1136"/>
      <c r="M19" s="1127"/>
      <c r="N19" s="1127"/>
      <c r="O19" s="1135"/>
      <c r="P19" s="3273"/>
      <c r="Q19" s="1806" t="str">
        <f>B19</f>
        <v>办公集聚程度</v>
      </c>
      <c r="R19" s="773" t="s">
        <v>17</v>
      </c>
      <c r="S19" s="774">
        <f>F19</f>
        <v>100</v>
      </c>
      <c r="T19" s="773" t="s">
        <v>17</v>
      </c>
      <c r="U19" s="774">
        <f>H19</f>
        <v>100</v>
      </c>
      <c r="V19" s="773" t="s">
        <v>17</v>
      </c>
      <c r="W19" s="774">
        <f>J19</f>
        <v>100</v>
      </c>
      <c r="X19" s="1809"/>
      <c r="Y19" s="3273"/>
      <c r="Z19" s="1810" t="str">
        <f>Q19</f>
        <v>办公集聚程度</v>
      </c>
      <c r="AA19" s="1807">
        <f t="shared" si="3"/>
        <v>1</v>
      </c>
      <c r="AB19" s="1807">
        <f t="shared" si="4"/>
        <v>1</v>
      </c>
      <c r="AC19" s="1807">
        <f t="shared" si="5"/>
        <v>1</v>
      </c>
    </row>
    <row r="20" spans="1:29" ht="15">
      <c r="A20" s="427"/>
      <c r="B20" s="455"/>
      <c r="C20" s="446" t="s">
        <v>3472</v>
      </c>
      <c r="D20" s="447"/>
      <c r="E20" s="2598" t="s">
        <v>3472</v>
      </c>
      <c r="F20" s="447"/>
      <c r="G20" s="2598" t="s">
        <v>3472</v>
      </c>
      <c r="H20" s="447"/>
      <c r="I20" s="2598" t="s">
        <v>3472</v>
      </c>
      <c r="J20" s="447"/>
      <c r="K20" s="671"/>
      <c r="L20" s="1136"/>
      <c r="M20" s="1127"/>
      <c r="N20" s="1127"/>
      <c r="O20" s="1135"/>
      <c r="P20" s="3273"/>
      <c r="Q20" s="1806"/>
      <c r="R20" s="773"/>
      <c r="S20" s="774"/>
      <c r="T20" s="773"/>
      <c r="U20" s="774"/>
      <c r="V20" s="773"/>
      <c r="W20" s="774"/>
      <c r="X20" s="1809"/>
      <c r="Y20" s="3273"/>
      <c r="Z20" s="1810"/>
      <c r="AA20" s="1807">
        <v>1</v>
      </c>
      <c r="AB20" s="1807">
        <v>1</v>
      </c>
      <c r="AC20" s="1807">
        <v>1</v>
      </c>
    </row>
    <row r="21" spans="1:29" ht="242.25">
      <c r="A21" s="427"/>
      <c r="B21" s="450" t="s">
        <v>2708</v>
      </c>
      <c r="C21" s="2600"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D21" s="449">
        <v>100</v>
      </c>
      <c r="E21" s="451"/>
      <c r="F21" s="454">
        <f>SUMIF(94:94,E22,95:95)-SUMIF(94:94,C22,95:95)+100</f>
        <v>100</v>
      </c>
      <c r="G21" s="451"/>
      <c r="H21" s="449">
        <f>SUMIF(94:94,G22,95:95)-SUMIF(94:94,C22,95:95)+100</f>
        <v>100</v>
      </c>
      <c r="I21" s="453"/>
      <c r="J21" s="449">
        <f>SUMIF(94:94,I22,95:95)-SUMIF(94:94,C22,95:95)+100</f>
        <v>100</v>
      </c>
      <c r="K21" s="672">
        <v>2</v>
      </c>
      <c r="L21" s="1136"/>
      <c r="M21" s="1127"/>
      <c r="N21" s="1127"/>
      <c r="O21" s="1135"/>
      <c r="P21" s="3273"/>
      <c r="Q21" s="1806" t="str">
        <f>B21</f>
        <v>交通便捷度</v>
      </c>
      <c r="R21" s="773" t="s">
        <v>17</v>
      </c>
      <c r="S21" s="774">
        <f>F21</f>
        <v>100</v>
      </c>
      <c r="T21" s="773" t="s">
        <v>17</v>
      </c>
      <c r="U21" s="774">
        <f>H21</f>
        <v>100</v>
      </c>
      <c r="V21" s="773" t="s">
        <v>17</v>
      </c>
      <c r="W21" s="774">
        <f>J21</f>
        <v>100</v>
      </c>
      <c r="X21" s="1809"/>
      <c r="Y21" s="3273"/>
      <c r="Z21" s="1810" t="str">
        <f>Q21</f>
        <v>交通便捷度</v>
      </c>
      <c r="AA21" s="1807">
        <f t="shared" si="3"/>
        <v>1</v>
      </c>
      <c r="AB21" s="1807">
        <f t="shared" si="4"/>
        <v>1</v>
      </c>
      <c r="AC21" s="1807">
        <f t="shared" si="5"/>
        <v>1</v>
      </c>
    </row>
    <row r="22" spans="1:29" ht="15">
      <c r="A22" s="427"/>
      <c r="B22" s="1380"/>
      <c r="C22" s="446" t="s">
        <v>3052</v>
      </c>
      <c r="D22" s="449"/>
      <c r="E22" s="446" t="s">
        <v>3052</v>
      </c>
      <c r="F22" s="447"/>
      <c r="G22" s="446" t="s">
        <v>3052</v>
      </c>
      <c r="H22" s="447"/>
      <c r="I22" s="446" t="s">
        <v>3052</v>
      </c>
      <c r="J22" s="447"/>
      <c r="K22" s="671"/>
      <c r="L22" s="1136"/>
      <c r="M22" s="1127"/>
      <c r="N22" s="1127"/>
      <c r="O22" s="1135"/>
      <c r="P22" s="3273"/>
      <c r="Q22" s="1806"/>
      <c r="R22" s="773"/>
      <c r="S22" s="774"/>
      <c r="T22" s="773"/>
      <c r="U22" s="774"/>
      <c r="V22" s="773"/>
      <c r="W22" s="774"/>
      <c r="X22" s="1809"/>
      <c r="Y22" s="3273"/>
      <c r="Z22" s="1810"/>
      <c r="AA22" s="1807">
        <v>1</v>
      </c>
      <c r="AB22" s="1807">
        <v>1</v>
      </c>
      <c r="AC22" s="1807">
        <v>1</v>
      </c>
    </row>
    <row r="23" spans="1:29" ht="15">
      <c r="A23" s="403"/>
      <c r="B23" s="450" t="s">
        <v>2747</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6"/>
      <c r="M23" s="1127"/>
      <c r="N23" s="1127"/>
      <c r="O23" s="1135"/>
      <c r="P23" s="3273"/>
      <c r="Q23" s="1806" t="str">
        <f t="shared" ref="Q23:Q37" si="8">B23</f>
        <v>区域土地利用方向</v>
      </c>
      <c r="R23" s="773" t="s">
        <v>17</v>
      </c>
      <c r="S23" s="774">
        <f>F23</f>
        <v>100</v>
      </c>
      <c r="T23" s="773" t="s">
        <v>17</v>
      </c>
      <c r="U23" s="774">
        <f>H23</f>
        <v>100</v>
      </c>
      <c r="V23" s="773" t="s">
        <v>17</v>
      </c>
      <c r="W23" s="774">
        <f>J23</f>
        <v>100</v>
      </c>
      <c r="X23" s="1809"/>
      <c r="Y23" s="3273"/>
      <c r="Z23" s="1810" t="str">
        <f>Q23</f>
        <v>区域土地利用方向</v>
      </c>
      <c r="AA23" s="1807">
        <f t="shared" si="3"/>
        <v>1</v>
      </c>
      <c r="AB23" s="1807">
        <f t="shared" si="4"/>
        <v>1</v>
      </c>
      <c r="AC23" s="1807">
        <f t="shared" si="5"/>
        <v>1</v>
      </c>
    </row>
    <row r="24" spans="1:29" ht="15">
      <c r="A24" s="403"/>
      <c r="B24" s="455"/>
      <c r="C24" s="615" t="s">
        <v>3052</v>
      </c>
      <c r="D24" s="447"/>
      <c r="E24" s="615" t="s">
        <v>3052</v>
      </c>
      <c r="F24" s="447"/>
      <c r="G24" s="615" t="s">
        <v>3052</v>
      </c>
      <c r="H24" s="447"/>
      <c r="I24" s="615" t="s">
        <v>3052</v>
      </c>
      <c r="J24" s="447"/>
      <c r="K24" s="805"/>
      <c r="L24" s="1136"/>
      <c r="M24" s="1127"/>
      <c r="N24" s="1127"/>
      <c r="O24" s="1135"/>
      <c r="P24" s="3273"/>
      <c r="Q24" s="1806"/>
      <c r="R24" s="773"/>
      <c r="S24" s="774"/>
      <c r="T24" s="773"/>
      <c r="U24" s="774"/>
      <c r="V24" s="773"/>
      <c r="W24" s="774"/>
      <c r="X24" s="1809"/>
      <c r="Y24" s="3273"/>
      <c r="Z24" s="1810"/>
      <c r="AA24" s="1807"/>
      <c r="AB24" s="1807"/>
      <c r="AC24" s="1807"/>
    </row>
    <row r="25" spans="1:29" ht="142.5">
      <c r="A25" s="403"/>
      <c r="B25" s="1380" t="s">
        <v>2748</v>
      </c>
      <c r="C25" s="2657" t="str">
        <f>估价对象房地状况!C20</f>
        <v>估价对象所处区域土地利用类型多为居住用地；估价对象周边有念坛公园，绿化率较好，周边无高等教育学校，无大型污染源，综合考虑自然及人文环境一般。</v>
      </c>
      <c r="D25" s="449">
        <v>100</v>
      </c>
      <c r="E25" s="451"/>
      <c r="F25" s="449">
        <f>SUMIF(98:98,E26,99:99)-SUMIF(98:98,C26,99:99)+100</f>
        <v>100</v>
      </c>
      <c r="G25" s="451"/>
      <c r="H25" s="449">
        <f>SUMIF(98:98,G26,99:99)-SUMIF(98:98,C26,99:99)+100</f>
        <v>102</v>
      </c>
      <c r="I25" s="453"/>
      <c r="J25" s="449">
        <f>SUMIF(98:98,I26,99:99)-SUMIF(98:98,C26,99:99)+100</f>
        <v>102</v>
      </c>
      <c r="K25" s="672">
        <v>2</v>
      </c>
      <c r="L25" s="1136"/>
      <c r="M25" s="1127"/>
      <c r="N25" s="1127"/>
      <c r="O25" s="1135"/>
      <c r="P25" s="3273"/>
      <c r="Q25" s="1806" t="str">
        <f t="shared" si="8"/>
        <v>自然及人文环境状况</v>
      </c>
      <c r="R25" s="773" t="s">
        <v>17</v>
      </c>
      <c r="S25" s="774">
        <f>F25</f>
        <v>100</v>
      </c>
      <c r="T25" s="773" t="s">
        <v>17</v>
      </c>
      <c r="U25" s="774">
        <f>H25</f>
        <v>102</v>
      </c>
      <c r="V25" s="773" t="s">
        <v>17</v>
      </c>
      <c r="W25" s="774">
        <f>J25</f>
        <v>102</v>
      </c>
      <c r="X25" s="1809"/>
      <c r="Y25" s="3273"/>
      <c r="Z25" s="1810" t="str">
        <f>Q25</f>
        <v>自然及人文环境状况</v>
      </c>
      <c r="AA25" s="1807">
        <f t="shared" si="3"/>
        <v>1</v>
      </c>
      <c r="AB25" s="1807">
        <f t="shared" si="4"/>
        <v>0.98039215686274506</v>
      </c>
      <c r="AC25" s="1807">
        <f t="shared" si="5"/>
        <v>0.98039215686274506</v>
      </c>
    </row>
    <row r="26" spans="1:29" ht="15">
      <c r="A26" s="403"/>
      <c r="B26" s="455"/>
      <c r="C26" s="446" t="s">
        <v>3472</v>
      </c>
      <c r="D26" s="447"/>
      <c r="E26" s="2604" t="s">
        <v>3472</v>
      </c>
      <c r="F26" s="447"/>
      <c r="G26" s="2604" t="s">
        <v>3052</v>
      </c>
      <c r="H26" s="447"/>
      <c r="I26" s="446" t="s">
        <v>3052</v>
      </c>
      <c r="J26" s="447"/>
      <c r="K26" s="671"/>
      <c r="L26" s="1136"/>
      <c r="M26" s="1127"/>
      <c r="N26" s="1127"/>
      <c r="O26" s="1135"/>
      <c r="P26" s="3273"/>
      <c r="Q26" s="1806"/>
      <c r="R26" s="773"/>
      <c r="S26" s="774"/>
      <c r="T26" s="773"/>
      <c r="U26" s="774"/>
      <c r="V26" s="773"/>
      <c r="W26" s="774"/>
      <c r="X26" s="1809"/>
      <c r="Y26" s="3273"/>
      <c r="Z26" s="1810"/>
      <c r="AA26" s="1807">
        <v>1</v>
      </c>
      <c r="AB26" s="1807">
        <v>1</v>
      </c>
      <c r="AC26" s="1807">
        <v>1</v>
      </c>
    </row>
    <row r="27" spans="1:29" s="116" customFormat="1" ht="42.75">
      <c r="A27" s="648"/>
      <c r="B27" s="1380" t="s">
        <v>2653</v>
      </c>
      <c r="C27" s="2600" t="str">
        <f>估价对象房地状况!C21</f>
        <v>估价对象所在区域公共配套设施齐备度一般</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28"/>
      <c r="M27" s="1129"/>
      <c r="N27" s="1129"/>
      <c r="O27" s="1130"/>
      <c r="P27" s="3273"/>
      <c r="Q27" s="1791" t="str">
        <f t="shared" si="8"/>
        <v>公共配套设施</v>
      </c>
      <c r="R27" s="769" t="s">
        <v>17</v>
      </c>
      <c r="S27" s="770">
        <f>F27</f>
        <v>100</v>
      </c>
      <c r="T27" s="769" t="s">
        <v>17</v>
      </c>
      <c r="U27" s="770">
        <f>H27</f>
        <v>100</v>
      </c>
      <c r="V27" s="769" t="s">
        <v>17</v>
      </c>
      <c r="W27" s="770">
        <f>J27</f>
        <v>100</v>
      </c>
      <c r="X27" s="771"/>
      <c r="Y27" s="3273"/>
      <c r="Z27" s="54" t="str">
        <f>Q27</f>
        <v>公共配套设施</v>
      </c>
      <c r="AA27" s="1807">
        <f>D27/F27</f>
        <v>1</v>
      </c>
      <c r="AB27" s="1807">
        <f>D27/H27</f>
        <v>1</v>
      </c>
      <c r="AC27" s="1807">
        <f>D27/J27</f>
        <v>1</v>
      </c>
    </row>
    <row r="28" spans="1:29" s="116" customFormat="1" ht="15">
      <c r="A28" s="648"/>
      <c r="B28" s="455"/>
      <c r="C28" s="2693" t="s">
        <v>3472</v>
      </c>
      <c r="D28" s="447"/>
      <c r="E28" s="2693" t="s">
        <v>3472</v>
      </c>
      <c r="F28" s="447"/>
      <c r="G28" s="2693" t="s">
        <v>3472</v>
      </c>
      <c r="H28" s="447"/>
      <c r="I28" s="446" t="s">
        <v>3472</v>
      </c>
      <c r="J28" s="447"/>
      <c r="K28" s="671"/>
      <c r="L28" s="1128"/>
      <c r="M28" s="1129"/>
      <c r="N28" s="1129"/>
      <c r="O28" s="1130"/>
      <c r="P28" s="3273"/>
      <c r="Q28" s="1791"/>
      <c r="R28" s="769"/>
      <c r="S28" s="770"/>
      <c r="T28" s="769"/>
      <c r="U28" s="770"/>
      <c r="V28" s="769"/>
      <c r="W28" s="770"/>
      <c r="X28" s="771"/>
      <c r="Y28" s="3273"/>
      <c r="Z28" s="54"/>
      <c r="AA28" s="1807">
        <v>1</v>
      </c>
      <c r="AB28" s="1807">
        <v>1</v>
      </c>
      <c r="AC28" s="1807">
        <v>1</v>
      </c>
    </row>
    <row r="29" spans="1:29" s="116" customFormat="1" ht="42.75">
      <c r="A29" s="648"/>
      <c r="B29" s="1380" t="s">
        <v>2654</v>
      </c>
      <c r="C29" s="2600" t="str">
        <f>估价对象房地状况!C22</f>
        <v>估价对象所在区域基础设施水平七通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8"/>
      <c r="M29" s="1129"/>
      <c r="N29" s="1129"/>
      <c r="O29" s="1130"/>
      <c r="P29" s="3273"/>
      <c r="Q29" s="1791" t="str">
        <f t="shared" ref="Q29" si="9">B29</f>
        <v>基础设施水平</v>
      </c>
      <c r="R29" s="769" t="s">
        <v>17</v>
      </c>
      <c r="S29" s="770">
        <f>F29</f>
        <v>100</v>
      </c>
      <c r="T29" s="769" t="s">
        <v>17</v>
      </c>
      <c r="U29" s="770">
        <f>H29</f>
        <v>100</v>
      </c>
      <c r="V29" s="769" t="s">
        <v>17</v>
      </c>
      <c r="W29" s="770">
        <f>J29</f>
        <v>100</v>
      </c>
      <c r="X29" s="771"/>
      <c r="Y29" s="3273"/>
      <c r="Z29" s="54" t="str">
        <f>Q29</f>
        <v>基础设施水平</v>
      </c>
      <c r="AA29" s="1807">
        <f>D29/F29</f>
        <v>1</v>
      </c>
      <c r="AB29" s="1807">
        <f>D29/H29</f>
        <v>1</v>
      </c>
      <c r="AC29" s="1807">
        <f>D29/J29</f>
        <v>1</v>
      </c>
    </row>
    <row r="30" spans="1:29" s="116" customFormat="1" ht="15">
      <c r="A30" s="648"/>
      <c r="B30" s="455"/>
      <c r="C30" s="2693" t="s">
        <v>3473</v>
      </c>
      <c r="D30" s="447"/>
      <c r="E30" s="2693" t="s">
        <v>3473</v>
      </c>
      <c r="F30" s="447"/>
      <c r="G30" s="2693" t="s">
        <v>3473</v>
      </c>
      <c r="H30" s="447"/>
      <c r="I30" s="2693" t="s">
        <v>3473</v>
      </c>
      <c r="J30" s="447"/>
      <c r="K30" s="671"/>
      <c r="L30" s="1128"/>
      <c r="M30" s="1129"/>
      <c r="N30" s="1129"/>
      <c r="O30" s="1130"/>
      <c r="P30" s="3273"/>
      <c r="Q30" s="1791"/>
      <c r="R30" s="769"/>
      <c r="S30" s="770"/>
      <c r="T30" s="769"/>
      <c r="U30" s="770"/>
      <c r="V30" s="769"/>
      <c r="W30" s="770"/>
      <c r="X30" s="771"/>
      <c r="Y30" s="3273"/>
      <c r="Z30" s="54"/>
      <c r="AA30" s="1807">
        <v>1</v>
      </c>
      <c r="AB30" s="1807">
        <v>1</v>
      </c>
      <c r="AC30" s="1807">
        <v>1</v>
      </c>
    </row>
    <row r="31" spans="1:29" ht="15">
      <c r="A31" s="427"/>
      <c r="B31" s="455" t="s">
        <v>2655</v>
      </c>
      <c r="C31" s="2998" t="s">
        <v>3474</v>
      </c>
      <c r="D31" s="434">
        <v>100</v>
      </c>
      <c r="E31" s="2998" t="s">
        <v>3474</v>
      </c>
      <c r="F31" s="434">
        <f>SUMIF(104:104,E31,105:105)-SUMIF(104:104,C31,105:105)+100</f>
        <v>100</v>
      </c>
      <c r="G31" s="2998" t="s">
        <v>3474</v>
      </c>
      <c r="H31" s="434">
        <f>SUMIF(104:104,G31,105:105)-SUMIF(104:104,C31,105:105)+100</f>
        <v>100</v>
      </c>
      <c r="I31" s="2998" t="s">
        <v>3474</v>
      </c>
      <c r="J31" s="434">
        <f>SUMIF(104:104,I31,105:105)-SUMIF(104:104,C31,105:105)+100</f>
        <v>100</v>
      </c>
      <c r="K31" s="672">
        <v>1</v>
      </c>
      <c r="L31" s="1136"/>
      <c r="M31" s="1127"/>
      <c r="N31" s="1127"/>
      <c r="O31" s="1135"/>
      <c r="P31" s="3273"/>
      <c r="Q31" s="1806" t="str">
        <f t="shared" si="8"/>
        <v>临街状况</v>
      </c>
      <c r="R31" s="773" t="s">
        <v>17</v>
      </c>
      <c r="S31" s="774">
        <f t="shared" ref="S31:S45" si="10">F31</f>
        <v>100</v>
      </c>
      <c r="T31" s="773" t="s">
        <v>17</v>
      </c>
      <c r="U31" s="774">
        <f t="shared" ref="U31:U45" si="11">H31</f>
        <v>100</v>
      </c>
      <c r="V31" s="773" t="s">
        <v>17</v>
      </c>
      <c r="W31" s="774">
        <f t="shared" ref="W31:W45" si="12">J31</f>
        <v>100</v>
      </c>
      <c r="X31" s="1809"/>
      <c r="Y31" s="3273"/>
      <c r="Z31" s="1810" t="str">
        <f t="shared" ref="Z31:Z45" si="13">Q31</f>
        <v>临街状况</v>
      </c>
      <c r="AA31" s="1807">
        <f t="shared" si="3"/>
        <v>1</v>
      </c>
      <c r="AB31" s="1807">
        <f t="shared" si="4"/>
        <v>1</v>
      </c>
      <c r="AC31" s="1807">
        <f t="shared" si="5"/>
        <v>1</v>
      </c>
    </row>
    <row r="32" spans="1:29" ht="27">
      <c r="A32" s="427"/>
      <c r="B32" s="1380" t="s">
        <v>2690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273"/>
      <c r="Q32" s="1806" t="str">
        <f t="shared" si="8"/>
        <v>毗邻道路的类型与等级</v>
      </c>
      <c r="R32" s="773" t="s">
        <v>17</v>
      </c>
      <c r="S32" s="774">
        <f t="shared" si="10"/>
        <v>100</v>
      </c>
      <c r="T32" s="773" t="s">
        <v>17</v>
      </c>
      <c r="U32" s="774">
        <f t="shared" si="11"/>
        <v>100</v>
      </c>
      <c r="V32" s="773" t="s">
        <v>17</v>
      </c>
      <c r="W32" s="774">
        <f t="shared" si="12"/>
        <v>100</v>
      </c>
      <c r="X32" s="1809"/>
      <c r="Y32" s="3273"/>
      <c r="Z32" s="1810" t="str">
        <f t="shared" si="13"/>
        <v>毗邻道路的类型与等级</v>
      </c>
      <c r="AA32" s="1807">
        <f t="shared" si="3"/>
        <v>1</v>
      </c>
      <c r="AB32" s="1807">
        <f t="shared" si="4"/>
        <v>1</v>
      </c>
      <c r="AC32" s="1807">
        <f t="shared" si="5"/>
        <v>1</v>
      </c>
    </row>
    <row r="33" spans="1:29" ht="15">
      <c r="A33" s="427"/>
      <c r="B33" s="455"/>
      <c r="C33" s="2999" t="s">
        <v>3475</v>
      </c>
      <c r="D33" s="447"/>
      <c r="E33" s="2999" t="s">
        <v>3475</v>
      </c>
      <c r="F33" s="447"/>
      <c r="G33" s="2999" t="s">
        <v>3475</v>
      </c>
      <c r="H33" s="447"/>
      <c r="I33" s="2999" t="s">
        <v>3475</v>
      </c>
      <c r="J33" s="447"/>
      <c r="K33" s="612"/>
      <c r="L33" s="1136"/>
      <c r="M33" s="1127"/>
      <c r="N33" s="1127"/>
      <c r="O33" s="1135"/>
      <c r="P33" s="3273"/>
      <c r="Q33" s="1806"/>
      <c r="R33" s="773"/>
      <c r="S33" s="774"/>
      <c r="T33" s="773"/>
      <c r="U33" s="774"/>
      <c r="V33" s="773"/>
      <c r="W33" s="774"/>
      <c r="X33" s="1809"/>
      <c r="Y33" s="3273"/>
      <c r="Z33" s="1810"/>
      <c r="AA33" s="1807">
        <v>1</v>
      </c>
      <c r="AB33" s="1807">
        <v>1</v>
      </c>
      <c r="AC33" s="1807">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273"/>
      <c r="Q34" s="1806" t="str">
        <f t="shared" si="8"/>
        <v>土地级别</v>
      </c>
      <c r="R34" s="773" t="s">
        <v>17</v>
      </c>
      <c r="S34" s="774">
        <f t="shared" si="10"/>
        <v>100</v>
      </c>
      <c r="T34" s="773" t="s">
        <v>17</v>
      </c>
      <c r="U34" s="774">
        <f t="shared" si="11"/>
        <v>100</v>
      </c>
      <c r="V34" s="773" t="s">
        <v>17</v>
      </c>
      <c r="W34" s="774">
        <f t="shared" si="12"/>
        <v>100</v>
      </c>
      <c r="X34" s="1809"/>
      <c r="Y34" s="3273"/>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73"/>
      <c r="Q35" s="1806">
        <f t="shared" si="8"/>
        <v>111</v>
      </c>
      <c r="R35" s="773" t="s">
        <v>17</v>
      </c>
      <c r="S35" s="774">
        <f t="shared" si="10"/>
        <v>100</v>
      </c>
      <c r="T35" s="773" t="s">
        <v>17</v>
      </c>
      <c r="U35" s="774">
        <f t="shared" si="11"/>
        <v>100</v>
      </c>
      <c r="V35" s="773" t="s">
        <v>17</v>
      </c>
      <c r="W35" s="774">
        <f t="shared" si="12"/>
        <v>100</v>
      </c>
      <c r="X35" s="1809"/>
      <c r="Y35" s="3273"/>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317" t="s">
        <v>2564</v>
      </c>
      <c r="Q36" s="1806">
        <f t="shared" si="8"/>
        <v>111</v>
      </c>
      <c r="R36" s="773" t="s">
        <v>17</v>
      </c>
      <c r="S36" s="774">
        <f t="shared" si="10"/>
        <v>100</v>
      </c>
      <c r="T36" s="773" t="s">
        <v>17</v>
      </c>
      <c r="U36" s="774">
        <f t="shared" si="11"/>
        <v>100</v>
      </c>
      <c r="V36" s="773" t="s">
        <v>17</v>
      </c>
      <c r="W36" s="774">
        <f t="shared" si="12"/>
        <v>100</v>
      </c>
      <c r="X36" s="1809"/>
      <c r="Y36" s="3277" t="s">
        <v>2564</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277"/>
      <c r="Q37" s="1806">
        <f t="shared" si="8"/>
        <v>111</v>
      </c>
      <c r="R37" s="776" t="s">
        <v>17</v>
      </c>
      <c r="S37" s="777">
        <f t="shared" si="10"/>
        <v>100</v>
      </c>
      <c r="T37" s="776" t="s">
        <v>17</v>
      </c>
      <c r="U37" s="777">
        <f t="shared" si="11"/>
        <v>100</v>
      </c>
      <c r="V37" s="776" t="s">
        <v>17</v>
      </c>
      <c r="W37" s="777">
        <f t="shared" si="12"/>
        <v>100</v>
      </c>
      <c r="X37" s="778"/>
      <c r="Y37" s="3277"/>
      <c r="Z37" s="779">
        <f t="shared" si="13"/>
        <v>111</v>
      </c>
      <c r="AA37" s="1807">
        <f t="shared" si="3"/>
        <v>1</v>
      </c>
      <c r="AB37" s="1807">
        <f t="shared" si="4"/>
        <v>1</v>
      </c>
      <c r="AC37" s="1807">
        <f t="shared" si="5"/>
        <v>1</v>
      </c>
    </row>
    <row r="38" spans="1:29" s="3035" customFormat="1" ht="15">
      <c r="A38" s="3019" t="s">
        <v>2562</v>
      </c>
      <c r="B38" s="3020" t="s">
        <v>2750</v>
      </c>
      <c r="C38" s="3021">
        <v>46010.69</v>
      </c>
      <c r="D38" s="3022">
        <v>100</v>
      </c>
      <c r="E38" s="3023">
        <f>案例!D2</f>
        <v>18303.330000000002</v>
      </c>
      <c r="F38" s="3022">
        <f>LOOKUP(E38,117:117,118:118)-LOOKUP(C38,117:117,118:118)+100</f>
        <v>99</v>
      </c>
      <c r="G38" s="3023">
        <f>案例!D5</f>
        <v>33619.79</v>
      </c>
      <c r="H38" s="3022">
        <f>LOOKUP(G38,117:117,118:118)-LOOKUP(C38,117:117,118:118)+100</f>
        <v>100</v>
      </c>
      <c r="I38" s="3024">
        <f>案例!E35</f>
        <v>85709</v>
      </c>
      <c r="J38" s="3022">
        <f>LOOKUP(I38,117:117,118:118)-LOOKUP(C38,117:117,118:118)+100</f>
        <v>101</v>
      </c>
      <c r="K38" s="3025"/>
      <c r="L38" s="3026"/>
      <c r="M38" s="3027"/>
      <c r="N38" s="3027"/>
      <c r="O38" s="3028"/>
      <c r="P38" s="3277"/>
      <c r="Q38" s="3029" t="str">
        <f>B38</f>
        <v>宗地面积</v>
      </c>
      <c r="R38" s="3030" t="s">
        <v>17</v>
      </c>
      <c r="S38" s="3031">
        <f t="shared" si="10"/>
        <v>99</v>
      </c>
      <c r="T38" s="3030" t="s">
        <v>17</v>
      </c>
      <c r="U38" s="3031">
        <f t="shared" si="11"/>
        <v>100</v>
      </c>
      <c r="V38" s="3030" t="s">
        <v>17</v>
      </c>
      <c r="W38" s="3031">
        <f t="shared" si="12"/>
        <v>101</v>
      </c>
      <c r="X38" s="3032"/>
      <c r="Y38" s="3277"/>
      <c r="Z38" s="3033" t="str">
        <f t="shared" si="13"/>
        <v>宗地面积</v>
      </c>
      <c r="AA38" s="3034">
        <f t="shared" si="3"/>
        <v>1.0101010101010102</v>
      </c>
      <c r="AB38" s="3034">
        <f t="shared" si="4"/>
        <v>1</v>
      </c>
      <c r="AC38" s="3034">
        <f t="shared" si="5"/>
        <v>0.99009900990099009</v>
      </c>
    </row>
    <row r="39" spans="1:29" ht="15">
      <c r="A39" s="471"/>
      <c r="B39" s="421" t="s">
        <v>2751</v>
      </c>
      <c r="C39" s="2606" t="s">
        <v>3493</v>
      </c>
      <c r="D39" s="434">
        <v>100</v>
      </c>
      <c r="E39" s="2606" t="s">
        <v>3493</v>
      </c>
      <c r="F39" s="434">
        <f>SUMIF(119:119,E39,120:120)-SUMIF(119:119,C39,120:120)+100</f>
        <v>100</v>
      </c>
      <c r="G39" s="2606" t="s">
        <v>3493</v>
      </c>
      <c r="H39" s="434">
        <f>SUMIF(119:119,G39,120:120)-SUMIF(119:119,C39,120:120)+100</f>
        <v>100</v>
      </c>
      <c r="I39" s="2606" t="s">
        <v>3493</v>
      </c>
      <c r="J39" s="434">
        <f>SUMIF(119:119,I39,120:120)-SUMIF(119:119,C39,120:120)+100</f>
        <v>100</v>
      </c>
      <c r="K39" s="611">
        <v>1</v>
      </c>
      <c r="L39" s="1136"/>
      <c r="M39" s="1127"/>
      <c r="N39" s="1127"/>
      <c r="O39" s="1135"/>
      <c r="P39" s="3277"/>
      <c r="Q39" s="1806" t="str">
        <f t="shared" ref="Q39:Q45" si="14">B39</f>
        <v>宗地形状</v>
      </c>
      <c r="R39" s="773" t="s">
        <v>17</v>
      </c>
      <c r="S39" s="774">
        <f t="shared" si="10"/>
        <v>100</v>
      </c>
      <c r="T39" s="773" t="s">
        <v>17</v>
      </c>
      <c r="U39" s="774">
        <f t="shared" si="11"/>
        <v>100</v>
      </c>
      <c r="V39" s="773" t="s">
        <v>17</v>
      </c>
      <c r="W39" s="774">
        <f t="shared" si="12"/>
        <v>100</v>
      </c>
      <c r="X39" s="1809"/>
      <c r="Y39" s="3277"/>
      <c r="Z39" s="1810" t="str">
        <f t="shared" si="13"/>
        <v>宗地形状</v>
      </c>
      <c r="AA39" s="1807">
        <f t="shared" si="3"/>
        <v>1</v>
      </c>
      <c r="AB39" s="1807">
        <f t="shared" si="4"/>
        <v>1</v>
      </c>
      <c r="AC39" s="1807">
        <f t="shared" si="5"/>
        <v>1</v>
      </c>
    </row>
    <row r="40" spans="1:29" ht="15">
      <c r="A40" s="471"/>
      <c r="B40" s="421" t="s">
        <v>2752</v>
      </c>
      <c r="C40" s="2606" t="s">
        <v>3494</v>
      </c>
      <c r="D40" s="434">
        <v>100</v>
      </c>
      <c r="E40" s="2606" t="s">
        <v>3494</v>
      </c>
      <c r="F40" s="434">
        <f>SUMIF(121:121,E40,122:122)-SUMIF(121:121,C40,122:122)+100</f>
        <v>100</v>
      </c>
      <c r="G40" s="2606" t="s">
        <v>3494</v>
      </c>
      <c r="H40" s="434">
        <f>SUMIF(121:121,G40,122:122)-SUMIF(121:121,C40,122:122)+100</f>
        <v>100</v>
      </c>
      <c r="I40" s="2606" t="s">
        <v>3494</v>
      </c>
      <c r="J40" s="434">
        <f>SUMIF(121:121,I40,122:122)-SUMIF(121:121,C40,122:122)+100</f>
        <v>100</v>
      </c>
      <c r="K40" s="611">
        <v>2</v>
      </c>
      <c r="L40" s="1136"/>
      <c r="M40" s="1127"/>
      <c r="N40" s="1127"/>
      <c r="O40" s="1135"/>
      <c r="P40" s="3277"/>
      <c r="Q40" s="1806" t="str">
        <f t="shared" si="14"/>
        <v>临街宽度及深度</v>
      </c>
      <c r="R40" s="773" t="s">
        <v>17</v>
      </c>
      <c r="S40" s="774">
        <f t="shared" si="10"/>
        <v>100</v>
      </c>
      <c r="T40" s="773" t="s">
        <v>17</v>
      </c>
      <c r="U40" s="774">
        <f t="shared" si="11"/>
        <v>100</v>
      </c>
      <c r="V40" s="773" t="s">
        <v>17</v>
      </c>
      <c r="W40" s="774">
        <f t="shared" si="12"/>
        <v>100</v>
      </c>
      <c r="X40" s="1809"/>
      <c r="Y40" s="3277"/>
      <c r="Z40" s="1810" t="str">
        <f t="shared" si="13"/>
        <v>临街宽度及深度</v>
      </c>
      <c r="AA40" s="1807">
        <f t="shared" si="3"/>
        <v>1</v>
      </c>
      <c r="AB40" s="1807">
        <f t="shared" si="4"/>
        <v>1</v>
      </c>
      <c r="AC40" s="1807">
        <f t="shared" si="5"/>
        <v>1</v>
      </c>
    </row>
    <row r="41" spans="1:29" s="116" customFormat="1" ht="15">
      <c r="A41" s="472"/>
      <c r="B41" s="421" t="s">
        <v>2753</v>
      </c>
      <c r="C41" s="2695" t="s">
        <v>3048</v>
      </c>
      <c r="D41" s="135">
        <v>100</v>
      </c>
      <c r="E41" s="2695" t="s">
        <v>3495</v>
      </c>
      <c r="F41" s="434">
        <f>SUMIF(123:123,E41,124:124)-SUMIF(123:123,C41,124:124)+100</f>
        <v>97</v>
      </c>
      <c r="G41" s="2695" t="s">
        <v>3048</v>
      </c>
      <c r="H41" s="434">
        <f>SUMIF(123:123,G41,124:124)-SUMIF(123:123,C41,124:124)+100</f>
        <v>100</v>
      </c>
      <c r="I41" s="2695" t="s">
        <v>3495</v>
      </c>
      <c r="J41" s="434">
        <f>SUMIF(123:123,I41,124:124)-SUMIF(123:123,C41,124:124)+100</f>
        <v>97</v>
      </c>
      <c r="K41" s="611">
        <v>1</v>
      </c>
      <c r="L41" s="1128"/>
      <c r="M41" s="1129"/>
      <c r="N41" s="1129"/>
      <c r="O41" s="1130"/>
      <c r="P41" s="3277"/>
      <c r="Q41" s="1806" t="str">
        <f t="shared" si="14"/>
        <v>宗地开发程度</v>
      </c>
      <c r="R41" s="769" t="s">
        <v>17</v>
      </c>
      <c r="S41" s="770">
        <f t="shared" si="10"/>
        <v>97</v>
      </c>
      <c r="T41" s="769" t="s">
        <v>17</v>
      </c>
      <c r="U41" s="770">
        <f t="shared" si="11"/>
        <v>100</v>
      </c>
      <c r="V41" s="769" t="s">
        <v>17</v>
      </c>
      <c r="W41" s="770">
        <f t="shared" si="12"/>
        <v>97</v>
      </c>
      <c r="X41" s="771"/>
      <c r="Y41" s="3277"/>
      <c r="Z41" s="54" t="str">
        <f t="shared" si="13"/>
        <v>宗地开发程度</v>
      </c>
      <c r="AA41" s="772">
        <f t="shared" si="3"/>
        <v>1.0309278350515463</v>
      </c>
      <c r="AB41" s="772">
        <f t="shared" si="4"/>
        <v>1</v>
      </c>
      <c r="AC41" s="772">
        <f t="shared" si="5"/>
        <v>1.0309278350515463</v>
      </c>
    </row>
    <row r="42" spans="1:29" ht="15">
      <c r="A42" s="471"/>
      <c r="B42" s="421" t="s">
        <v>2754</v>
      </c>
      <c r="C42" s="2606" t="s">
        <v>3052</v>
      </c>
      <c r="D42" s="434">
        <v>100</v>
      </c>
      <c r="E42" s="2606" t="s">
        <v>3052</v>
      </c>
      <c r="F42" s="434">
        <f>SUMIF(125:125,E42,126:126)-SUMIF(125:125,C42,126:126)+100</f>
        <v>100</v>
      </c>
      <c r="G42" s="2606" t="s">
        <v>3052</v>
      </c>
      <c r="H42" s="434">
        <f>SUMIF(125:125,G42,126:126)-SUMIF(125:125,C42,126:126)+100</f>
        <v>100</v>
      </c>
      <c r="I42" s="2606" t="s">
        <v>3052</v>
      </c>
      <c r="J42" s="434">
        <f>SUMIF(125:125,I42,126:126)-SUMIF(125:125,C42,126:126)+100</f>
        <v>100</v>
      </c>
      <c r="K42" s="611">
        <v>1</v>
      </c>
      <c r="L42" s="1136"/>
      <c r="M42" s="1127"/>
      <c r="N42" s="1127"/>
      <c r="O42" s="1135"/>
      <c r="P42" s="3277" t="s">
        <v>2564</v>
      </c>
      <c r="Q42" s="1806" t="str">
        <f t="shared" si="14"/>
        <v>工程地质条件</v>
      </c>
      <c r="R42" s="773" t="s">
        <v>17</v>
      </c>
      <c r="S42" s="774">
        <f t="shared" si="10"/>
        <v>100</v>
      </c>
      <c r="T42" s="773" t="s">
        <v>17</v>
      </c>
      <c r="U42" s="774">
        <f t="shared" si="11"/>
        <v>100</v>
      </c>
      <c r="V42" s="773" t="s">
        <v>17</v>
      </c>
      <c r="W42" s="774">
        <f t="shared" si="12"/>
        <v>100</v>
      </c>
      <c r="X42" s="1809"/>
      <c r="Y42" s="3277" t="s">
        <v>2564</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277"/>
      <c r="Q43" s="1806">
        <f t="shared" si="14"/>
        <v>111</v>
      </c>
      <c r="R43" s="773" t="s">
        <v>17</v>
      </c>
      <c r="S43" s="774">
        <f t="shared" si="10"/>
        <v>100</v>
      </c>
      <c r="T43" s="773" t="s">
        <v>17</v>
      </c>
      <c r="U43" s="774">
        <f t="shared" si="11"/>
        <v>100</v>
      </c>
      <c r="V43" s="773" t="s">
        <v>17</v>
      </c>
      <c r="W43" s="774">
        <f t="shared" si="12"/>
        <v>100</v>
      </c>
      <c r="X43" s="1809"/>
      <c r="Y43" s="3277"/>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277"/>
      <c r="Q44" s="1806">
        <f t="shared" si="14"/>
        <v>111</v>
      </c>
      <c r="R44" s="773" t="s">
        <v>17</v>
      </c>
      <c r="S44" s="774">
        <f t="shared" si="10"/>
        <v>100</v>
      </c>
      <c r="T44" s="773" t="s">
        <v>17</v>
      </c>
      <c r="U44" s="774">
        <f t="shared" si="11"/>
        <v>100</v>
      </c>
      <c r="V44" s="773" t="s">
        <v>17</v>
      </c>
      <c r="W44" s="774">
        <f t="shared" si="12"/>
        <v>100</v>
      </c>
      <c r="X44" s="1809"/>
      <c r="Y44" s="3277"/>
      <c r="Z44" s="1810">
        <f t="shared" si="13"/>
        <v>111</v>
      </c>
      <c r="AA44" s="1807">
        <f t="shared" si="3"/>
        <v>1</v>
      </c>
      <c r="AB44" s="1807">
        <f t="shared" si="4"/>
        <v>1</v>
      </c>
      <c r="AC44" s="1807">
        <f t="shared" si="5"/>
        <v>1</v>
      </c>
    </row>
    <row r="45" spans="1:29" s="470" customFormat="1" ht="15.75" thickBot="1">
      <c r="A45" s="467"/>
      <c r="B45" s="1383">
        <v>111</v>
      </c>
      <c r="C45" s="2696"/>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277"/>
      <c r="Q45" s="1806">
        <f t="shared" si="14"/>
        <v>111</v>
      </c>
      <c r="R45" s="776" t="s">
        <v>17</v>
      </c>
      <c r="S45" s="777">
        <f t="shared" si="10"/>
        <v>100</v>
      </c>
      <c r="T45" s="776" t="s">
        <v>17</v>
      </c>
      <c r="U45" s="777">
        <f t="shared" si="11"/>
        <v>100</v>
      </c>
      <c r="V45" s="776" t="s">
        <v>17</v>
      </c>
      <c r="W45" s="777">
        <f t="shared" si="12"/>
        <v>100</v>
      </c>
      <c r="X45" s="778"/>
      <c r="Y45" s="3277"/>
      <c r="Z45" s="779">
        <f t="shared" si="13"/>
        <v>111</v>
      </c>
      <c r="AA45" s="1807">
        <f t="shared" si="3"/>
        <v>1</v>
      </c>
      <c r="AB45" s="1807">
        <f t="shared" si="4"/>
        <v>1</v>
      </c>
      <c r="AC45" s="1807">
        <f t="shared" si="5"/>
        <v>1</v>
      </c>
    </row>
    <row r="46" spans="1:29" ht="15">
      <c r="A46" s="478" t="s">
        <v>2719</v>
      </c>
      <c r="B46" s="2697" t="s">
        <v>2755</v>
      </c>
      <c r="C46" s="681" t="s">
        <v>1</v>
      </c>
      <c r="D46" s="480"/>
      <c r="E46" s="481">
        <f>ROUND(案例!K2,0)</f>
        <v>22025</v>
      </c>
      <c r="F46" s="482"/>
      <c r="G46" s="483">
        <f>ROUND(案例!K5,0)</f>
        <v>24837</v>
      </c>
      <c r="H46" s="484"/>
      <c r="I46" s="481">
        <f>ROUND(案例!L35,0)</f>
        <v>21103</v>
      </c>
      <c r="J46" s="484"/>
      <c r="K46" s="782"/>
      <c r="L46" s="1139"/>
      <c r="M46" s="1140"/>
      <c r="N46" s="1127"/>
      <c r="O46" s="1140"/>
      <c r="P46" s="3279" t="str">
        <f>A46</f>
        <v>成交单价</v>
      </c>
      <c r="Q46" s="3279"/>
      <c r="R46" s="3267">
        <f>E46</f>
        <v>22025</v>
      </c>
      <c r="S46" s="3267"/>
      <c r="T46" s="3267">
        <f>G46</f>
        <v>24837</v>
      </c>
      <c r="U46" s="3267"/>
      <c r="V46" s="3267">
        <f>I46</f>
        <v>21103</v>
      </c>
      <c r="W46" s="3267"/>
      <c r="X46" s="758"/>
      <c r="Y46" s="780"/>
      <c r="Z46" s="758"/>
      <c r="AA46" s="758"/>
      <c r="AB46" s="758"/>
      <c r="AC46" s="758"/>
    </row>
    <row r="47" spans="1:29" ht="15.75" thickBot="1">
      <c r="A47" s="485" t="s">
        <v>2668</v>
      </c>
      <c r="B47" s="682"/>
      <c r="C47" s="489">
        <f>R48</f>
        <v>24205</v>
      </c>
      <c r="D47" s="488"/>
      <c r="E47" s="489">
        <f>R47</f>
        <v>23545</v>
      </c>
      <c r="F47" s="490"/>
      <c r="G47" s="487">
        <f>T47</f>
        <v>26753</v>
      </c>
      <c r="H47" s="488"/>
      <c r="I47" s="489">
        <f>V47</f>
        <v>22316</v>
      </c>
      <c r="J47" s="488"/>
      <c r="K47" s="783"/>
      <c r="L47" s="1139"/>
      <c r="M47" s="1140"/>
      <c r="N47" s="1140"/>
      <c r="O47" s="1140"/>
      <c r="P47" s="3279" t="str">
        <f>A47</f>
        <v>比较价值（元/平方米）</v>
      </c>
      <c r="Q47" s="3279"/>
      <c r="R47" s="3318">
        <f>ROUND(PRODUCT(R46,AA7:AA45),0)</f>
        <v>23545</v>
      </c>
      <c r="S47" s="3318"/>
      <c r="T47" s="3318">
        <f>ROUND(PRODUCT(T46,AB7:AB45),0)</f>
        <v>26753</v>
      </c>
      <c r="U47" s="3318"/>
      <c r="V47" s="3318">
        <f>ROUND(PRODUCT(V46,AC7:AC45),0)</f>
        <v>22316</v>
      </c>
      <c r="W47" s="3318"/>
      <c r="X47" s="758"/>
      <c r="Y47" s="758"/>
      <c r="Z47" s="758"/>
      <c r="AA47" s="758"/>
      <c r="AB47" s="758"/>
      <c r="AC47" s="758"/>
    </row>
    <row r="48" spans="1:29" ht="15.75" thickBot="1">
      <c r="A48" s="491" t="s">
        <v>2756</v>
      </c>
      <c r="B48" s="492"/>
      <c r="C48" s="493">
        <f>R48</f>
        <v>24205</v>
      </c>
      <c r="D48" s="493"/>
      <c r="E48" s="493"/>
      <c r="F48" s="493"/>
      <c r="G48" s="493"/>
      <c r="H48" s="493"/>
      <c r="I48" s="493"/>
      <c r="J48" s="493"/>
      <c r="K48" s="784"/>
      <c r="L48" s="1139"/>
      <c r="M48" s="1140"/>
      <c r="N48" s="1140"/>
      <c r="O48" s="1140"/>
      <c r="P48" s="3292" t="str">
        <f>A48</f>
        <v>估价对象XX用房的比较价值（楼面单价，元/平方米）</v>
      </c>
      <c r="Q48" s="3293"/>
      <c r="R48" s="3319">
        <f>ROUND(AVERAGE(R47:V47),0)</f>
        <v>24205</v>
      </c>
      <c r="S48" s="3319"/>
      <c r="T48" s="3319"/>
      <c r="U48" s="3319"/>
      <c r="V48" s="3319"/>
      <c r="W48" s="3319"/>
      <c r="X48" s="758"/>
      <c r="Y48" s="758"/>
      <c r="Z48" s="758"/>
      <c r="AA48" s="758"/>
      <c r="AB48" s="758"/>
      <c r="AC48" s="758"/>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2670</v>
      </c>
      <c r="D51" s="497"/>
      <c r="E51" s="498">
        <f>IF(E46&lt;E47,E47/E46-1,E46/E47-1)</f>
        <v>6.9012485811577706E-2</v>
      </c>
      <c r="F51" s="499" t="str">
        <f>IF(OR(E51&gt;=0.3,E51&lt;=-0.3),"超过30%","")</f>
        <v/>
      </c>
      <c r="G51" s="498">
        <f>IF(G46&lt;G47,G47/G46-1,G46/G47-1)</f>
        <v>7.7142972178604552E-2</v>
      </c>
      <c r="H51" s="499" t="str">
        <f>IF(OR(G51&gt;=0.3,G51&lt;=-0.3),"超过30%","")</f>
        <v/>
      </c>
      <c r="I51" s="498">
        <f>IF(I46&lt;I47,I47/I46-1,I46/I47-1)</f>
        <v>5.7479979149883897E-2</v>
      </c>
      <c r="J51" s="499" t="str">
        <f>IF(OR(I51&gt;=0.3,I51&lt;=-0.3),"超过30%","")</f>
        <v/>
      </c>
      <c r="K51" s="1101"/>
      <c r="L51" s="1102"/>
      <c r="M51" s="1140"/>
      <c r="N51" s="1140"/>
      <c r="O51" s="1140"/>
    </row>
    <row r="52" spans="1:15" ht="13.5" customHeight="1">
      <c r="A52" s="1140"/>
      <c r="B52" s="1140"/>
      <c r="C52" s="496" t="s">
        <v>2671</v>
      </c>
      <c r="D52" s="500"/>
      <c r="E52" s="498">
        <f>IF(E47&lt;G47,G47/E47-1,E47/G47-1)</f>
        <v>0.13624973455085998</v>
      </c>
      <c r="F52" s="499" t="str">
        <f>IF(OR(E52&gt;=0.2,E52&lt;=-0.2),"超过20%","")</f>
        <v/>
      </c>
      <c r="G52" s="498">
        <f>IF(G47&lt;I47,I47/G47-1,G47/I47-1)</f>
        <v>0.19882595447212759</v>
      </c>
      <c r="H52" s="499" t="str">
        <f>IF(OR(G52&gt;=0.2,G52&lt;=-0.2),"超过20%","")</f>
        <v/>
      </c>
      <c r="I52" s="498">
        <f>IF(I47&lt;E47,E47/I47-1,I47/E47-1)</f>
        <v>5.5072593654776902E-2</v>
      </c>
      <c r="J52" s="499" t="str">
        <f>IF(OR(I52&gt;=0.2,I52&lt;=-0.2),"超过20%","")</f>
        <v/>
      </c>
      <c r="K52" s="1101"/>
      <c r="L52" s="1102"/>
      <c r="M52" s="1140"/>
      <c r="N52" s="1140"/>
      <c r="O52" s="1140"/>
    </row>
    <row r="53" spans="1:15" s="501" customFormat="1" ht="13.5" customHeight="1">
      <c r="A53" s="1141"/>
      <c r="B53" s="1141"/>
      <c r="C53" s="496" t="s">
        <v>2672</v>
      </c>
      <c r="D53" s="500"/>
      <c r="E53" s="498">
        <f>IF(E46&lt;G46,G46/E46-1,E46/G46-1)</f>
        <v>0.12767309875141875</v>
      </c>
      <c r="F53" s="499" t="str">
        <f>IF(OR(E53&gt;=0.3,E53&lt;=-0.3),"超过30%","")</f>
        <v/>
      </c>
      <c r="G53" s="498">
        <f>IF(G46&lt;I46,I46/G46-1,G46/I46-1)</f>
        <v>0.17694166706155512</v>
      </c>
      <c r="H53" s="499" t="str">
        <f>IF(OR(G53&gt;=0.3,G53&lt;=-0.3),"超过30%","")</f>
        <v/>
      </c>
      <c r="I53" s="498">
        <f>IF(I46&lt;E46,E46/I46-1,I46/E46-1)</f>
        <v>4.3690470549210936E-2</v>
      </c>
      <c r="J53" s="499" t="str">
        <f>IF(OR(I53&gt;=0.3,I53&lt;=-0.3),"超过30%","")</f>
        <v/>
      </c>
      <c r="K53" s="1144"/>
      <c r="L53" s="1145"/>
      <c r="M53" s="1141"/>
      <c r="N53" s="1141"/>
      <c r="O53" s="1141"/>
    </row>
    <row r="54" spans="1:15" s="501" customFormat="1" ht="15" thickBot="1">
      <c r="A54" s="1141"/>
      <c r="B54" s="1142"/>
      <c r="C54" s="761"/>
      <c r="D54" s="759"/>
      <c r="E54" s="759"/>
      <c r="F54" s="759"/>
      <c r="G54" s="759"/>
      <c r="H54" s="759"/>
      <c r="I54" s="759"/>
      <c r="J54" s="759"/>
      <c r="K54" s="1144"/>
      <c r="L54" s="1145"/>
      <c r="M54" s="1141"/>
      <c r="N54" s="1141"/>
      <c r="O54" s="1141"/>
    </row>
    <row r="55" spans="1:15" ht="27" customHeight="1">
      <c r="A55" s="683" t="s">
        <v>2757</v>
      </c>
      <c r="B55" s="684" t="s">
        <v>2758</v>
      </c>
      <c r="C55" s="2698" t="s">
        <v>2759</v>
      </c>
      <c r="D55" s="2699" t="s">
        <v>2760</v>
      </c>
      <c r="E55" s="685" t="s">
        <v>2761</v>
      </c>
      <c r="F55" s="1103" t="s">
        <v>2762</v>
      </c>
      <c r="G55" s="3254" t="s">
        <v>2763</v>
      </c>
      <c r="H55" s="3320"/>
      <c r="I55" s="143" t="s">
        <v>2764</v>
      </c>
      <c r="J55" s="2700">
        <f>项目基本情况!F35</f>
        <v>0</v>
      </c>
      <c r="K55" s="2701" t="s">
        <v>2765</v>
      </c>
      <c r="L55" s="1102"/>
      <c r="M55" s="1140"/>
      <c r="N55" s="1140"/>
      <c r="O55" s="1140"/>
    </row>
    <row r="56" spans="1:15" s="691" customFormat="1">
      <c r="A56" s="687" t="s">
        <v>2766</v>
      </c>
      <c r="B56" s="688">
        <f>C48</f>
        <v>24205</v>
      </c>
      <c r="C56" s="689">
        <v>1</v>
      </c>
      <c r="D56" s="1159">
        <v>1</v>
      </c>
      <c r="E56" s="689">
        <f>'数据-汇总表'!E8+'数据-汇总表'!E9</f>
        <v>36555.58</v>
      </c>
      <c r="F56" s="1099">
        <f t="shared" ref="F56:F65" si="15">ROUND(B56*E56/10000,0)</f>
        <v>88483</v>
      </c>
      <c r="G56" s="3250"/>
      <c r="H56" s="3279"/>
      <c r="I56" s="1104">
        <v>1</v>
      </c>
      <c r="J56" s="1107">
        <v>1</v>
      </c>
      <c r="K56" s="1141"/>
      <c r="L56" s="937"/>
      <c r="M56" s="937"/>
      <c r="N56" s="937"/>
      <c r="O56" s="937"/>
    </row>
    <row r="57" spans="1:15" s="691" customFormat="1">
      <c r="A57" s="692" t="s">
        <v>2767</v>
      </c>
      <c r="B57" s="261">
        <f>ROUND($C$48*C57*D57,0)</f>
        <v>3631</v>
      </c>
      <c r="C57" s="199">
        <f t="shared" ref="C57:C65" si="16">IF($C$55="北京市系数",I57,J57)</f>
        <v>0.6</v>
      </c>
      <c r="D57" s="1160">
        <v>0.25</v>
      </c>
      <c r="E57" s="693">
        <f>面积表!J4</f>
        <v>3150.28</v>
      </c>
      <c r="F57" s="1099">
        <f t="shared" si="15"/>
        <v>1144</v>
      </c>
      <c r="G57" s="3321" t="s">
        <v>2768</v>
      </c>
      <c r="H57" s="1100" t="str">
        <f>项目基本情况!B37</f>
        <v>八级</v>
      </c>
      <c r="I57" s="1104">
        <f>SUMIF(修正!A45:A56,H57,修正!B45:B56)</f>
        <v>0.6</v>
      </c>
      <c r="J57" s="1108"/>
      <c r="K57" s="1140"/>
      <c r="L57" s="937"/>
      <c r="M57" s="937"/>
      <c r="N57" s="937"/>
      <c r="O57" s="937"/>
    </row>
    <row r="58" spans="1:15" s="691" customFormat="1">
      <c r="A58" s="692" t="s">
        <v>2769</v>
      </c>
      <c r="B58" s="261">
        <f t="shared" ref="B58:B65" si="17">ROUND($C$48*C58*D58,0)</f>
        <v>1815</v>
      </c>
      <c r="C58" s="199">
        <f t="shared" si="16"/>
        <v>0.3</v>
      </c>
      <c r="D58" s="1160">
        <v>0.25</v>
      </c>
      <c r="E58" s="693"/>
      <c r="F58" s="1099">
        <f t="shared" si="15"/>
        <v>0</v>
      </c>
      <c r="G58" s="3321"/>
      <c r="H58" s="1100" t="str">
        <f>项目基本情况!B37</f>
        <v>八级</v>
      </c>
      <c r="I58" s="1104">
        <f>SUMIF(修正!A45:A56,H58,修正!C45:C56)</f>
        <v>0.3</v>
      </c>
      <c r="J58" s="1108"/>
      <c r="K58" s="1141"/>
      <c r="L58" s="937"/>
      <c r="M58" s="937"/>
      <c r="N58" s="937"/>
      <c r="O58" s="937"/>
    </row>
    <row r="59" spans="1:15" s="691" customFormat="1">
      <c r="A59" s="692" t="s">
        <v>2770</v>
      </c>
      <c r="B59" s="261">
        <f t="shared" si="17"/>
        <v>1210</v>
      </c>
      <c r="C59" s="199">
        <f t="shared" si="16"/>
        <v>0.2</v>
      </c>
      <c r="D59" s="1160">
        <v>0.25</v>
      </c>
      <c r="E59" s="693"/>
      <c r="F59" s="1099">
        <f t="shared" si="15"/>
        <v>0</v>
      </c>
      <c r="G59" s="3321"/>
      <c r="H59" s="1100" t="str">
        <f>项目基本情况!B37</f>
        <v>八级</v>
      </c>
      <c r="I59" s="1104">
        <f>SUMIF(修正!A45:A56,H59,修正!D45:D56)</f>
        <v>0.2</v>
      </c>
      <c r="J59" s="1108"/>
      <c r="K59" s="1140"/>
      <c r="L59" s="937"/>
      <c r="M59" s="937"/>
      <c r="N59" s="937"/>
      <c r="O59" s="937"/>
    </row>
    <row r="60" spans="1:15" s="691" customFormat="1">
      <c r="A60" s="692" t="s">
        <v>2771</v>
      </c>
      <c r="B60" s="261">
        <f t="shared" si="17"/>
        <v>1210</v>
      </c>
      <c r="C60" s="199">
        <f t="shared" si="16"/>
        <v>0.2</v>
      </c>
      <c r="D60" s="1160">
        <v>0.25</v>
      </c>
      <c r="E60" s="693"/>
      <c r="F60" s="1099">
        <f t="shared" si="15"/>
        <v>0</v>
      </c>
      <c r="G60" s="3321"/>
      <c r="H60" s="1100" t="str">
        <f>项目基本情况!B37</f>
        <v>八级</v>
      </c>
      <c r="I60" s="1104">
        <f>SUMIF(修正!A45:A56,H60,修正!E45:E56)</f>
        <v>0.2</v>
      </c>
      <c r="J60" s="1108"/>
      <c r="K60" s="1141"/>
      <c r="L60" s="937"/>
      <c r="M60" s="937"/>
      <c r="N60" s="937"/>
      <c r="O60" s="937"/>
    </row>
    <row r="61" spans="1:15" s="691" customFormat="1">
      <c r="A61" s="692" t="s">
        <v>2772</v>
      </c>
      <c r="B61" s="261">
        <f t="shared" si="17"/>
        <v>1210</v>
      </c>
      <c r="C61" s="199">
        <f t="shared" si="16"/>
        <v>0.2</v>
      </c>
      <c r="D61" s="1160">
        <v>0.25</v>
      </c>
      <c r="E61" s="260">
        <f>'数据-汇总表'!E11</f>
        <v>0</v>
      </c>
      <c r="F61" s="1099">
        <f t="shared" si="15"/>
        <v>0</v>
      </c>
      <c r="G61" s="2702" t="s">
        <v>2773</v>
      </c>
      <c r="H61" s="1100" t="str">
        <f>项目基本情况!C37</f>
        <v>八级</v>
      </c>
      <c r="I61" s="1104">
        <f>SUMIF(修正!A45:A56,H61,修正!F45:F56)</f>
        <v>0.2</v>
      </c>
      <c r="J61" s="1108"/>
      <c r="K61" s="1140"/>
      <c r="L61" s="937"/>
      <c r="M61" s="937"/>
      <c r="N61" s="937"/>
      <c r="O61" s="937"/>
    </row>
    <row r="62" spans="1:15" s="691" customFormat="1">
      <c r="A62" s="692" t="s">
        <v>2774</v>
      </c>
      <c r="B62" s="261">
        <f t="shared" si="17"/>
        <v>1210</v>
      </c>
      <c r="C62" s="199">
        <f t="shared" si="16"/>
        <v>0.2</v>
      </c>
      <c r="D62" s="1160">
        <v>0.25</v>
      </c>
      <c r="E62" s="260">
        <f>'数据-汇总表'!E12</f>
        <v>0</v>
      </c>
      <c r="F62" s="1099">
        <f t="shared" si="15"/>
        <v>0</v>
      </c>
      <c r="G62" s="1105" t="s">
        <v>2775</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1" customFormat="1">
      <c r="A63" s="692" t="s">
        <v>2776</v>
      </c>
      <c r="B63" s="261">
        <f t="shared" si="17"/>
        <v>0</v>
      </c>
      <c r="C63" s="199">
        <f t="shared" si="16"/>
        <v>0</v>
      </c>
      <c r="D63" s="1160">
        <v>0.25</v>
      </c>
      <c r="E63" s="260">
        <f>'数据-汇总表'!E13</f>
        <v>0</v>
      </c>
      <c r="F63" s="1099">
        <f t="shared" si="15"/>
        <v>0</v>
      </c>
      <c r="G63" s="1105"/>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1" customFormat="1">
      <c r="A64" s="692" t="s">
        <v>2778</v>
      </c>
      <c r="B64" s="261">
        <f t="shared" si="17"/>
        <v>908</v>
      </c>
      <c r="C64" s="199">
        <f t="shared" si="16"/>
        <v>0.15</v>
      </c>
      <c r="D64" s="1160">
        <v>0.25</v>
      </c>
      <c r="E64" s="260">
        <f>'数据-汇总表'!E14</f>
        <v>0</v>
      </c>
      <c r="F64" s="1099">
        <f t="shared" si="15"/>
        <v>0</v>
      </c>
      <c r="G64" s="2702" t="s">
        <v>2768</v>
      </c>
      <c r="H64" s="1100" t="str">
        <f>项目基本情况!B37</f>
        <v>八级</v>
      </c>
      <c r="I64" s="1104">
        <f>SUMIF(修正!A45:A56,H64,修正!H45:H56)</f>
        <v>0.15</v>
      </c>
      <c r="J64" s="1108"/>
      <c r="K64" s="1141"/>
      <c r="L64" s="937"/>
      <c r="M64" s="937"/>
      <c r="N64" s="937"/>
      <c r="O64" s="937"/>
    </row>
    <row r="65" spans="1:17" s="691" customFormat="1" ht="15" thickBot="1">
      <c r="A65" s="692" t="s">
        <v>2779</v>
      </c>
      <c r="B65" s="261">
        <f t="shared" si="17"/>
        <v>908</v>
      </c>
      <c r="C65" s="199">
        <f t="shared" si="16"/>
        <v>0.15</v>
      </c>
      <c r="D65" s="1160">
        <v>0.25</v>
      </c>
      <c r="E65" s="260">
        <f>'数据-汇总表'!E15</f>
        <v>8479.4599999999919</v>
      </c>
      <c r="F65" s="1099">
        <f t="shared" si="15"/>
        <v>770</v>
      </c>
      <c r="G65" s="2703" t="s">
        <v>2773</v>
      </c>
      <c r="H65" s="1110" t="str">
        <f>项目基本情况!C37</f>
        <v>八级</v>
      </c>
      <c r="I65" s="1106">
        <f>SUMIF(修正!A45:A56,H65,修正!H45:H56)</f>
        <v>0.15</v>
      </c>
      <c r="J65" s="1109"/>
      <c r="K65" s="1140"/>
      <c r="L65" s="937"/>
      <c r="M65" s="937"/>
      <c r="N65" s="937"/>
      <c r="O65" s="937"/>
    </row>
    <row r="66" spans="1:17" s="691" customFormat="1" ht="13.5" thickBot="1">
      <c r="A66" s="694" t="s">
        <v>2780</v>
      </c>
      <c r="B66" s="695" t="s">
        <v>28</v>
      </c>
      <c r="C66" s="695" t="s">
        <v>29</v>
      </c>
      <c r="D66" s="695" t="s">
        <v>1029</v>
      </c>
      <c r="E66" s="695">
        <f>IF(B46="楼面地价",SUM(E56:E65),'数据-汇总表'!D3)</f>
        <v>48185.319999999992</v>
      </c>
      <c r="F66" s="696">
        <f>IF(B46="楼面地价",SUM(F56:F65),ROUND(C48*E66/10000,0))</f>
        <v>90397</v>
      </c>
      <c r="G66" s="786"/>
      <c r="H66" s="786"/>
      <c r="I66" s="786"/>
      <c r="J66" s="786"/>
      <c r="K66" s="1154"/>
      <c r="L66" s="937"/>
      <c r="M66" s="937"/>
      <c r="N66" s="937"/>
      <c r="O66" s="937"/>
    </row>
    <row r="67" spans="1:17">
      <c r="A67" s="758"/>
      <c r="B67" s="760"/>
      <c r="C67" s="761"/>
      <c r="D67" s="758"/>
      <c r="E67" s="758"/>
      <c r="F67" s="758"/>
      <c r="G67" s="758"/>
      <c r="H67" s="758"/>
      <c r="I67" s="758"/>
      <c r="J67" s="1140"/>
      <c r="K67" s="1101"/>
      <c r="L67" s="1102"/>
      <c r="M67" s="1140"/>
      <c r="N67" s="1140"/>
      <c r="O67" s="1140"/>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2673</v>
      </c>
      <c r="B69" s="758"/>
      <c r="C69" s="763"/>
      <c r="D69" s="763"/>
      <c r="E69" s="763"/>
      <c r="F69" s="764"/>
      <c r="G69" s="764"/>
      <c r="H69" s="763"/>
      <c r="I69" s="763"/>
      <c r="J69" s="1155"/>
      <c r="K69" s="1156"/>
      <c r="L69" s="1157"/>
      <c r="M69" s="1155"/>
      <c r="N69" s="1155"/>
      <c r="O69" s="1155"/>
      <c r="P69" s="502"/>
      <c r="Q69" s="503"/>
    </row>
    <row r="70" spans="1:17" s="507" customFormat="1" ht="15">
      <c r="A70" s="2704" t="s">
        <v>2781</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05" t="s">
        <v>2782</v>
      </c>
      <c r="B71" s="331" t="str">
        <f>"北京市平均增长率"&amp;TEXT(SUMIF(基准地价修正!N21:N25,A71,基准地价修正!P21:P25),"0.00%")</f>
        <v>北京市平均增长率2.55%</v>
      </c>
      <c r="C71" s="602">
        <v>100</v>
      </c>
      <c r="D71" s="594">
        <v>98.5</v>
      </c>
      <c r="E71" s="594">
        <v>97</v>
      </c>
      <c r="F71" s="594">
        <v>95.5</v>
      </c>
      <c r="G71" s="594">
        <v>94</v>
      </c>
      <c r="H71" s="594">
        <v>92.5</v>
      </c>
      <c r="I71" s="594">
        <v>91</v>
      </c>
      <c r="J71" s="594">
        <v>89.5</v>
      </c>
      <c r="K71" s="594">
        <v>88</v>
      </c>
      <c r="L71" s="594">
        <v>86.5</v>
      </c>
      <c r="M71" s="1563">
        <v>85</v>
      </c>
      <c r="N71" s="594">
        <v>83.5</v>
      </c>
      <c r="O71" s="1564">
        <v>82</v>
      </c>
      <c r="P71" s="503"/>
    </row>
    <row r="72" spans="1:17" s="116" customFormat="1" ht="15.75" thickBot="1">
      <c r="A72" s="514" t="s">
        <v>2584</v>
      </c>
      <c r="B72" s="515"/>
      <c r="C72" s="516"/>
      <c r="D72" s="517"/>
      <c r="E72" s="517"/>
      <c r="F72" s="517"/>
      <c r="G72" s="517"/>
      <c r="H72" s="517"/>
      <c r="I72" s="517"/>
      <c r="J72" s="517"/>
      <c r="K72" s="517"/>
      <c r="L72" s="517"/>
      <c r="M72" s="518"/>
      <c r="N72" s="517"/>
      <c r="O72" s="1158"/>
      <c r="P72" s="503"/>
      <c r="Q72" s="503"/>
    </row>
    <row r="73" spans="1:17" s="116" customFormat="1" ht="15">
      <c r="A73" s="520" t="s">
        <v>2549</v>
      </c>
      <c r="B73" s="509"/>
      <c r="C73" s="521" t="s">
        <v>2651</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2587</v>
      </c>
      <c r="B75" s="527" t="s">
        <v>2553</v>
      </c>
      <c r="C75" s="2997" t="s">
        <v>3469</v>
      </c>
      <c r="D75" s="529"/>
      <c r="E75" s="529"/>
      <c r="F75" s="529"/>
      <c r="G75" s="529"/>
      <c r="H75" s="529"/>
      <c r="I75" s="529"/>
      <c r="J75" s="529"/>
      <c r="K75" s="530"/>
      <c r="L75" s="531"/>
      <c r="M75" s="532"/>
      <c r="N75" s="1148"/>
      <c r="O75" s="1148"/>
      <c r="P75" s="44"/>
      <c r="Q75" s="503"/>
    </row>
    <row r="76" spans="1:17" ht="15.75" thickBot="1">
      <c r="A76" s="533"/>
      <c r="B76" s="534"/>
      <c r="C76" s="535">
        <v>100</v>
      </c>
      <c r="D76" s="535"/>
      <c r="E76" s="535"/>
      <c r="F76" s="535"/>
      <c r="G76" s="535"/>
      <c r="H76" s="535"/>
      <c r="I76" s="535"/>
      <c r="J76" s="535"/>
      <c r="K76" s="535"/>
      <c r="L76" s="535"/>
      <c r="M76" s="536"/>
      <c r="N76" s="1149"/>
      <c r="O76" s="1149"/>
      <c r="P76" s="44"/>
      <c r="Q76" s="503"/>
    </row>
    <row r="77" spans="1:17" ht="27.75" thickTop="1">
      <c r="A77" s="533"/>
      <c r="B77" s="537" t="s">
        <v>2556</v>
      </c>
      <c r="C77" s="538"/>
      <c r="D77" s="538"/>
      <c r="E77" s="538"/>
      <c r="F77" s="538"/>
      <c r="G77" s="538"/>
      <c r="H77" s="538"/>
      <c r="I77" s="538"/>
      <c r="J77" s="538"/>
      <c r="K77" s="539"/>
      <c r="L77" s="540"/>
      <c r="M77" s="541"/>
      <c r="N77" s="1148"/>
      <c r="O77" s="1148"/>
      <c r="P77" s="44"/>
      <c r="Q77" s="503"/>
    </row>
    <row r="78" spans="1:17" ht="15.75" thickBot="1">
      <c r="A78" s="533"/>
      <c r="B78" s="542"/>
      <c r="C78" s="543"/>
      <c r="D78" s="543"/>
      <c r="E78" s="543"/>
      <c r="F78" s="543"/>
      <c r="G78" s="543"/>
      <c r="H78" s="543"/>
      <c r="I78" s="543"/>
      <c r="J78" s="543"/>
      <c r="K78" s="543"/>
      <c r="L78" s="543"/>
      <c r="M78" s="544"/>
      <c r="N78" s="1149"/>
      <c r="O78" s="1149"/>
      <c r="P78" s="44"/>
      <c r="Q78" s="503"/>
    </row>
    <row r="79" spans="1:17" ht="15.75" thickTop="1">
      <c r="A79" s="533"/>
      <c r="B79" s="545" t="s">
        <v>2557</v>
      </c>
      <c r="C79" s="546" t="str">
        <f>C80&amp;"（含）"&amp;"-"&amp;D80</f>
        <v>0（含）-1</v>
      </c>
      <c r="D79" s="546" t="str">
        <f t="shared" ref="D79:L79" si="20">D80&amp;"（含）"&amp;"-"&amp;E80</f>
        <v>1（含）-2</v>
      </c>
      <c r="E79" s="546" t="str">
        <f t="shared" si="20"/>
        <v>2（含）-3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49"/>
      <c r="O79" s="1149"/>
      <c r="P79" s="44"/>
      <c r="Q79" s="503"/>
    </row>
    <row r="80" spans="1:17" ht="15">
      <c r="A80" s="533"/>
      <c r="B80" s="547"/>
      <c r="C80" s="548">
        <v>0</v>
      </c>
      <c r="D80" s="548">
        <v>1</v>
      </c>
      <c r="E80" s="548">
        <v>2</v>
      </c>
      <c r="F80" s="548">
        <v>3</v>
      </c>
      <c r="G80" s="548">
        <v>4</v>
      </c>
      <c r="H80" s="548">
        <v>5</v>
      </c>
      <c r="I80" s="548"/>
      <c r="J80" s="548"/>
      <c r="K80" s="549"/>
      <c r="L80" s="550"/>
      <c r="M80" s="551"/>
      <c r="N80" s="1148"/>
      <c r="O80" s="1148"/>
      <c r="P80" s="44"/>
      <c r="Q80" s="503"/>
    </row>
    <row r="81" spans="1:17" ht="15.75" thickBot="1">
      <c r="A81" s="533"/>
      <c r="B81" s="534"/>
      <c r="C81" s="543">
        <v>100</v>
      </c>
      <c r="D81" s="543">
        <f t="shared" ref="D81:M81" si="21">IF($B$46="单位面积地价",C81+$K11,C81-$K11)</f>
        <v>99.7</v>
      </c>
      <c r="E81" s="543">
        <f t="shared" si="21"/>
        <v>99.4</v>
      </c>
      <c r="F81" s="543">
        <f t="shared" si="21"/>
        <v>99.100000000000009</v>
      </c>
      <c r="G81" s="543">
        <f t="shared" si="21"/>
        <v>98.800000000000011</v>
      </c>
      <c r="H81" s="543">
        <f t="shared" si="21"/>
        <v>98.500000000000014</v>
      </c>
      <c r="I81" s="543">
        <f t="shared" si="21"/>
        <v>98.200000000000017</v>
      </c>
      <c r="J81" s="543">
        <f t="shared" si="21"/>
        <v>97.90000000000002</v>
      </c>
      <c r="K81" s="543">
        <f t="shared" si="21"/>
        <v>97.600000000000023</v>
      </c>
      <c r="L81" s="543">
        <f t="shared" si="21"/>
        <v>97.300000000000026</v>
      </c>
      <c r="M81" s="543">
        <f t="shared" si="21"/>
        <v>97.000000000000028</v>
      </c>
      <c r="N81" s="1149"/>
      <c r="O81" s="1149"/>
      <c r="P81" s="44"/>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4"/>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48"/>
      <c r="O90" s="1148"/>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49"/>
      <c r="O91" s="1149"/>
      <c r="P91" s="44"/>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48"/>
      <c r="O92" s="1148"/>
      <c r="P92" s="44"/>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49"/>
      <c r="O93" s="1149"/>
      <c r="P93" s="44"/>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48"/>
      <c r="O94" s="1148"/>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49"/>
      <c r="O95" s="1149"/>
      <c r="P95" s="44"/>
      <c r="Q95" s="503"/>
    </row>
    <row r="96" spans="1:17" s="116" customFormat="1" ht="15.75" thickTop="1">
      <c r="A96" s="578"/>
      <c r="B96" s="537" t="s">
        <v>2784</v>
      </c>
      <c r="C96" s="577" t="s">
        <v>2596</v>
      </c>
      <c r="D96" s="577" t="s">
        <v>2597</v>
      </c>
      <c r="E96" s="577" t="s">
        <v>2598</v>
      </c>
      <c r="F96" s="577" t="s">
        <v>2599</v>
      </c>
      <c r="G96" s="577" t="s">
        <v>2600</v>
      </c>
      <c r="H96" s="577"/>
      <c r="I96" s="577"/>
      <c r="J96" s="577"/>
      <c r="K96" s="577"/>
      <c r="L96" s="697"/>
      <c r="M96" s="621"/>
      <c r="N96" s="1147"/>
      <c r="O96" s="1147"/>
      <c r="P96" s="44"/>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49"/>
      <c r="O97" s="1149"/>
      <c r="P97" s="44"/>
      <c r="Q97" s="503"/>
    </row>
    <row r="98" spans="1:17" s="116" customFormat="1" ht="27.75" thickTop="1">
      <c r="A98" s="578"/>
      <c r="B98" s="537" t="s">
        <v>2785</v>
      </c>
      <c r="C98" s="572" t="s">
        <v>2596</v>
      </c>
      <c r="D98" s="572" t="s">
        <v>2597</v>
      </c>
      <c r="E98" s="572" t="s">
        <v>2598</v>
      </c>
      <c r="F98" s="572" t="s">
        <v>2599</v>
      </c>
      <c r="G98" s="572" t="s">
        <v>2600</v>
      </c>
      <c r="H98" s="577"/>
      <c r="I98" s="577"/>
      <c r="J98" s="577"/>
      <c r="K98" s="577"/>
      <c r="L98" s="577"/>
      <c r="M98" s="621"/>
      <c r="N98" s="1147"/>
      <c r="O98" s="1147"/>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49"/>
      <c r="O99" s="1149"/>
      <c r="P99" s="44"/>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0"/>
      <c r="O100" s="1150"/>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0"/>
      <c r="O101" s="1150"/>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1"/>
      <c r="N102" s="1150"/>
      <c r="O102" s="1150"/>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1"/>
      <c r="N103" s="1150"/>
      <c r="O103" s="1150"/>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48"/>
      <c r="O104" s="1148"/>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49"/>
      <c r="O105" s="1149"/>
      <c r="P105" s="44"/>
      <c r="Q105" s="503"/>
    </row>
    <row r="106" spans="1:17" ht="27.75" thickTop="1">
      <c r="A106" s="533"/>
      <c r="B106" s="537" t="s">
        <v>2690</v>
      </c>
      <c r="C106" s="553"/>
      <c r="D106" s="553"/>
      <c r="E106" s="553"/>
      <c r="F106" s="553"/>
      <c r="G106" s="553"/>
      <c r="H106" s="582"/>
      <c r="I106" s="582"/>
      <c r="J106" s="582"/>
      <c r="K106" s="583"/>
      <c r="L106" s="584"/>
      <c r="M106" s="585"/>
      <c r="N106" s="1148"/>
      <c r="O106" s="1148"/>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4"/>
      <c r="Q107" s="503"/>
    </row>
    <row r="108" spans="1:17" ht="15.75" thickTop="1">
      <c r="A108" s="533"/>
      <c r="B108" s="537" t="s">
        <v>2749</v>
      </c>
      <c r="C108" s="582"/>
      <c r="D108" s="582"/>
      <c r="E108" s="582"/>
      <c r="F108" s="582"/>
      <c r="G108" s="582"/>
      <c r="H108" s="582"/>
      <c r="I108" s="582"/>
      <c r="J108" s="582"/>
      <c r="K108" s="583"/>
      <c r="L108" s="584"/>
      <c r="M108" s="585"/>
      <c r="N108" s="1148"/>
      <c r="O108" s="1148"/>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4"/>
      <c r="Q109" s="503"/>
    </row>
    <row r="110" spans="1:17" ht="15.75" thickTop="1">
      <c r="A110" s="533"/>
      <c r="B110" s="545">
        <f>B35</f>
        <v>111</v>
      </c>
      <c r="C110" s="553"/>
      <c r="D110" s="553"/>
      <c r="E110" s="553"/>
      <c r="F110" s="553"/>
      <c r="G110" s="586"/>
      <c r="H110" s="586"/>
      <c r="I110" s="586"/>
      <c r="J110" s="586"/>
      <c r="K110" s="587"/>
      <c r="L110" s="588"/>
      <c r="M110" s="589"/>
      <c r="N110" s="1148"/>
      <c r="O110" s="1148"/>
      <c r="P110" s="44"/>
      <c r="Q110" s="503"/>
    </row>
    <row r="111" spans="1:17" ht="15.75" thickBot="1">
      <c r="A111" s="533"/>
      <c r="B111" s="568"/>
      <c r="C111" s="559"/>
      <c r="D111" s="559"/>
      <c r="E111" s="559"/>
      <c r="F111" s="559"/>
      <c r="G111" s="590"/>
      <c r="H111" s="590"/>
      <c r="I111" s="590"/>
      <c r="J111" s="590"/>
      <c r="K111" s="590"/>
      <c r="L111" s="590"/>
      <c r="M111" s="591"/>
      <c r="N111" s="1149"/>
      <c r="O111" s="1149"/>
      <c r="P111" s="44"/>
      <c r="Q111" s="503"/>
    </row>
    <row r="112" spans="1:17" ht="15" thickTop="1">
      <c r="A112" s="674"/>
      <c r="B112" s="537">
        <f>B36</f>
        <v>111</v>
      </c>
      <c r="C112" s="522"/>
      <c r="D112" s="522"/>
      <c r="E112" s="522"/>
      <c r="F112" s="522"/>
      <c r="G112" s="582"/>
      <c r="H112" s="582"/>
      <c r="I112" s="582"/>
      <c r="J112" s="582"/>
      <c r="K112" s="583"/>
      <c r="L112" s="584"/>
      <c r="M112" s="585"/>
      <c r="N112" s="1148"/>
      <c r="O112" s="1148"/>
      <c r="P112" s="44"/>
      <c r="Q112" s="503"/>
    </row>
    <row r="113" spans="1:17" ht="15.75" thickBot="1">
      <c r="A113" s="533"/>
      <c r="B113" s="542"/>
      <c r="C113" s="569"/>
      <c r="D113" s="569"/>
      <c r="E113" s="569"/>
      <c r="F113" s="569"/>
      <c r="G113" s="535"/>
      <c r="H113" s="535"/>
      <c r="I113" s="535"/>
      <c r="J113" s="535"/>
      <c r="K113" s="535"/>
      <c r="L113" s="535"/>
      <c r="M113" s="536"/>
      <c r="N113" s="1149"/>
      <c r="O113" s="1149"/>
      <c r="P113" s="44"/>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ht="28.5">
      <c r="A116" s="526" t="s">
        <v>2562</v>
      </c>
      <c r="B116" s="527" t="s">
        <v>2790</v>
      </c>
      <c r="C116" s="528" t="str">
        <f>C117&amp;"(含)"&amp;"-"&amp;D117</f>
        <v>0(含)-30000</v>
      </c>
      <c r="D116" s="528" t="str">
        <f t="shared" ref="D116:M116" si="25">D117&amp;"(含)"&amp;"-"&amp;E117</f>
        <v>30000(含)-60000</v>
      </c>
      <c r="E116" s="528" t="str">
        <f t="shared" si="25"/>
        <v>60000(含)-90000</v>
      </c>
      <c r="F116" s="528" t="str">
        <f t="shared" si="25"/>
        <v>90000(含)-120000</v>
      </c>
      <c r="G116" s="528" t="str">
        <f t="shared" si="25"/>
        <v>120000(含)-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4"/>
      <c r="Q116" s="503"/>
    </row>
    <row r="117" spans="1:17" ht="15">
      <c r="A117" s="533"/>
      <c r="B117" s="545"/>
      <c r="C117" s="594">
        <v>0</v>
      </c>
      <c r="D117" s="594">
        <v>30000</v>
      </c>
      <c r="E117" s="594">
        <v>60000</v>
      </c>
      <c r="F117" s="594">
        <v>90000</v>
      </c>
      <c r="G117" s="594">
        <v>120000</v>
      </c>
      <c r="H117" s="594"/>
      <c r="I117" s="594"/>
      <c r="J117" s="595"/>
      <c r="K117" s="595"/>
      <c r="L117" s="596"/>
      <c r="M117" s="597"/>
      <c r="N117" s="1148"/>
      <c r="O117" s="1148"/>
      <c r="P117" s="44"/>
      <c r="Q117" s="503"/>
    </row>
    <row r="118" spans="1:17" ht="15.75" thickBot="1">
      <c r="A118" s="533"/>
      <c r="B118" s="542"/>
      <c r="C118" s="569">
        <v>100</v>
      </c>
      <c r="D118" s="590">
        <v>101</v>
      </c>
      <c r="E118" s="590">
        <v>102</v>
      </c>
      <c r="F118" s="590">
        <v>103</v>
      </c>
      <c r="G118" s="590">
        <v>104</v>
      </c>
      <c r="H118" s="590"/>
      <c r="I118" s="590"/>
      <c r="J118" s="590"/>
      <c r="K118" s="590"/>
      <c r="L118" s="590"/>
      <c r="M118" s="591"/>
      <c r="N118" s="1149"/>
      <c r="O118" s="1149"/>
      <c r="P118" s="44"/>
      <c r="Q118" s="503"/>
    </row>
    <row r="119" spans="1:17" ht="15" thickTop="1">
      <c r="A119" s="598"/>
      <c r="B119" s="537" t="s">
        <v>2791</v>
      </c>
      <c r="C119" s="3001" t="s">
        <v>3476</v>
      </c>
      <c r="D119" s="3001" t="s">
        <v>3477</v>
      </c>
      <c r="E119" s="3001" t="s">
        <v>3478</v>
      </c>
      <c r="F119" s="3001" t="s">
        <v>3479</v>
      </c>
      <c r="G119" s="582"/>
      <c r="H119" s="582"/>
      <c r="I119" s="582"/>
      <c r="J119" s="582"/>
      <c r="K119" s="583"/>
      <c r="L119" s="584"/>
      <c r="M119" s="585"/>
      <c r="N119" s="1148"/>
      <c r="O119" s="1148"/>
      <c r="P119" s="44"/>
      <c r="Q119" s="503"/>
    </row>
    <row r="120" spans="1:17" ht="15.75" thickBot="1">
      <c r="A120" s="533"/>
      <c r="B120" s="542"/>
      <c r="C120" s="543">
        <v>100</v>
      </c>
      <c r="D120" s="543">
        <f t="shared" ref="D120:M120" si="26">C120-$K39</f>
        <v>99</v>
      </c>
      <c r="E120" s="543">
        <f t="shared" si="26"/>
        <v>98</v>
      </c>
      <c r="F120" s="543">
        <f t="shared" si="26"/>
        <v>97</v>
      </c>
      <c r="G120" s="543">
        <f t="shared" si="26"/>
        <v>96</v>
      </c>
      <c r="H120" s="543">
        <f t="shared" si="26"/>
        <v>95</v>
      </c>
      <c r="I120" s="543">
        <f t="shared" si="26"/>
        <v>94</v>
      </c>
      <c r="J120" s="543">
        <f t="shared" si="26"/>
        <v>93</v>
      </c>
      <c r="K120" s="543">
        <f t="shared" si="26"/>
        <v>92</v>
      </c>
      <c r="L120" s="543">
        <f t="shared" si="26"/>
        <v>91</v>
      </c>
      <c r="M120" s="544">
        <f t="shared" si="26"/>
        <v>90</v>
      </c>
      <c r="N120" s="1149"/>
      <c r="O120" s="1149"/>
      <c r="P120" s="44"/>
      <c r="Q120" s="503"/>
    </row>
    <row r="121" spans="1:17" ht="15" thickTop="1">
      <c r="A121" s="598"/>
      <c r="B121" s="537" t="s">
        <v>2792</v>
      </c>
      <c r="C121" s="3002" t="s">
        <v>3480</v>
      </c>
      <c r="D121" s="3002" t="s">
        <v>3481</v>
      </c>
      <c r="E121" s="3002" t="s">
        <v>3482</v>
      </c>
      <c r="F121" s="582"/>
      <c r="G121" s="582"/>
      <c r="H121" s="582"/>
      <c r="I121" s="582"/>
      <c r="J121" s="582"/>
      <c r="K121" s="583"/>
      <c r="L121" s="584"/>
      <c r="M121" s="585"/>
      <c r="N121" s="1148"/>
      <c r="O121" s="1148"/>
      <c r="P121" s="44"/>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49"/>
      <c r="O122" s="1149"/>
      <c r="P122" s="44"/>
      <c r="Q122" s="503"/>
    </row>
    <row r="123" spans="1:17" s="470" customFormat="1" ht="15" thickTop="1">
      <c r="A123" s="592"/>
      <c r="B123" s="537" t="s">
        <v>2793</v>
      </c>
      <c r="C123" s="3002" t="s">
        <v>3483</v>
      </c>
      <c r="D123" s="3002" t="s">
        <v>3484</v>
      </c>
      <c r="E123" s="3002" t="s">
        <v>3485</v>
      </c>
      <c r="F123" s="3002" t="s">
        <v>3486</v>
      </c>
      <c r="G123" s="3002" t="s">
        <v>3487</v>
      </c>
      <c r="H123" s="582"/>
      <c r="I123" s="582"/>
      <c r="J123" s="582"/>
      <c r="K123" s="583"/>
      <c r="L123" s="584"/>
      <c r="M123" s="585"/>
      <c r="N123" s="1150"/>
      <c r="O123" s="1150"/>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0"/>
      <c r="O124" s="1150"/>
      <c r="P124" s="557"/>
      <c r="Q124" s="558"/>
    </row>
    <row r="125" spans="1:17" ht="15" thickTop="1">
      <c r="A125" s="598"/>
      <c r="B125" s="537" t="s">
        <v>2794</v>
      </c>
      <c r="C125" s="3002" t="s">
        <v>3488</v>
      </c>
      <c r="D125" s="3002" t="s">
        <v>3489</v>
      </c>
      <c r="E125" s="3001" t="s">
        <v>3490</v>
      </c>
      <c r="F125" s="3001" t="s">
        <v>3491</v>
      </c>
      <c r="G125" s="3001" t="s">
        <v>3492</v>
      </c>
      <c r="H125" s="582"/>
      <c r="I125" s="582"/>
      <c r="J125" s="582"/>
      <c r="K125" s="583"/>
      <c r="L125" s="584"/>
      <c r="M125" s="585"/>
      <c r="N125" s="1148"/>
      <c r="O125" s="1148"/>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49"/>
      <c r="O126" s="1149"/>
      <c r="P126" s="44"/>
      <c r="Q126" s="503"/>
    </row>
    <row r="127" spans="1:17" ht="15" thickTop="1">
      <c r="A127" s="598"/>
      <c r="B127" s="537">
        <f>B43</f>
        <v>111</v>
      </c>
      <c r="C127" s="553"/>
      <c r="D127" s="553"/>
      <c r="E127" s="553"/>
      <c r="F127" s="553"/>
      <c r="G127" s="553"/>
      <c r="H127" s="582"/>
      <c r="I127" s="582"/>
      <c r="J127" s="582"/>
      <c r="K127" s="583"/>
      <c r="L127" s="584"/>
      <c r="M127" s="585"/>
      <c r="N127" s="1148"/>
      <c r="O127" s="1148"/>
      <c r="P127" s="44"/>
      <c r="Q127" s="503"/>
    </row>
    <row r="128" spans="1:17" ht="15.75" thickBot="1">
      <c r="A128" s="533"/>
      <c r="B128" s="542"/>
      <c r="C128" s="559"/>
      <c r="D128" s="559"/>
      <c r="E128" s="559"/>
      <c r="F128" s="559"/>
      <c r="G128" s="535"/>
      <c r="H128" s="535"/>
      <c r="I128" s="535"/>
      <c r="J128" s="535"/>
      <c r="K128" s="535"/>
      <c r="L128" s="535"/>
      <c r="M128" s="536"/>
      <c r="N128" s="1149"/>
      <c r="O128" s="1149"/>
      <c r="P128" s="44"/>
      <c r="Q128" s="503"/>
    </row>
    <row r="129" spans="1:17" ht="15" thickTop="1">
      <c r="A129" s="598"/>
      <c r="B129" s="537">
        <f>B44</f>
        <v>111</v>
      </c>
      <c r="C129" s="522"/>
      <c r="D129" s="522"/>
      <c r="E129" s="522"/>
      <c r="F129" s="522"/>
      <c r="G129" s="582"/>
      <c r="H129" s="582"/>
      <c r="I129" s="582"/>
      <c r="J129" s="582"/>
      <c r="K129" s="583"/>
      <c r="L129" s="584"/>
      <c r="M129" s="585"/>
      <c r="N129" s="1148"/>
      <c r="O129" s="1148"/>
      <c r="P129" s="44"/>
      <c r="Q129" s="503"/>
    </row>
    <row r="130" spans="1:17" ht="15.75" thickBot="1">
      <c r="A130" s="533"/>
      <c r="B130" s="542"/>
      <c r="C130" s="569"/>
      <c r="D130" s="569"/>
      <c r="E130" s="569"/>
      <c r="F130" s="569"/>
      <c r="G130" s="535"/>
      <c r="H130" s="535"/>
      <c r="I130" s="535"/>
      <c r="J130" s="535"/>
      <c r="K130" s="535"/>
      <c r="L130" s="535"/>
      <c r="M130" s="536"/>
      <c r="N130" s="1149"/>
      <c r="O130" s="1149"/>
      <c r="P130" s="44"/>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2326</v>
      </c>
      <c r="B2" s="670" t="e">
        <f>F61</f>
        <v>#DIV/0!</v>
      </c>
      <c r="C2" s="1121"/>
      <c r="D2" s="1121"/>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2328</v>
      </c>
      <c r="B3" s="608" t="e">
        <f>ROUND(IF(D3="",B2*10000/'数据-汇总表'!E3,B2*10000/D3),0)</f>
        <v>#DIV/0!</v>
      </c>
      <c r="C3" s="246" t="s">
        <v>2745</v>
      </c>
      <c r="D3" s="1579"/>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5">
      <c r="A4" s="400" t="s">
        <v>2644</v>
      </c>
      <c r="B4" s="401"/>
      <c r="C4" s="3254" t="s">
        <v>2645</v>
      </c>
      <c r="D4" s="3255"/>
      <c r="E4" s="3256" t="s">
        <v>2646</v>
      </c>
      <c r="F4" s="3257"/>
      <c r="G4" s="3254" t="s">
        <v>2647</v>
      </c>
      <c r="H4" s="3255"/>
      <c r="I4" s="3254" t="s">
        <v>2648</v>
      </c>
      <c r="J4" s="3255"/>
      <c r="K4" s="609" t="s">
        <v>2649</v>
      </c>
      <c r="L4" s="1126"/>
      <c r="M4" s="1127"/>
      <c r="N4" s="1127"/>
      <c r="O4" s="1127"/>
      <c r="P4" s="3288" t="s">
        <v>2650</v>
      </c>
      <c r="Q4" s="3289"/>
      <c r="R4" s="3285" t="s">
        <v>2646</v>
      </c>
      <c r="S4" s="3286"/>
      <c r="T4" s="3285" t="s">
        <v>2647</v>
      </c>
      <c r="U4" s="3286"/>
      <c r="V4" s="3267" t="s">
        <v>2648</v>
      </c>
      <c r="W4" s="3267"/>
      <c r="X4" s="1809"/>
      <c r="Y4" s="3285" t="s">
        <v>2650</v>
      </c>
      <c r="Z4" s="3286"/>
      <c r="AA4" s="3284" t="s">
        <v>2646</v>
      </c>
      <c r="AB4" s="3233" t="s">
        <v>2647</v>
      </c>
      <c r="AC4" s="3284" t="s">
        <v>2648</v>
      </c>
    </row>
    <row r="5" spans="1:29" ht="15">
      <c r="A5" s="403"/>
      <c r="B5" s="404"/>
      <c r="C5" s="3243" t="s">
        <v>2541</v>
      </c>
      <c r="D5" s="3244"/>
      <c r="E5" s="3287" t="s">
        <v>2542</v>
      </c>
      <c r="F5" s="3242"/>
      <c r="G5" s="3243" t="s">
        <v>2543</v>
      </c>
      <c r="H5" s="3244"/>
      <c r="I5" s="3243" t="s">
        <v>2544</v>
      </c>
      <c r="J5" s="3244"/>
      <c r="K5" s="609"/>
      <c r="L5" s="1126"/>
      <c r="M5" s="1127"/>
      <c r="N5" s="1127"/>
      <c r="O5" s="1127"/>
      <c r="P5" s="3290"/>
      <c r="Q5" s="3261"/>
      <c r="R5" s="3239"/>
      <c r="S5" s="3240"/>
      <c r="T5" s="3239"/>
      <c r="U5" s="3240"/>
      <c r="V5" s="3267"/>
      <c r="W5" s="3267"/>
      <c r="X5" s="1809"/>
      <c r="Y5" s="3239"/>
      <c r="Z5" s="3240"/>
      <c r="AA5" s="3233"/>
      <c r="AB5" s="3233"/>
      <c r="AC5" s="3233"/>
    </row>
    <row r="6" spans="1:29" ht="15.75" thickBot="1">
      <c r="A6" s="405"/>
      <c r="B6" s="406"/>
      <c r="C6" s="3322" t="s">
        <v>2796</v>
      </c>
      <c r="D6" s="3323"/>
      <c r="E6" s="3324" t="s">
        <v>2796</v>
      </c>
      <c r="F6" s="3325"/>
      <c r="G6" s="3322" t="s">
        <v>2796</v>
      </c>
      <c r="H6" s="3323"/>
      <c r="I6" s="3322" t="s">
        <v>2796</v>
      </c>
      <c r="J6" s="3323"/>
      <c r="K6" s="609" t="s">
        <v>2546</v>
      </c>
      <c r="L6" s="1126"/>
      <c r="M6" s="1127"/>
      <c r="N6" s="1127"/>
      <c r="O6" s="1127"/>
      <c r="P6" s="3291"/>
      <c r="Q6" s="3263"/>
      <c r="R6" s="3239"/>
      <c r="S6" s="3240"/>
      <c r="T6" s="3264"/>
      <c r="U6" s="3265"/>
      <c r="V6" s="3267"/>
      <c r="W6" s="3267"/>
      <c r="X6" s="1809"/>
      <c r="Y6" s="3264"/>
      <c r="Z6" s="3265"/>
      <c r="AA6" s="3234"/>
      <c r="AB6" s="3234"/>
      <c r="AC6" s="3234"/>
    </row>
    <row r="7" spans="1:29" s="116" customFormat="1" ht="15.75" thickBot="1">
      <c r="A7" s="407" t="s">
        <v>2547</v>
      </c>
      <c r="B7" s="408"/>
      <c r="C7" s="409">
        <f>'数据-取费表'!B2</f>
        <v>43182</v>
      </c>
      <c r="D7" s="410">
        <v>100</v>
      </c>
      <c r="E7" s="411"/>
      <c r="F7" s="412">
        <f>SUMIF(65:65,YEAR(E7)&amp;"-"&amp;INT((MONTH(E7)+2)/3),66:66)</f>
        <v>0</v>
      </c>
      <c r="G7" s="2689"/>
      <c r="H7" s="410">
        <f>SUMIF(65:65,YEAR(G7)&amp;"-"&amp;INT((MONTH(G7)+2)/3),66:66)</f>
        <v>0</v>
      </c>
      <c r="I7" s="2689"/>
      <c r="J7" s="410">
        <f>SUMIF(65:65,YEAR(I7)&amp;"-"&amp;INT((MONTH(I7)+2)/3),66:66)</f>
        <v>0</v>
      </c>
      <c r="K7" s="610"/>
      <c r="L7" s="1128"/>
      <c r="M7" s="1129"/>
      <c r="N7" s="1129"/>
      <c r="O7" s="1129"/>
      <c r="P7" s="3235" t="s">
        <v>2548</v>
      </c>
      <c r="Q7" s="3269"/>
      <c r="R7" s="769" t="s">
        <v>17</v>
      </c>
      <c r="S7" s="770">
        <f t="shared" ref="S7:S15" si="0">F7</f>
        <v>0</v>
      </c>
      <c r="T7" s="769" t="s">
        <v>17</v>
      </c>
      <c r="U7" s="770">
        <f t="shared" ref="U7:U15" si="1">H7</f>
        <v>0</v>
      </c>
      <c r="V7" s="769" t="s">
        <v>17</v>
      </c>
      <c r="W7" s="770">
        <f t="shared" ref="W7:W15" si="2">J7</f>
        <v>0</v>
      </c>
      <c r="X7" s="771"/>
      <c r="Y7" s="3235" t="s">
        <v>2548</v>
      </c>
      <c r="Z7" s="3236"/>
      <c r="AA7" s="772" t="e">
        <f>D7/F7</f>
        <v>#DIV/0!</v>
      </c>
      <c r="AB7" s="772" t="e">
        <f>D7/H7</f>
        <v>#DIV/0!</v>
      </c>
      <c r="AC7" s="772" t="e">
        <f>D7/J7</f>
        <v>#DIV/0!</v>
      </c>
    </row>
    <row r="8" spans="1:29" s="116"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235" t="s">
        <v>2551</v>
      </c>
      <c r="Q8" s="3236"/>
      <c r="R8" s="769" t="s">
        <v>17</v>
      </c>
      <c r="S8" s="770">
        <f t="shared" si="0"/>
        <v>0</v>
      </c>
      <c r="T8" s="769" t="s">
        <v>17</v>
      </c>
      <c r="U8" s="770">
        <f t="shared" si="1"/>
        <v>0</v>
      </c>
      <c r="V8" s="769" t="s">
        <v>17</v>
      </c>
      <c r="W8" s="770">
        <f t="shared" si="2"/>
        <v>0</v>
      </c>
      <c r="X8" s="771"/>
      <c r="Y8" s="3235" t="s">
        <v>2551</v>
      </c>
      <c r="Z8" s="3236"/>
      <c r="AA8" s="772" t="e">
        <f t="shared" ref="AA8:AA40" si="3">D8/F8</f>
        <v>#DIV/0!</v>
      </c>
      <c r="AB8" s="772" t="e">
        <f t="shared" ref="AB8:AB40" si="4">D8/H8</f>
        <v>#DIV/0!</v>
      </c>
      <c r="AC8" s="772" t="e">
        <f t="shared" ref="AC8:AC40" si="5">D8/J8</f>
        <v>#DIV/0!</v>
      </c>
    </row>
    <row r="9" spans="1:29" s="116" customFormat="1">
      <c r="A9" s="414" t="s">
        <v>2552</v>
      </c>
      <c r="B9" s="70" t="s">
        <v>2553</v>
      </c>
      <c r="C9" s="2692"/>
      <c r="D9" s="134">
        <v>100</v>
      </c>
      <c r="E9" s="2692"/>
      <c r="F9" s="134">
        <f>SUMIF(70:70,E9,71:71)-SUMIF(70:70,C9,71:71)+100</f>
        <v>100</v>
      </c>
      <c r="G9" s="2692"/>
      <c r="H9" s="134">
        <f>SUMIF(70:70,G9,71:71)-SUMIF(70:70,C9,71:71)+100</f>
        <v>100</v>
      </c>
      <c r="I9" s="2692"/>
      <c r="J9" s="134">
        <f>SUMIF(70:70,I9,71:71)-SUMIF(70:70,C9,71:71)+100</f>
        <v>100</v>
      </c>
      <c r="K9" s="610"/>
      <c r="L9" s="1128"/>
      <c r="M9" s="1129"/>
      <c r="N9" s="1129"/>
      <c r="O9" s="1130"/>
      <c r="P9" s="3279" t="s">
        <v>2554</v>
      </c>
      <c r="Q9" s="1791" t="str">
        <f t="shared" ref="Q9:Q15" si="6">B9</f>
        <v>用途</v>
      </c>
      <c r="R9" s="769" t="s">
        <v>17</v>
      </c>
      <c r="S9" s="770">
        <f t="shared" si="0"/>
        <v>100</v>
      </c>
      <c r="T9" s="769" t="s">
        <v>17</v>
      </c>
      <c r="U9" s="770">
        <f t="shared" si="1"/>
        <v>100</v>
      </c>
      <c r="V9" s="769" t="s">
        <v>17</v>
      </c>
      <c r="W9" s="770">
        <f t="shared" si="2"/>
        <v>100</v>
      </c>
      <c r="X9" s="771"/>
      <c r="Y9" s="3104" t="s">
        <v>2555</v>
      </c>
      <c r="Z9" s="54"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102</v>
      </c>
      <c r="G10" s="431"/>
      <c r="H10" s="135">
        <f>ROUND(100/'数据-取费表'!G16,0)</f>
        <v>102</v>
      </c>
      <c r="I10" s="431"/>
      <c r="J10" s="135">
        <f>ROUND(100/'数据-取费表'!G16,0)</f>
        <v>102</v>
      </c>
      <c r="K10" s="671"/>
      <c r="L10" s="1131"/>
      <c r="M10" s="1132"/>
      <c r="N10" s="1132"/>
      <c r="O10" s="1133"/>
      <c r="P10" s="3279"/>
      <c r="Q10" s="1791" t="str">
        <f t="shared" si="6"/>
        <v>土地使用年限（年）</v>
      </c>
      <c r="R10" s="769" t="s">
        <v>17</v>
      </c>
      <c r="S10" s="770">
        <f t="shared" si="0"/>
        <v>102</v>
      </c>
      <c r="T10" s="769" t="s">
        <v>17</v>
      </c>
      <c r="U10" s="770">
        <f t="shared" si="1"/>
        <v>102</v>
      </c>
      <c r="V10" s="769" t="s">
        <v>17</v>
      </c>
      <c r="W10" s="770">
        <f t="shared" si="2"/>
        <v>102</v>
      </c>
      <c r="X10" s="771"/>
      <c r="Y10" s="3104"/>
      <c r="Z10" s="54" t="str">
        <f t="shared" si="7"/>
        <v>土地使用年限（年）</v>
      </c>
      <c r="AA10" s="772">
        <f t="shared" si="3"/>
        <v>0.98039215686274506</v>
      </c>
      <c r="AB10" s="772">
        <f t="shared" si="4"/>
        <v>0.98039215686274506</v>
      </c>
      <c r="AC10" s="772">
        <f t="shared" si="5"/>
        <v>0.98039215686274506</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279"/>
      <c r="Q11" s="1791" t="str">
        <f t="shared" si="6"/>
        <v>容积率</v>
      </c>
      <c r="R11" s="769" t="s">
        <v>17</v>
      </c>
      <c r="S11" s="770" t="e">
        <f t="shared" si="0"/>
        <v>#N/A</v>
      </c>
      <c r="T11" s="769" t="s">
        <v>17</v>
      </c>
      <c r="U11" s="770" t="e">
        <f t="shared" si="1"/>
        <v>#N/A</v>
      </c>
      <c r="V11" s="769" t="s">
        <v>17</v>
      </c>
      <c r="W11" s="770" t="e">
        <f t="shared" si="2"/>
        <v>#N/A</v>
      </c>
      <c r="X11" s="771"/>
      <c r="Y11" s="3104"/>
      <c r="Z11" s="54"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279"/>
      <c r="Q12" s="1791">
        <f t="shared" si="6"/>
        <v>111</v>
      </c>
      <c r="R12" s="769" t="s">
        <v>17</v>
      </c>
      <c r="S12" s="770">
        <f t="shared" si="0"/>
        <v>100</v>
      </c>
      <c r="T12" s="769" t="s">
        <v>17</v>
      </c>
      <c r="U12" s="770">
        <f t="shared" si="1"/>
        <v>100</v>
      </c>
      <c r="V12" s="769" t="s">
        <v>17</v>
      </c>
      <c r="W12" s="770">
        <f t="shared" si="2"/>
        <v>100</v>
      </c>
      <c r="X12" s="771"/>
      <c r="Y12" s="3104"/>
      <c r="Z12" s="54">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279"/>
      <c r="Q13" s="1791">
        <f t="shared" si="6"/>
        <v>111</v>
      </c>
      <c r="R13" s="769" t="s">
        <v>17</v>
      </c>
      <c r="S13" s="770">
        <f t="shared" si="0"/>
        <v>100</v>
      </c>
      <c r="T13" s="769" t="s">
        <v>17</v>
      </c>
      <c r="U13" s="770">
        <f t="shared" si="1"/>
        <v>100</v>
      </c>
      <c r="V13" s="769" t="s">
        <v>17</v>
      </c>
      <c r="W13" s="770">
        <f t="shared" si="2"/>
        <v>100</v>
      </c>
      <c r="X13" s="771"/>
      <c r="Y13" s="3104"/>
      <c r="Z13" s="54">
        <f t="shared" si="7"/>
        <v>111</v>
      </c>
      <c r="AA13" s="772">
        <f t="shared" si="3"/>
        <v>1</v>
      </c>
      <c r="AB13" s="772">
        <f t="shared" si="4"/>
        <v>1</v>
      </c>
      <c r="AC13" s="772">
        <f t="shared" si="5"/>
        <v>1</v>
      </c>
    </row>
    <row r="14" spans="1:29" ht="15.75"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279"/>
      <c r="Q14" s="1791">
        <f t="shared" si="6"/>
        <v>111</v>
      </c>
      <c r="R14" s="769" t="s">
        <v>17</v>
      </c>
      <c r="S14" s="770">
        <f t="shared" si="0"/>
        <v>100</v>
      </c>
      <c r="T14" s="769" t="s">
        <v>17</v>
      </c>
      <c r="U14" s="770">
        <f t="shared" si="1"/>
        <v>100</v>
      </c>
      <c r="V14" s="769" t="s">
        <v>17</v>
      </c>
      <c r="W14" s="770">
        <f t="shared" si="2"/>
        <v>100</v>
      </c>
      <c r="X14" s="771"/>
      <c r="Y14" s="3104"/>
      <c r="Z14" s="54">
        <f t="shared" si="7"/>
        <v>111</v>
      </c>
      <c r="AA14" s="772">
        <f t="shared" si="3"/>
        <v>1</v>
      </c>
      <c r="AB14" s="772">
        <f t="shared" si="4"/>
        <v>1</v>
      </c>
      <c r="AC14" s="772">
        <f t="shared" si="5"/>
        <v>1</v>
      </c>
    </row>
    <row r="15" spans="1:29" ht="57">
      <c r="A15" s="439" t="s">
        <v>2558</v>
      </c>
      <c r="B15" s="628" t="s">
        <v>2797</v>
      </c>
      <c r="C15" s="268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272" t="s">
        <v>2559</v>
      </c>
      <c r="Q15" s="1806" t="str">
        <f t="shared" si="6"/>
        <v>产业集聚程度</v>
      </c>
      <c r="R15" s="773" t="s">
        <v>17</v>
      </c>
      <c r="S15" s="774">
        <f t="shared" si="0"/>
        <v>100</v>
      </c>
      <c r="T15" s="773" t="s">
        <v>17</v>
      </c>
      <c r="U15" s="774">
        <f t="shared" si="1"/>
        <v>100</v>
      </c>
      <c r="V15" s="773" t="s">
        <v>17</v>
      </c>
      <c r="W15" s="774">
        <f t="shared" si="2"/>
        <v>100</v>
      </c>
      <c r="X15" s="1809"/>
      <c r="Y15" s="3272" t="s">
        <v>2559</v>
      </c>
      <c r="Z15" s="1810" t="str">
        <f t="shared" si="7"/>
        <v>产业集聚程度</v>
      </c>
      <c r="AA15" s="1807">
        <f t="shared" si="3"/>
        <v>1</v>
      </c>
      <c r="AB15" s="1807">
        <f t="shared" si="4"/>
        <v>1</v>
      </c>
      <c r="AC15" s="1807">
        <f t="shared" si="5"/>
        <v>1</v>
      </c>
    </row>
    <row r="16" spans="1:29" ht="15">
      <c r="A16" s="427"/>
      <c r="B16" s="629"/>
      <c r="C16" s="446"/>
      <c r="D16" s="447"/>
      <c r="E16" s="2604"/>
      <c r="F16" s="447"/>
      <c r="G16" s="2604"/>
      <c r="H16" s="449"/>
      <c r="I16" s="2604"/>
      <c r="J16" s="447"/>
      <c r="K16" s="671"/>
      <c r="L16" s="1136"/>
      <c r="M16" s="1127"/>
      <c r="N16" s="1127"/>
      <c r="O16" s="1135"/>
      <c r="P16" s="3273"/>
      <c r="Q16" s="1806"/>
      <c r="R16" s="773"/>
      <c r="S16" s="774"/>
      <c r="T16" s="773"/>
      <c r="U16" s="774"/>
      <c r="V16" s="773"/>
      <c r="W16" s="774"/>
      <c r="X16" s="1809"/>
      <c r="Y16" s="3273"/>
      <c r="Z16" s="1810"/>
      <c r="AA16" s="1807">
        <v>1</v>
      </c>
      <c r="AB16" s="1807">
        <v>1</v>
      </c>
      <c r="AC16" s="1807">
        <v>1</v>
      </c>
    </row>
    <row r="17" spans="1:29" ht="85.5">
      <c r="A17" s="427"/>
      <c r="B17" s="630" t="s">
        <v>2708</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273"/>
      <c r="Q17" s="1806" t="str">
        <f>B17</f>
        <v>交通便捷度</v>
      </c>
      <c r="R17" s="773" t="s">
        <v>17</v>
      </c>
      <c r="S17" s="774">
        <f>F17</f>
        <v>100</v>
      </c>
      <c r="T17" s="773" t="s">
        <v>17</v>
      </c>
      <c r="U17" s="774">
        <f>H17</f>
        <v>100</v>
      </c>
      <c r="V17" s="773" t="s">
        <v>17</v>
      </c>
      <c r="W17" s="774">
        <f>J17</f>
        <v>100</v>
      </c>
      <c r="X17" s="1809"/>
      <c r="Y17" s="3273"/>
      <c r="Z17" s="1810" t="str">
        <f>Q17</f>
        <v>交通便捷度</v>
      </c>
      <c r="AA17" s="1807">
        <f t="shared" si="3"/>
        <v>1</v>
      </c>
      <c r="AB17" s="1807">
        <f t="shared" si="4"/>
        <v>1</v>
      </c>
      <c r="AC17" s="1807">
        <f t="shared" si="5"/>
        <v>1</v>
      </c>
    </row>
    <row r="18" spans="1:29" ht="15">
      <c r="A18" s="427"/>
      <c r="B18" s="631"/>
      <c r="C18" s="446"/>
      <c r="D18" s="447"/>
      <c r="E18" s="2598"/>
      <c r="F18" s="447"/>
      <c r="G18" s="2598"/>
      <c r="H18" s="447"/>
      <c r="I18" s="2597"/>
      <c r="J18" s="447"/>
      <c r="K18" s="671"/>
      <c r="L18" s="1136"/>
      <c r="M18" s="1127"/>
      <c r="N18" s="1127"/>
      <c r="O18" s="1135"/>
      <c r="P18" s="3273"/>
      <c r="Q18" s="1806"/>
      <c r="R18" s="773"/>
      <c r="S18" s="774"/>
      <c r="T18" s="773"/>
      <c r="U18" s="774"/>
      <c r="V18" s="773"/>
      <c r="W18" s="774"/>
      <c r="X18" s="1809"/>
      <c r="Y18" s="3273"/>
      <c r="Z18" s="1810"/>
      <c r="AA18" s="1807">
        <v>1</v>
      </c>
      <c r="AB18" s="1807">
        <v>1</v>
      </c>
      <c r="AC18" s="1807">
        <v>1</v>
      </c>
    </row>
    <row r="19" spans="1:29" ht="15">
      <c r="A19" s="427"/>
      <c r="B19" s="630" t="s">
        <v>2747</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273"/>
      <c r="Q19" s="1806" t="str">
        <f t="shared" ref="Q19:Q33" si="8">B19</f>
        <v>区域土地利用方向</v>
      </c>
      <c r="R19" s="773" t="s">
        <v>17</v>
      </c>
      <c r="S19" s="774">
        <f>F19</f>
        <v>100</v>
      </c>
      <c r="T19" s="773" t="s">
        <v>17</v>
      </c>
      <c r="U19" s="774">
        <f>H19</f>
        <v>100</v>
      </c>
      <c r="V19" s="773" t="s">
        <v>17</v>
      </c>
      <c r="W19" s="774">
        <f>J19</f>
        <v>100</v>
      </c>
      <c r="X19" s="1809"/>
      <c r="Y19" s="3273"/>
      <c r="Z19" s="1810" t="str">
        <f>Q19</f>
        <v>区域土地利用方向</v>
      </c>
      <c r="AA19" s="1807">
        <f t="shared" si="3"/>
        <v>1</v>
      </c>
      <c r="AB19" s="1807">
        <f t="shared" si="4"/>
        <v>1</v>
      </c>
      <c r="AC19" s="1807">
        <f t="shared" si="5"/>
        <v>1</v>
      </c>
    </row>
    <row r="20" spans="1:29" ht="15">
      <c r="A20" s="403"/>
      <c r="B20" s="631"/>
      <c r="C20" s="446"/>
      <c r="D20" s="447"/>
      <c r="E20" s="2598"/>
      <c r="F20" s="447"/>
      <c r="G20" s="2598"/>
      <c r="H20" s="447"/>
      <c r="I20" s="2598"/>
      <c r="J20" s="447"/>
      <c r="K20" s="805"/>
      <c r="L20" s="1136"/>
      <c r="M20" s="1127"/>
      <c r="N20" s="1127"/>
      <c r="O20" s="1135"/>
      <c r="P20" s="3273"/>
      <c r="Q20" s="1806"/>
      <c r="R20" s="773"/>
      <c r="S20" s="774"/>
      <c r="T20" s="773"/>
      <c r="U20" s="774"/>
      <c r="V20" s="773"/>
      <c r="W20" s="774"/>
      <c r="X20" s="1809"/>
      <c r="Y20" s="3273"/>
      <c r="Z20" s="1810"/>
      <c r="AA20" s="1807"/>
      <c r="AB20" s="1807"/>
      <c r="AC20" s="1807"/>
    </row>
    <row r="21" spans="1:29" ht="71.25">
      <c r="A21" s="403"/>
      <c r="B21" s="630" t="s">
        <v>2798</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273"/>
      <c r="Q21" s="1806" t="str">
        <f t="shared" si="8"/>
        <v>环境状况</v>
      </c>
      <c r="R21" s="773" t="s">
        <v>17</v>
      </c>
      <c r="S21" s="774">
        <f>F21</f>
        <v>100</v>
      </c>
      <c r="T21" s="773" t="s">
        <v>17</v>
      </c>
      <c r="U21" s="774">
        <f>H21</f>
        <v>100</v>
      </c>
      <c r="V21" s="773" t="s">
        <v>17</v>
      </c>
      <c r="W21" s="774">
        <f>J21</f>
        <v>100</v>
      </c>
      <c r="X21" s="1809"/>
      <c r="Y21" s="3273"/>
      <c r="Z21" s="1810" t="str">
        <f>Q21</f>
        <v>环境状况</v>
      </c>
      <c r="AA21" s="1807">
        <f t="shared" si="3"/>
        <v>1</v>
      </c>
      <c r="AB21" s="1807">
        <f t="shared" si="4"/>
        <v>1</v>
      </c>
      <c r="AC21" s="1807">
        <f t="shared" si="5"/>
        <v>1</v>
      </c>
    </row>
    <row r="22" spans="1:29" ht="15">
      <c r="A22" s="403"/>
      <c r="B22" s="631"/>
      <c r="C22" s="446"/>
      <c r="D22" s="447"/>
      <c r="E22" s="2604"/>
      <c r="F22" s="447"/>
      <c r="G22" s="2604"/>
      <c r="H22" s="447"/>
      <c r="I22" s="446"/>
      <c r="J22" s="447"/>
      <c r="K22" s="671"/>
      <c r="L22" s="1136"/>
      <c r="M22" s="1127"/>
      <c r="N22" s="1127"/>
      <c r="O22" s="1135"/>
      <c r="P22" s="3273"/>
      <c r="Q22" s="1806"/>
      <c r="R22" s="773"/>
      <c r="S22" s="774"/>
      <c r="T22" s="773"/>
      <c r="U22" s="774"/>
      <c r="V22" s="773"/>
      <c r="W22" s="774"/>
      <c r="X22" s="1809"/>
      <c r="Y22" s="3273"/>
      <c r="Z22" s="1810"/>
      <c r="AA22" s="1807">
        <v>1</v>
      </c>
      <c r="AB22" s="1807">
        <v>1</v>
      </c>
      <c r="AC22" s="1807">
        <v>1</v>
      </c>
    </row>
    <row r="23" spans="1:29" s="116" customFormat="1" ht="42.75">
      <c r="A23" s="648"/>
      <c r="B23" s="632" t="s">
        <v>2653</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273"/>
      <c r="Q23" s="1791" t="str">
        <f t="shared" si="8"/>
        <v>公共配套设施</v>
      </c>
      <c r="R23" s="769" t="s">
        <v>17</v>
      </c>
      <c r="S23" s="770">
        <f>F23</f>
        <v>100</v>
      </c>
      <c r="T23" s="769" t="s">
        <v>17</v>
      </c>
      <c r="U23" s="770">
        <f>H23</f>
        <v>100</v>
      </c>
      <c r="V23" s="769" t="s">
        <v>17</v>
      </c>
      <c r="W23" s="770">
        <f>J23</f>
        <v>100</v>
      </c>
      <c r="X23" s="771"/>
      <c r="Y23" s="3273"/>
      <c r="Z23" s="54" t="str">
        <f>Q23</f>
        <v>公共配套设施</v>
      </c>
      <c r="AA23" s="1807">
        <f>D23/F23</f>
        <v>1</v>
      </c>
      <c r="AB23" s="1807">
        <f>D23/H23</f>
        <v>1</v>
      </c>
      <c r="AC23" s="1807">
        <f>D23/J23</f>
        <v>1</v>
      </c>
    </row>
    <row r="24" spans="1:29" s="116" customFormat="1" ht="15">
      <c r="A24" s="648"/>
      <c r="B24" s="631"/>
      <c r="C24" s="2693"/>
      <c r="D24" s="447"/>
      <c r="E24" s="2604"/>
      <c r="F24" s="447"/>
      <c r="G24" s="2604"/>
      <c r="H24" s="447"/>
      <c r="I24" s="446"/>
      <c r="J24" s="447"/>
      <c r="K24" s="671"/>
      <c r="L24" s="1128"/>
      <c r="M24" s="1129"/>
      <c r="N24" s="1129"/>
      <c r="O24" s="1130"/>
      <c r="P24" s="3273"/>
      <c r="Q24" s="1791"/>
      <c r="R24" s="769"/>
      <c r="S24" s="770"/>
      <c r="T24" s="769"/>
      <c r="U24" s="770"/>
      <c r="V24" s="769"/>
      <c r="W24" s="770"/>
      <c r="X24" s="771"/>
      <c r="Y24" s="3273"/>
      <c r="Z24" s="54"/>
      <c r="AA24" s="772">
        <v>1</v>
      </c>
      <c r="AB24" s="772">
        <v>1</v>
      </c>
      <c r="AC24" s="772">
        <v>1</v>
      </c>
    </row>
    <row r="25" spans="1:29" s="116" customFormat="1" ht="28.5">
      <c r="A25" s="648"/>
      <c r="B25" s="632" t="s">
        <v>2654</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273"/>
      <c r="Q25" s="1791" t="str">
        <f t="shared" ref="Q25" si="9">B25</f>
        <v>基础设施水平</v>
      </c>
      <c r="R25" s="769" t="s">
        <v>17</v>
      </c>
      <c r="S25" s="770">
        <f>F25</f>
        <v>100</v>
      </c>
      <c r="T25" s="769" t="s">
        <v>17</v>
      </c>
      <c r="U25" s="770">
        <f>H25</f>
        <v>100</v>
      </c>
      <c r="V25" s="769" t="s">
        <v>17</v>
      </c>
      <c r="W25" s="770">
        <f>J25</f>
        <v>100</v>
      </c>
      <c r="X25" s="771"/>
      <c r="Y25" s="3273"/>
      <c r="Z25" s="54" t="str">
        <f>Q25</f>
        <v>基础设施水平</v>
      </c>
      <c r="AA25" s="1807">
        <f>D25/F25</f>
        <v>1</v>
      </c>
      <c r="AB25" s="1807">
        <f>D25/H25</f>
        <v>1</v>
      </c>
      <c r="AC25" s="1807">
        <f>D25/J25</f>
        <v>1</v>
      </c>
    </row>
    <row r="26" spans="1:29" s="116" customFormat="1" ht="15">
      <c r="A26" s="648"/>
      <c r="B26" s="631"/>
      <c r="C26" s="2693"/>
      <c r="D26" s="447"/>
      <c r="E26" s="2694"/>
      <c r="F26" s="447"/>
      <c r="G26" s="2694"/>
      <c r="H26" s="447"/>
      <c r="I26" s="2694"/>
      <c r="J26" s="447"/>
      <c r="K26" s="671"/>
      <c r="L26" s="1128"/>
      <c r="M26" s="1129"/>
      <c r="N26" s="1129"/>
      <c r="O26" s="1130"/>
      <c r="P26" s="3273"/>
      <c r="Q26" s="1791"/>
      <c r="R26" s="769"/>
      <c r="S26" s="770"/>
      <c r="T26" s="769"/>
      <c r="U26" s="770"/>
      <c r="V26" s="769"/>
      <c r="W26" s="770"/>
      <c r="X26" s="771"/>
      <c r="Y26" s="3273"/>
      <c r="Z26" s="54"/>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73"/>
      <c r="Q27" s="1806" t="str">
        <f t="shared" si="8"/>
        <v>临街状况</v>
      </c>
      <c r="R27" s="773" t="s">
        <v>17</v>
      </c>
      <c r="S27" s="774">
        <f t="shared" ref="S27:S40" si="10">F27</f>
        <v>100</v>
      </c>
      <c r="T27" s="773" t="s">
        <v>17</v>
      </c>
      <c r="U27" s="774">
        <f t="shared" ref="U27:U40" si="11">H27</f>
        <v>100</v>
      </c>
      <c r="V27" s="773" t="s">
        <v>17</v>
      </c>
      <c r="W27" s="774">
        <f t="shared" ref="W27:W40" si="12">J27</f>
        <v>100</v>
      </c>
      <c r="X27" s="1809"/>
      <c r="Y27" s="3273"/>
      <c r="Z27" s="1810" t="str">
        <f t="shared" ref="Z27:Z40" si="13">Q27</f>
        <v>临街状况</v>
      </c>
      <c r="AA27" s="1807">
        <f t="shared" si="3"/>
        <v>1</v>
      </c>
      <c r="AB27" s="1807">
        <f t="shared" si="4"/>
        <v>1</v>
      </c>
      <c r="AC27" s="1807">
        <f t="shared" si="5"/>
        <v>1</v>
      </c>
    </row>
    <row r="28" spans="1:29" ht="27">
      <c r="A28" s="427"/>
      <c r="B28" s="632" t="s">
        <v>2690</v>
      </c>
      <c r="C28" s="270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73"/>
      <c r="Q28" s="1806" t="str">
        <f t="shared" si="8"/>
        <v>毗邻道路的类型与等级</v>
      </c>
      <c r="R28" s="773" t="s">
        <v>17</v>
      </c>
      <c r="S28" s="774">
        <f t="shared" si="10"/>
        <v>100</v>
      </c>
      <c r="T28" s="773" t="s">
        <v>17</v>
      </c>
      <c r="U28" s="774">
        <f t="shared" si="11"/>
        <v>100</v>
      </c>
      <c r="V28" s="773" t="s">
        <v>17</v>
      </c>
      <c r="W28" s="774">
        <f t="shared" si="12"/>
        <v>100</v>
      </c>
      <c r="X28" s="1809"/>
      <c r="Y28" s="3273"/>
      <c r="Z28" s="1810" t="str">
        <f t="shared" si="13"/>
        <v>毗邻道路的类型与等级</v>
      </c>
      <c r="AA28" s="1807">
        <f t="shared" si="3"/>
        <v>1</v>
      </c>
      <c r="AB28" s="1807">
        <f t="shared" si="4"/>
        <v>1</v>
      </c>
      <c r="AC28" s="1807">
        <f t="shared" si="5"/>
        <v>1</v>
      </c>
    </row>
    <row r="29" spans="1:29" ht="15">
      <c r="A29" s="427"/>
      <c r="B29" s="631"/>
      <c r="C29" s="446"/>
      <c r="D29" s="447"/>
      <c r="E29" s="2604"/>
      <c r="F29" s="447"/>
      <c r="G29" s="2604"/>
      <c r="H29" s="447"/>
      <c r="I29" s="2604"/>
      <c r="J29" s="447"/>
      <c r="K29" s="612"/>
      <c r="L29" s="1136"/>
      <c r="M29" s="1127"/>
      <c r="N29" s="1127"/>
      <c r="O29" s="1135"/>
      <c r="P29" s="3273"/>
      <c r="Q29" s="1806"/>
      <c r="R29" s="773"/>
      <c r="S29" s="774"/>
      <c r="T29" s="773"/>
      <c r="U29" s="774"/>
      <c r="V29" s="773"/>
      <c r="W29" s="774"/>
      <c r="X29" s="1809"/>
      <c r="Y29" s="3273"/>
      <c r="Z29" s="1810"/>
      <c r="AA29" s="1807">
        <v>1</v>
      </c>
      <c r="AB29" s="1807">
        <v>1</v>
      </c>
      <c r="AC29" s="1807">
        <v>1</v>
      </c>
    </row>
    <row r="30" spans="1:29" ht="15">
      <c r="A30" s="427"/>
      <c r="B30" s="653" t="s">
        <v>2749</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73"/>
      <c r="Q30" s="1806" t="str">
        <f t="shared" si="8"/>
        <v>土地级别</v>
      </c>
      <c r="R30" s="773" t="s">
        <v>17</v>
      </c>
      <c r="S30" s="774">
        <f t="shared" si="10"/>
        <v>100</v>
      </c>
      <c r="T30" s="773" t="s">
        <v>17</v>
      </c>
      <c r="U30" s="774">
        <f t="shared" si="11"/>
        <v>100</v>
      </c>
      <c r="V30" s="773" t="s">
        <v>17</v>
      </c>
      <c r="W30" s="774">
        <f t="shared" si="12"/>
        <v>100</v>
      </c>
      <c r="X30" s="1809"/>
      <c r="Y30" s="3273"/>
      <c r="Z30" s="1810" t="str">
        <f t="shared" si="13"/>
        <v>土地级别</v>
      </c>
      <c r="AA30" s="1807">
        <f t="shared" si="3"/>
        <v>1</v>
      </c>
      <c r="AB30" s="1807">
        <f t="shared" si="4"/>
        <v>1</v>
      </c>
      <c r="AC30" s="1807">
        <f t="shared" si="5"/>
        <v>1</v>
      </c>
    </row>
    <row r="31" spans="1:29" ht="15">
      <c r="A31" s="403"/>
      <c r="B31" s="267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73"/>
      <c r="Q31" s="1806">
        <f t="shared" si="8"/>
        <v>111</v>
      </c>
      <c r="R31" s="773" t="s">
        <v>17</v>
      </c>
      <c r="S31" s="774">
        <f t="shared" si="10"/>
        <v>100</v>
      </c>
      <c r="T31" s="773" t="s">
        <v>17</v>
      </c>
      <c r="U31" s="774">
        <f t="shared" si="11"/>
        <v>100</v>
      </c>
      <c r="V31" s="773" t="s">
        <v>17</v>
      </c>
      <c r="W31" s="774">
        <f t="shared" si="12"/>
        <v>100</v>
      </c>
      <c r="X31" s="1809"/>
      <c r="Y31" s="3273"/>
      <c r="Z31" s="1810">
        <f t="shared" si="13"/>
        <v>111</v>
      </c>
      <c r="AA31" s="1807">
        <f t="shared" si="3"/>
        <v>1</v>
      </c>
      <c r="AB31" s="1807">
        <f t="shared" si="4"/>
        <v>1</v>
      </c>
      <c r="AC31" s="1807">
        <f t="shared" si="5"/>
        <v>1</v>
      </c>
    </row>
    <row r="32" spans="1:29" ht="15">
      <c r="A32" s="674"/>
      <c r="B32" s="270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317" t="s">
        <v>2564</v>
      </c>
      <c r="Q32" s="1806">
        <f t="shared" si="8"/>
        <v>111</v>
      </c>
      <c r="R32" s="773" t="s">
        <v>17</v>
      </c>
      <c r="S32" s="774">
        <f t="shared" si="10"/>
        <v>100</v>
      </c>
      <c r="T32" s="773" t="s">
        <v>17</v>
      </c>
      <c r="U32" s="774">
        <f t="shared" si="11"/>
        <v>100</v>
      </c>
      <c r="V32" s="773" t="s">
        <v>17</v>
      </c>
      <c r="W32" s="774">
        <f t="shared" si="12"/>
        <v>100</v>
      </c>
      <c r="X32" s="1809"/>
      <c r="Y32" s="3277" t="s">
        <v>2564</v>
      </c>
      <c r="Z32" s="1810">
        <f t="shared" si="13"/>
        <v>111</v>
      </c>
      <c r="AA32" s="1807">
        <f t="shared" si="3"/>
        <v>1</v>
      </c>
      <c r="AB32" s="1807">
        <f t="shared" si="4"/>
        <v>1</v>
      </c>
      <c r="AC32" s="1807">
        <f t="shared" si="5"/>
        <v>1</v>
      </c>
    </row>
    <row r="33" spans="1:29" s="470" customFormat="1" ht="15.75" thickBot="1">
      <c r="A33" s="675"/>
      <c r="B33" s="2708">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277"/>
      <c r="Q33" s="1806">
        <f t="shared" si="8"/>
        <v>111</v>
      </c>
      <c r="R33" s="776" t="s">
        <v>17</v>
      </c>
      <c r="S33" s="777">
        <f t="shared" si="10"/>
        <v>100</v>
      </c>
      <c r="T33" s="776" t="s">
        <v>17</v>
      </c>
      <c r="U33" s="777">
        <f t="shared" si="11"/>
        <v>100</v>
      </c>
      <c r="V33" s="776" t="s">
        <v>17</v>
      </c>
      <c r="W33" s="777">
        <f t="shared" si="12"/>
        <v>100</v>
      </c>
      <c r="X33" s="778"/>
      <c r="Y33" s="3277"/>
      <c r="Z33" s="779">
        <f t="shared" si="13"/>
        <v>111</v>
      </c>
      <c r="AA33" s="1807">
        <f t="shared" si="3"/>
        <v>1</v>
      </c>
      <c r="AB33" s="1807">
        <f t="shared" si="4"/>
        <v>1</v>
      </c>
      <c r="AC33" s="1807">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277"/>
      <c r="Q34" s="1806" t="str">
        <f>B34</f>
        <v>宗地面积</v>
      </c>
      <c r="R34" s="773" t="s">
        <v>17</v>
      </c>
      <c r="S34" s="774" t="e">
        <f t="shared" si="10"/>
        <v>#N/A</v>
      </c>
      <c r="T34" s="773" t="s">
        <v>17</v>
      </c>
      <c r="U34" s="774" t="e">
        <f t="shared" si="11"/>
        <v>#N/A</v>
      </c>
      <c r="V34" s="773" t="s">
        <v>17</v>
      </c>
      <c r="W34" s="774" t="e">
        <f t="shared" si="12"/>
        <v>#N/A</v>
      </c>
      <c r="X34" s="1809"/>
      <c r="Y34" s="3277"/>
      <c r="Z34" s="1810" t="str">
        <f t="shared" si="13"/>
        <v>宗地面积</v>
      </c>
      <c r="AA34" s="1807" t="e">
        <f t="shared" si="3"/>
        <v>#N/A</v>
      </c>
      <c r="AB34" s="1807" t="e">
        <f t="shared" si="4"/>
        <v>#N/A</v>
      </c>
      <c r="AC34" s="1807" t="e">
        <f t="shared" si="5"/>
        <v>#N/A</v>
      </c>
    </row>
    <row r="35" spans="1:29" ht="15">
      <c r="A35" s="471"/>
      <c r="B35" s="421" t="s">
        <v>2751</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6"/>
      <c r="M35" s="1127"/>
      <c r="N35" s="1127"/>
      <c r="O35" s="1135"/>
      <c r="P35" s="3277"/>
      <c r="Q35" s="1806" t="str">
        <f t="shared" ref="Q35:Q40" si="14">B35</f>
        <v>宗地形状</v>
      </c>
      <c r="R35" s="773" t="s">
        <v>17</v>
      </c>
      <c r="S35" s="774">
        <f t="shared" si="10"/>
        <v>100</v>
      </c>
      <c r="T35" s="773" t="s">
        <v>17</v>
      </c>
      <c r="U35" s="774">
        <f t="shared" si="11"/>
        <v>100</v>
      </c>
      <c r="V35" s="773" t="s">
        <v>17</v>
      </c>
      <c r="W35" s="774">
        <f t="shared" si="12"/>
        <v>100</v>
      </c>
      <c r="X35" s="1809"/>
      <c r="Y35" s="3277"/>
      <c r="Z35" s="1810" t="str">
        <f t="shared" si="13"/>
        <v>宗地形状</v>
      </c>
      <c r="AA35" s="1807">
        <f t="shared" si="3"/>
        <v>1</v>
      </c>
      <c r="AB35" s="1807">
        <f t="shared" si="4"/>
        <v>1</v>
      </c>
      <c r="AC35" s="1807">
        <f t="shared" si="5"/>
        <v>1</v>
      </c>
    </row>
    <row r="36" spans="1:29" s="116" customFormat="1" ht="15">
      <c r="A36" s="472"/>
      <c r="B36" s="421" t="s">
        <v>2753</v>
      </c>
      <c r="C36" s="2695"/>
      <c r="D36" s="135">
        <v>100</v>
      </c>
      <c r="E36" s="2695"/>
      <c r="F36" s="434">
        <f>SUMIF(112:112,E36,113:113)-SUMIF(112:112,C36,113:113)+100</f>
        <v>100</v>
      </c>
      <c r="G36" s="2695"/>
      <c r="H36" s="434">
        <f>SUMIF(112:112,G36,113:113)-SUMIF(112:112,C36,113:113)+100</f>
        <v>100</v>
      </c>
      <c r="I36" s="2695"/>
      <c r="J36" s="434">
        <f>SUMIF(112:112,I36,113:113)-SUMIF(112:112,C36,113:113)+100</f>
        <v>100</v>
      </c>
      <c r="K36" s="611"/>
      <c r="L36" s="1128"/>
      <c r="M36" s="1129"/>
      <c r="N36" s="1129"/>
      <c r="O36" s="1130"/>
      <c r="P36" s="3277"/>
      <c r="Q36" s="1806" t="str">
        <f t="shared" si="14"/>
        <v>宗地开发程度</v>
      </c>
      <c r="R36" s="769" t="s">
        <v>17</v>
      </c>
      <c r="S36" s="770">
        <f t="shared" si="10"/>
        <v>100</v>
      </c>
      <c r="T36" s="769" t="s">
        <v>17</v>
      </c>
      <c r="U36" s="770">
        <f t="shared" si="11"/>
        <v>100</v>
      </c>
      <c r="V36" s="769" t="s">
        <v>17</v>
      </c>
      <c r="W36" s="770">
        <f t="shared" si="12"/>
        <v>100</v>
      </c>
      <c r="X36" s="771"/>
      <c r="Y36" s="3277"/>
      <c r="Z36" s="54" t="str">
        <f t="shared" si="13"/>
        <v>宗地开发程度</v>
      </c>
      <c r="AA36" s="772">
        <f t="shared" si="3"/>
        <v>1</v>
      </c>
      <c r="AB36" s="772">
        <f t="shared" si="4"/>
        <v>1</v>
      </c>
      <c r="AC36" s="772">
        <f t="shared" si="5"/>
        <v>1</v>
      </c>
    </row>
    <row r="37" spans="1:29" ht="15">
      <c r="A37" s="471"/>
      <c r="B37" s="421" t="s">
        <v>2754</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6"/>
      <c r="M37" s="1127"/>
      <c r="N37" s="1127"/>
      <c r="O37" s="1135"/>
      <c r="P37" s="3277" t="s">
        <v>2564</v>
      </c>
      <c r="Q37" s="1806" t="str">
        <f t="shared" si="14"/>
        <v>工程地质条件</v>
      </c>
      <c r="R37" s="773" t="s">
        <v>17</v>
      </c>
      <c r="S37" s="774">
        <f t="shared" si="10"/>
        <v>100</v>
      </c>
      <c r="T37" s="773" t="s">
        <v>17</v>
      </c>
      <c r="U37" s="774">
        <f t="shared" si="11"/>
        <v>100</v>
      </c>
      <c r="V37" s="773" t="s">
        <v>17</v>
      </c>
      <c r="W37" s="774">
        <f t="shared" si="12"/>
        <v>100</v>
      </c>
      <c r="X37" s="1809"/>
      <c r="Y37" s="3277" t="s">
        <v>2564</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277"/>
      <c r="Q38" s="1806">
        <f t="shared" si="14"/>
        <v>111</v>
      </c>
      <c r="R38" s="773" t="s">
        <v>17</v>
      </c>
      <c r="S38" s="774">
        <f t="shared" si="10"/>
        <v>100</v>
      </c>
      <c r="T38" s="773" t="s">
        <v>17</v>
      </c>
      <c r="U38" s="774">
        <f t="shared" si="11"/>
        <v>100</v>
      </c>
      <c r="V38" s="773" t="s">
        <v>17</v>
      </c>
      <c r="W38" s="774">
        <f t="shared" si="12"/>
        <v>100</v>
      </c>
      <c r="X38" s="1809"/>
      <c r="Y38" s="3277"/>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277"/>
      <c r="Q39" s="1806">
        <f t="shared" si="14"/>
        <v>111</v>
      </c>
      <c r="R39" s="773" t="s">
        <v>17</v>
      </c>
      <c r="S39" s="774">
        <f t="shared" si="10"/>
        <v>100</v>
      </c>
      <c r="T39" s="773" t="s">
        <v>17</v>
      </c>
      <c r="U39" s="774">
        <f t="shared" si="11"/>
        <v>100</v>
      </c>
      <c r="V39" s="773" t="s">
        <v>17</v>
      </c>
      <c r="W39" s="774">
        <f t="shared" si="12"/>
        <v>100</v>
      </c>
      <c r="X39" s="1809"/>
      <c r="Y39" s="3277"/>
      <c r="Z39" s="1810">
        <f t="shared" si="13"/>
        <v>111</v>
      </c>
      <c r="AA39" s="1807">
        <f t="shared" si="3"/>
        <v>1</v>
      </c>
      <c r="AB39" s="1807">
        <f t="shared" si="4"/>
        <v>1</v>
      </c>
      <c r="AC39" s="1807">
        <f t="shared" si="5"/>
        <v>1</v>
      </c>
    </row>
    <row r="40" spans="1:29" s="470" customFormat="1" ht="15.75" thickBot="1">
      <c r="A40" s="467"/>
      <c r="B40" s="1383">
        <v>111</v>
      </c>
      <c r="C40" s="2696"/>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277"/>
      <c r="Q40" s="1806">
        <f t="shared" si="14"/>
        <v>111</v>
      </c>
      <c r="R40" s="776" t="s">
        <v>17</v>
      </c>
      <c r="S40" s="777">
        <f t="shared" si="10"/>
        <v>100</v>
      </c>
      <c r="T40" s="776" t="s">
        <v>17</v>
      </c>
      <c r="U40" s="777">
        <f t="shared" si="11"/>
        <v>100</v>
      </c>
      <c r="V40" s="776" t="s">
        <v>17</v>
      </c>
      <c r="W40" s="777">
        <f t="shared" si="12"/>
        <v>100</v>
      </c>
      <c r="X40" s="778"/>
      <c r="Y40" s="3277"/>
      <c r="Z40" s="779">
        <f t="shared" si="13"/>
        <v>111</v>
      </c>
      <c r="AA40" s="1807">
        <f t="shared" si="3"/>
        <v>1</v>
      </c>
      <c r="AB40" s="1807">
        <f t="shared" si="4"/>
        <v>1</v>
      </c>
      <c r="AC40" s="1807">
        <f t="shared" si="5"/>
        <v>1</v>
      </c>
    </row>
    <row r="41" spans="1:29" ht="15">
      <c r="A41" s="478" t="s">
        <v>2719</v>
      </c>
      <c r="B41" s="2697" t="s">
        <v>2799</v>
      </c>
      <c r="C41" s="681" t="s">
        <v>1</v>
      </c>
      <c r="D41" s="480"/>
      <c r="E41" s="481"/>
      <c r="F41" s="482"/>
      <c r="G41" s="483"/>
      <c r="H41" s="484"/>
      <c r="I41" s="481"/>
      <c r="J41" s="484"/>
      <c r="K41" s="782"/>
      <c r="L41" s="1139"/>
      <c r="M41" s="1127"/>
      <c r="N41" s="1127"/>
      <c r="O41" s="1140"/>
      <c r="P41" s="3279" t="str">
        <f>A41</f>
        <v>成交单价</v>
      </c>
      <c r="Q41" s="3279"/>
      <c r="R41" s="3267">
        <f>E41</f>
        <v>0</v>
      </c>
      <c r="S41" s="3267"/>
      <c r="T41" s="3267">
        <f>G41</f>
        <v>0</v>
      </c>
      <c r="U41" s="3267"/>
      <c r="V41" s="3267">
        <f>I41</f>
        <v>0</v>
      </c>
      <c r="W41" s="3267"/>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39"/>
      <c r="M42" s="1127"/>
      <c r="N42" s="1127"/>
      <c r="O42" s="1140"/>
      <c r="P42" s="3279" t="str">
        <f>A42</f>
        <v>比较价值（元/平方米）</v>
      </c>
      <c r="Q42" s="3279"/>
      <c r="R42" s="3318" t="e">
        <f>ROUND(PRODUCT(R41,AA7:AA40),0)</f>
        <v>#DIV/0!</v>
      </c>
      <c r="S42" s="3318"/>
      <c r="T42" s="3318" t="e">
        <f>ROUND(PRODUCT(T41,AB7:AB40),0)</f>
        <v>#DIV/0!</v>
      </c>
      <c r="U42" s="3318"/>
      <c r="V42" s="3318" t="e">
        <f>ROUND(PRODUCT(V41,AC7:AC40),0)</f>
        <v>#DIV/0!</v>
      </c>
      <c r="W42" s="3318"/>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39"/>
      <c r="M43" s="1127"/>
      <c r="N43" s="1127"/>
      <c r="O43" s="1140"/>
      <c r="P43" s="3292" t="str">
        <f>A43</f>
        <v>估价对象XX用房的比较价值（楼面单价，元/平方米）</v>
      </c>
      <c r="Q43" s="3293"/>
      <c r="R43" s="3319" t="e">
        <f>ROUND(AVERAGE(R42:V42),0)</f>
        <v>#DIV/0!</v>
      </c>
      <c r="S43" s="3319"/>
      <c r="T43" s="3319"/>
      <c r="U43" s="3319"/>
      <c r="V43" s="3319"/>
      <c r="W43" s="3319"/>
      <c r="X43" s="758"/>
      <c r="Y43" s="758"/>
      <c r="Z43" s="758"/>
      <c r="AA43" s="758"/>
      <c r="AB43" s="758"/>
      <c r="AC43" s="758"/>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61"/>
      <c r="D49" s="759"/>
      <c r="E49" s="759"/>
      <c r="F49" s="759"/>
      <c r="G49" s="759"/>
      <c r="H49" s="759"/>
      <c r="I49" s="759"/>
      <c r="J49" s="759"/>
      <c r="K49" s="1144"/>
      <c r="L49" s="1145"/>
      <c r="M49" s="1141"/>
      <c r="N49" s="1141"/>
      <c r="O49" s="1141"/>
    </row>
    <row r="50" spans="1:17" ht="27">
      <c r="A50" s="683" t="s">
        <v>2757</v>
      </c>
      <c r="B50" s="684" t="s">
        <v>2758</v>
      </c>
      <c r="C50" s="2698" t="s">
        <v>2759</v>
      </c>
      <c r="D50" s="2699" t="s">
        <v>2760</v>
      </c>
      <c r="E50" s="685" t="s">
        <v>2761</v>
      </c>
      <c r="F50" s="686" t="s">
        <v>2762</v>
      </c>
      <c r="G50" s="3254" t="s">
        <v>2763</v>
      </c>
      <c r="H50" s="3320"/>
      <c r="I50" s="1810" t="s">
        <v>2800</v>
      </c>
      <c r="J50" s="1810">
        <f>项目基本情况!F35</f>
        <v>0</v>
      </c>
      <c r="K50" s="2701" t="s">
        <v>2765</v>
      </c>
      <c r="L50" s="1102"/>
      <c r="M50" s="1140"/>
      <c r="N50" s="1140"/>
      <c r="O50" s="1140"/>
    </row>
    <row r="51" spans="1:17" s="691" customFormat="1">
      <c r="A51" s="687" t="s">
        <v>2766</v>
      </c>
      <c r="B51" s="688" t="e">
        <f>C43</f>
        <v>#DIV/0!</v>
      </c>
      <c r="C51" s="689">
        <v>1</v>
      </c>
      <c r="D51" s="1159">
        <v>1</v>
      </c>
      <c r="E51" s="689">
        <f>'数据-汇总表'!E8+'数据-汇总表'!E9</f>
        <v>36555.58</v>
      </c>
      <c r="F51" s="690" t="e">
        <f t="shared" ref="F51:F60" si="15">ROUND(B51*E51/10000,0)</f>
        <v>#DIV/0!</v>
      </c>
      <c r="G51" s="3250"/>
      <c r="H51" s="3279"/>
      <c r="I51" s="938">
        <v>1</v>
      </c>
      <c r="J51" s="938">
        <v>1</v>
      </c>
      <c r="K51" s="1141"/>
      <c r="L51" s="937"/>
      <c r="M51" s="937"/>
      <c r="N51" s="937"/>
      <c r="O51" s="937"/>
    </row>
    <row r="52" spans="1:17" s="691" customFormat="1">
      <c r="A52" s="692" t="s">
        <v>2767</v>
      </c>
      <c r="B52" s="261" t="e">
        <f>ROUND($C$43*C52*D52,0)</f>
        <v>#DIV/0!</v>
      </c>
      <c r="C52" s="199">
        <f t="shared" ref="C52:C60" si="16">IF($C$50="北京市系数",I52,J52)</f>
        <v>0.6</v>
      </c>
      <c r="D52" s="1160">
        <v>0.25</v>
      </c>
      <c r="E52" s="693"/>
      <c r="F52" s="690" t="e">
        <f t="shared" si="15"/>
        <v>#DIV/0!</v>
      </c>
      <c r="G52" s="3321" t="s">
        <v>2768</v>
      </c>
      <c r="H52" s="1100" t="str">
        <f>项目基本情况!B37</f>
        <v>八级</v>
      </c>
      <c r="I52" s="938">
        <f>SUMIF(修正!A45:A56,H52,修正!B45:B56)</f>
        <v>0.6</v>
      </c>
      <c r="J52" s="939"/>
      <c r="K52" s="1140"/>
      <c r="L52" s="937"/>
      <c r="M52" s="937"/>
      <c r="N52" s="937"/>
      <c r="O52" s="937"/>
    </row>
    <row r="53" spans="1:17" s="691" customFormat="1">
      <c r="A53" s="692" t="s">
        <v>2769</v>
      </c>
      <c r="B53" s="261" t="e">
        <f t="shared" ref="B53:B60" si="17">ROUND($C$43*C53*D53,0)</f>
        <v>#DIV/0!</v>
      </c>
      <c r="C53" s="199">
        <f t="shared" si="16"/>
        <v>0.3</v>
      </c>
      <c r="D53" s="1160">
        <v>0.25</v>
      </c>
      <c r="E53" s="693"/>
      <c r="F53" s="690" t="e">
        <f t="shared" si="15"/>
        <v>#DIV/0!</v>
      </c>
      <c r="G53" s="3321"/>
      <c r="H53" s="1100" t="str">
        <f>项目基本情况!B37</f>
        <v>八级</v>
      </c>
      <c r="I53" s="938">
        <f>SUMIF(修正!A45:A56,H53,修正!C45:C56)</f>
        <v>0.3</v>
      </c>
      <c r="J53" s="939"/>
      <c r="K53" s="1141"/>
      <c r="L53" s="937"/>
      <c r="M53" s="937"/>
      <c r="N53" s="937"/>
      <c r="O53" s="937"/>
    </row>
    <row r="54" spans="1:17" s="691" customFormat="1">
      <c r="A54" s="692" t="s">
        <v>2770</v>
      </c>
      <c r="B54" s="261" t="e">
        <f t="shared" si="17"/>
        <v>#DIV/0!</v>
      </c>
      <c r="C54" s="199">
        <f t="shared" si="16"/>
        <v>0.2</v>
      </c>
      <c r="D54" s="1160">
        <v>0.25</v>
      </c>
      <c r="E54" s="693"/>
      <c r="F54" s="690" t="e">
        <f t="shared" si="15"/>
        <v>#DIV/0!</v>
      </c>
      <c r="G54" s="3321"/>
      <c r="H54" s="1100" t="str">
        <f>项目基本情况!B37</f>
        <v>八级</v>
      </c>
      <c r="I54" s="938">
        <f>SUMIF(修正!A45:A56,H54,修正!D45:D56)</f>
        <v>0.2</v>
      </c>
      <c r="J54" s="939"/>
      <c r="K54" s="1140"/>
      <c r="L54" s="937"/>
      <c r="M54" s="937"/>
      <c r="N54" s="937"/>
      <c r="O54" s="937"/>
    </row>
    <row r="55" spans="1:17" s="691" customFormat="1">
      <c r="A55" s="692" t="s">
        <v>2771</v>
      </c>
      <c r="B55" s="261" t="e">
        <f t="shared" si="17"/>
        <v>#DIV/0!</v>
      </c>
      <c r="C55" s="199">
        <f t="shared" si="16"/>
        <v>0.2</v>
      </c>
      <c r="D55" s="1160">
        <v>0.25</v>
      </c>
      <c r="E55" s="693"/>
      <c r="F55" s="690" t="e">
        <f t="shared" si="15"/>
        <v>#DIV/0!</v>
      </c>
      <c r="G55" s="3321"/>
      <c r="H55" s="1100" t="str">
        <f>项目基本情况!B37</f>
        <v>八级</v>
      </c>
      <c r="I55" s="938">
        <f>SUMIF(修正!A45:A56,H55,修正!E45:E56)</f>
        <v>0.2</v>
      </c>
      <c r="J55" s="939"/>
      <c r="K55" s="1141"/>
      <c r="L55" s="937"/>
      <c r="M55" s="937"/>
      <c r="N55" s="937"/>
      <c r="O55" s="937"/>
    </row>
    <row r="56" spans="1:17" s="691" customFormat="1">
      <c r="A56" s="692" t="s">
        <v>2772</v>
      </c>
      <c r="B56" s="261" t="e">
        <f t="shared" si="17"/>
        <v>#DIV/0!</v>
      </c>
      <c r="C56" s="199">
        <f t="shared" si="16"/>
        <v>0.2</v>
      </c>
      <c r="D56" s="1160">
        <v>0.25</v>
      </c>
      <c r="E56" s="260">
        <f>'数据-汇总表'!E11</f>
        <v>0</v>
      </c>
      <c r="F56" s="690" t="e">
        <f t="shared" si="15"/>
        <v>#DIV/0!</v>
      </c>
      <c r="G56" s="2702" t="s">
        <v>2773</v>
      </c>
      <c r="H56" s="1100" t="str">
        <f>项目基本情况!C37</f>
        <v>八级</v>
      </c>
      <c r="I56" s="938">
        <f>SUMIF(修正!A45:A56,H56,修正!F45:F56)</f>
        <v>0.2</v>
      </c>
      <c r="J56" s="939"/>
      <c r="K56" s="1140"/>
      <c r="L56" s="937"/>
      <c r="M56" s="937"/>
      <c r="N56" s="937"/>
      <c r="O56" s="937"/>
    </row>
    <row r="57" spans="1:17" s="691" customFormat="1">
      <c r="A57" s="692" t="s">
        <v>2774</v>
      </c>
      <c r="B57" s="261" t="e">
        <f t="shared" si="17"/>
        <v>#DIV/0!</v>
      </c>
      <c r="C57" s="199">
        <f t="shared" si="16"/>
        <v>0.2</v>
      </c>
      <c r="D57" s="1160">
        <v>0.25</v>
      </c>
      <c r="E57" s="260">
        <f>'数据-汇总表'!E12</f>
        <v>0</v>
      </c>
      <c r="F57" s="690" t="e">
        <f t="shared" si="15"/>
        <v>#DIV/0!</v>
      </c>
      <c r="G57" s="1105" t="s">
        <v>2775</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1" customFormat="1">
      <c r="A58" s="692" t="s">
        <v>2776</v>
      </c>
      <c r="B58" s="261" t="e">
        <f t="shared" si="17"/>
        <v>#DIV/0!</v>
      </c>
      <c r="C58" s="199">
        <f t="shared" si="16"/>
        <v>0</v>
      </c>
      <c r="D58" s="1160">
        <v>0.25</v>
      </c>
      <c r="E58" s="260">
        <f>'数据-汇总表'!E13</f>
        <v>0</v>
      </c>
      <c r="F58" s="690" t="e">
        <f t="shared" si="15"/>
        <v>#DIV/0!</v>
      </c>
      <c r="G58" s="1105" t="s">
        <v>2777</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1" customFormat="1">
      <c r="A59" s="692" t="s">
        <v>2778</v>
      </c>
      <c r="B59" s="261" t="e">
        <f t="shared" si="17"/>
        <v>#DIV/0!</v>
      </c>
      <c r="C59" s="199">
        <f t="shared" si="16"/>
        <v>0.15</v>
      </c>
      <c r="D59" s="1160">
        <v>0.25</v>
      </c>
      <c r="E59" s="260">
        <f>'数据-汇总表'!E14</f>
        <v>0</v>
      </c>
      <c r="F59" s="690" t="e">
        <f t="shared" si="15"/>
        <v>#DIV/0!</v>
      </c>
      <c r="G59" s="2702" t="s">
        <v>2768</v>
      </c>
      <c r="H59" s="1100" t="str">
        <f>项目基本情况!B37</f>
        <v>八级</v>
      </c>
      <c r="I59" s="938">
        <f>SUMIF(修正!A45:A56,H59,修正!H45:H56)</f>
        <v>0.15</v>
      </c>
      <c r="J59" s="939"/>
      <c r="K59" s="1141"/>
      <c r="L59" s="937"/>
      <c r="M59" s="937"/>
      <c r="N59" s="937"/>
      <c r="O59" s="937"/>
    </row>
    <row r="60" spans="1:17" s="691" customFormat="1" ht="15" thickBot="1">
      <c r="A60" s="692" t="s">
        <v>2779</v>
      </c>
      <c r="B60" s="261" t="e">
        <f t="shared" si="17"/>
        <v>#DIV/0!</v>
      </c>
      <c r="C60" s="199">
        <f t="shared" si="16"/>
        <v>0.15</v>
      </c>
      <c r="D60" s="1160">
        <v>0.25</v>
      </c>
      <c r="E60" s="260">
        <f>'数据-汇总表'!E15</f>
        <v>8479.4599999999919</v>
      </c>
      <c r="F60" s="690" t="e">
        <f t="shared" si="15"/>
        <v>#DIV/0!</v>
      </c>
      <c r="G60" s="2703" t="s">
        <v>2773</v>
      </c>
      <c r="H60" s="1110" t="str">
        <f>项目基本情况!C37</f>
        <v>八级</v>
      </c>
      <c r="I60" s="938">
        <f>SUMIF(修正!A45:A56,H60,修正!H45:H56)</f>
        <v>0.15</v>
      </c>
      <c r="J60" s="939"/>
      <c r="K60" s="1140"/>
      <c r="L60" s="937"/>
      <c r="M60" s="937"/>
      <c r="N60" s="937"/>
      <c r="O60" s="937"/>
    </row>
    <row r="61" spans="1:17" s="691" customFormat="1" ht="15" thickBot="1">
      <c r="A61" s="694" t="s">
        <v>2780</v>
      </c>
      <c r="B61" s="695" t="s">
        <v>28</v>
      </c>
      <c r="C61" s="695" t="s">
        <v>29</v>
      </c>
      <c r="D61" s="695" t="s">
        <v>1029</v>
      </c>
      <c r="E61" s="695">
        <f>IF(B41="楼面地价",SUM(E51:E60),'数据-汇总表'!D3)</f>
        <v>9619.89</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2673</v>
      </c>
      <c r="B64" s="758"/>
      <c r="C64" s="763"/>
      <c r="D64" s="763"/>
      <c r="E64" s="763"/>
      <c r="F64" s="764"/>
      <c r="G64" s="764"/>
      <c r="H64" s="763"/>
      <c r="I64" s="763"/>
      <c r="J64" s="763"/>
      <c r="K64" s="765"/>
      <c r="L64" s="766"/>
      <c r="M64" s="763"/>
      <c r="N64" s="763"/>
      <c r="O64" s="1155"/>
      <c r="P64" s="502"/>
      <c r="Q64" s="503"/>
    </row>
    <row r="65" spans="1:17" s="507" customFormat="1" ht="15">
      <c r="A65" s="2704" t="s">
        <v>2781</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09" t="s">
        <v>2801</v>
      </c>
      <c r="B66" s="331" t="str">
        <f>"北京市平均增长率"&amp;TEXT(基准地价修正!P24,"0.00%")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2584</v>
      </c>
      <c r="B67" s="515"/>
      <c r="C67" s="516"/>
      <c r="D67" s="517"/>
      <c r="E67" s="517"/>
      <c r="F67" s="517"/>
      <c r="G67" s="517"/>
      <c r="H67" s="517"/>
      <c r="I67" s="517"/>
      <c r="J67" s="517"/>
      <c r="K67" s="517"/>
      <c r="L67" s="517"/>
      <c r="M67" s="518"/>
      <c r="N67" s="518"/>
      <c r="O67" s="519"/>
      <c r="P67" s="503"/>
      <c r="Q67" s="503"/>
    </row>
    <row r="68" spans="1:17" s="116" customFormat="1" ht="15">
      <c r="A68" s="520" t="s">
        <v>2549</v>
      </c>
      <c r="B68" s="509"/>
      <c r="C68" s="521" t="s">
        <v>2651</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2587</v>
      </c>
      <c r="B70" s="527" t="s">
        <v>2553</v>
      </c>
      <c r="C70" s="529"/>
      <c r="D70" s="529"/>
      <c r="E70" s="529"/>
      <c r="F70" s="529"/>
      <c r="G70" s="529"/>
      <c r="H70" s="529"/>
      <c r="I70" s="529"/>
      <c r="J70" s="529"/>
      <c r="K70" s="530"/>
      <c r="L70" s="531"/>
      <c r="M70" s="532"/>
      <c r="N70" s="1148"/>
      <c r="O70" s="1148"/>
      <c r="P70" s="44"/>
      <c r="Q70" s="503"/>
    </row>
    <row r="71" spans="1:17" ht="15.75" thickBot="1">
      <c r="A71" s="533"/>
      <c r="B71" s="534"/>
      <c r="C71" s="535"/>
      <c r="D71" s="535"/>
      <c r="E71" s="535"/>
      <c r="F71" s="535"/>
      <c r="G71" s="535"/>
      <c r="H71" s="535"/>
      <c r="I71" s="535"/>
      <c r="J71" s="535"/>
      <c r="K71" s="535"/>
      <c r="L71" s="535"/>
      <c r="M71" s="536"/>
      <c r="N71" s="1149"/>
      <c r="O71" s="1149"/>
      <c r="P71" s="44"/>
      <c r="Q71" s="503"/>
    </row>
    <row r="72" spans="1:17" ht="27.75" thickTop="1">
      <c r="A72" s="533"/>
      <c r="B72" s="537" t="s">
        <v>2556</v>
      </c>
      <c r="C72" s="538"/>
      <c r="D72" s="538"/>
      <c r="E72" s="538"/>
      <c r="F72" s="538"/>
      <c r="G72" s="538"/>
      <c r="H72" s="538"/>
      <c r="I72" s="538"/>
      <c r="J72" s="538"/>
      <c r="K72" s="539"/>
      <c r="L72" s="540"/>
      <c r="M72" s="541"/>
      <c r="N72" s="1148"/>
      <c r="O72" s="1148"/>
      <c r="P72" s="44"/>
      <c r="Q72" s="503"/>
    </row>
    <row r="73" spans="1:17" ht="15.75" thickBot="1">
      <c r="A73" s="533"/>
      <c r="B73" s="542"/>
      <c r="C73" s="543"/>
      <c r="D73" s="543"/>
      <c r="E73" s="543"/>
      <c r="F73" s="543"/>
      <c r="G73" s="543"/>
      <c r="H73" s="543"/>
      <c r="I73" s="543"/>
      <c r="J73" s="543"/>
      <c r="K73" s="543"/>
      <c r="L73" s="543"/>
      <c r="M73" s="544"/>
      <c r="N73" s="1149"/>
      <c r="O73" s="1149"/>
      <c r="P73" s="44"/>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4"/>
      <c r="Q74" s="503"/>
    </row>
    <row r="75" spans="1:17" ht="15">
      <c r="A75" s="533"/>
      <c r="B75" s="547"/>
      <c r="C75" s="548"/>
      <c r="D75" s="548"/>
      <c r="E75" s="548"/>
      <c r="F75" s="548"/>
      <c r="G75" s="548"/>
      <c r="H75" s="548"/>
      <c r="I75" s="548"/>
      <c r="J75" s="548"/>
      <c r="K75" s="549"/>
      <c r="L75" s="550"/>
      <c r="M75" s="551"/>
      <c r="N75" s="1148"/>
      <c r="O75" s="1148"/>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4"/>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4"/>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48"/>
      <c r="O85" s="1148"/>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4"/>
      <c r="Q86" s="503"/>
    </row>
    <row r="87" spans="1:17" s="116" customFormat="1" ht="15.75" thickTop="1">
      <c r="A87" s="578"/>
      <c r="B87" s="537" t="s">
        <v>2784</v>
      </c>
      <c r="C87" s="572" t="s">
        <v>2596</v>
      </c>
      <c r="D87" s="572" t="s">
        <v>2597</v>
      </c>
      <c r="E87" s="572" t="s">
        <v>2598</v>
      </c>
      <c r="F87" s="572" t="s">
        <v>2599</v>
      </c>
      <c r="G87" s="572" t="s">
        <v>2600</v>
      </c>
      <c r="H87" s="577"/>
      <c r="I87" s="577"/>
      <c r="J87" s="577"/>
      <c r="K87" s="577"/>
      <c r="L87" s="697"/>
      <c r="M87" s="621"/>
      <c r="N87" s="1147"/>
      <c r="O87" s="1147"/>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4"/>
      <c r="Q88" s="503"/>
    </row>
    <row r="89" spans="1:17" s="116" customFormat="1" ht="27.75" thickTop="1">
      <c r="A89" s="578"/>
      <c r="B89" s="537" t="s">
        <v>2785</v>
      </c>
      <c r="C89" s="572" t="s">
        <v>2596</v>
      </c>
      <c r="D89" s="572" t="s">
        <v>2597</v>
      </c>
      <c r="E89" s="572" t="s">
        <v>2598</v>
      </c>
      <c r="F89" s="572" t="s">
        <v>2599</v>
      </c>
      <c r="G89" s="572" t="s">
        <v>2600</v>
      </c>
      <c r="H89" s="577"/>
      <c r="I89" s="577"/>
      <c r="J89" s="577"/>
      <c r="K89" s="577"/>
      <c r="L89" s="577"/>
      <c r="M89" s="621"/>
      <c r="N89" s="1147"/>
      <c r="O89" s="1147"/>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4"/>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48"/>
      <c r="O95" s="1148"/>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4"/>
      <c r="Q96" s="503"/>
    </row>
    <row r="97" spans="1:17" ht="27.75" thickTop="1">
      <c r="A97" s="533"/>
      <c r="B97" s="537" t="s">
        <v>2690</v>
      </c>
      <c r="C97" s="553"/>
      <c r="D97" s="553"/>
      <c r="E97" s="553"/>
      <c r="F97" s="553"/>
      <c r="G97" s="553"/>
      <c r="H97" s="582"/>
      <c r="I97" s="582"/>
      <c r="J97" s="582"/>
      <c r="K97" s="583"/>
      <c r="L97" s="584"/>
      <c r="M97" s="585"/>
      <c r="N97" s="1148"/>
      <c r="O97" s="1148"/>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4"/>
      <c r="Q98" s="503"/>
    </row>
    <row r="99" spans="1:17" ht="15.75" thickTop="1">
      <c r="A99" s="533"/>
      <c r="B99" s="537" t="s">
        <v>2749</v>
      </c>
      <c r="C99" s="582"/>
      <c r="D99" s="582"/>
      <c r="E99" s="582"/>
      <c r="F99" s="582"/>
      <c r="G99" s="582"/>
      <c r="H99" s="582"/>
      <c r="I99" s="582"/>
      <c r="J99" s="582"/>
      <c r="K99" s="583"/>
      <c r="L99" s="584"/>
      <c r="M99" s="585"/>
      <c r="N99" s="1148"/>
      <c r="O99" s="1148"/>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4"/>
      <c r="Q100" s="503"/>
    </row>
    <row r="101" spans="1:17" ht="15.75" thickTop="1">
      <c r="A101" s="533"/>
      <c r="B101" s="545">
        <f>B31</f>
        <v>111</v>
      </c>
      <c r="C101" s="553"/>
      <c r="D101" s="553"/>
      <c r="E101" s="553"/>
      <c r="F101" s="553"/>
      <c r="G101" s="586"/>
      <c r="H101" s="586"/>
      <c r="I101" s="586"/>
      <c r="J101" s="586"/>
      <c r="K101" s="587"/>
      <c r="L101" s="588"/>
      <c r="M101" s="589"/>
      <c r="N101" s="1148"/>
      <c r="O101" s="1148"/>
      <c r="P101" s="44"/>
      <c r="Q101" s="503"/>
    </row>
    <row r="102" spans="1:17" ht="15.75" thickBot="1">
      <c r="A102" s="533"/>
      <c r="B102" s="568"/>
      <c r="C102" s="559"/>
      <c r="D102" s="535"/>
      <c r="E102" s="535"/>
      <c r="F102" s="535"/>
      <c r="G102" s="590"/>
      <c r="H102" s="590"/>
      <c r="I102" s="590"/>
      <c r="J102" s="590"/>
      <c r="K102" s="590"/>
      <c r="L102" s="590"/>
      <c r="M102" s="591"/>
      <c r="N102" s="1149"/>
      <c r="O102" s="1149"/>
      <c r="P102" s="44"/>
      <c r="Q102" s="503"/>
    </row>
    <row r="103" spans="1:17" ht="15" thickTop="1">
      <c r="A103" s="674"/>
      <c r="B103" s="537">
        <f>B32</f>
        <v>111</v>
      </c>
      <c r="C103" s="553"/>
      <c r="D103" s="553"/>
      <c r="E103" s="553"/>
      <c r="F103" s="553"/>
      <c r="G103" s="582"/>
      <c r="H103" s="582"/>
      <c r="I103" s="582"/>
      <c r="J103" s="582"/>
      <c r="K103" s="583"/>
      <c r="L103" s="584"/>
      <c r="M103" s="585"/>
      <c r="N103" s="1148"/>
      <c r="O103" s="1148"/>
      <c r="P103" s="44"/>
      <c r="Q103" s="503"/>
    </row>
    <row r="104" spans="1:17" ht="15.75" thickBot="1">
      <c r="A104" s="533"/>
      <c r="B104" s="542"/>
      <c r="C104" s="559"/>
      <c r="D104" s="559"/>
      <c r="E104" s="559"/>
      <c r="F104" s="559"/>
      <c r="G104" s="535"/>
      <c r="H104" s="535"/>
      <c r="I104" s="535"/>
      <c r="J104" s="535"/>
      <c r="K104" s="535"/>
      <c r="L104" s="535"/>
      <c r="M104" s="536"/>
      <c r="N104" s="1149"/>
      <c r="O104" s="1149"/>
      <c r="P104" s="44"/>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4"/>
      <c r="Q107" s="503"/>
    </row>
    <row r="108" spans="1:17" ht="15">
      <c r="A108" s="533"/>
      <c r="B108" s="545"/>
      <c r="C108" s="594"/>
      <c r="D108" s="594"/>
      <c r="E108" s="594"/>
      <c r="F108" s="594"/>
      <c r="G108" s="594"/>
      <c r="H108" s="594"/>
      <c r="I108" s="594"/>
      <c r="J108" s="595"/>
      <c r="K108" s="595"/>
      <c r="L108" s="596"/>
      <c r="M108" s="597"/>
      <c r="N108" s="1148"/>
      <c r="O108" s="1148"/>
      <c r="P108" s="44"/>
      <c r="Q108" s="503"/>
    </row>
    <row r="109" spans="1:17" ht="15.75" thickBot="1">
      <c r="A109" s="533"/>
      <c r="B109" s="542"/>
      <c r="C109" s="569"/>
      <c r="D109" s="590"/>
      <c r="E109" s="590"/>
      <c r="F109" s="590"/>
      <c r="G109" s="590"/>
      <c r="H109" s="590"/>
      <c r="I109" s="590"/>
      <c r="J109" s="590"/>
      <c r="K109" s="590"/>
      <c r="L109" s="590"/>
      <c r="M109" s="591"/>
      <c r="N109" s="1149"/>
      <c r="O109" s="1149"/>
      <c r="P109" s="44"/>
      <c r="Q109" s="503"/>
    </row>
    <row r="110" spans="1:17" ht="15" thickTop="1">
      <c r="A110" s="598"/>
      <c r="B110" s="537" t="s">
        <v>2791</v>
      </c>
      <c r="C110" s="582"/>
      <c r="D110" s="582"/>
      <c r="E110" s="582"/>
      <c r="F110" s="582"/>
      <c r="G110" s="582"/>
      <c r="H110" s="582"/>
      <c r="I110" s="582"/>
      <c r="J110" s="582"/>
      <c r="K110" s="583"/>
      <c r="L110" s="584"/>
      <c r="M110" s="585"/>
      <c r="N110" s="1148"/>
      <c r="O110" s="1148"/>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4"/>
      <c r="Q111" s="503"/>
    </row>
    <row r="112" spans="1:17" s="470" customFormat="1" ht="15" thickTop="1">
      <c r="A112" s="592"/>
      <c r="B112" s="537" t="s">
        <v>2793</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2794</v>
      </c>
      <c r="C114" s="553"/>
      <c r="D114" s="553"/>
      <c r="E114" s="582"/>
      <c r="F114" s="582"/>
      <c r="G114" s="582"/>
      <c r="H114" s="582"/>
      <c r="I114" s="582"/>
      <c r="J114" s="582"/>
      <c r="K114" s="583"/>
      <c r="L114" s="584"/>
      <c r="M114" s="585"/>
      <c r="N114" s="1148"/>
      <c r="O114" s="1148"/>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4"/>
      <c r="Q115" s="503"/>
    </row>
    <row r="116" spans="1:17" ht="15" thickTop="1">
      <c r="A116" s="598"/>
      <c r="B116" s="537">
        <f>B38</f>
        <v>111</v>
      </c>
      <c r="C116" s="553"/>
      <c r="D116" s="553"/>
      <c r="E116" s="553"/>
      <c r="F116" s="553"/>
      <c r="G116" s="553"/>
      <c r="H116" s="582"/>
      <c r="I116" s="582"/>
      <c r="J116" s="582"/>
      <c r="K116" s="583"/>
      <c r="L116" s="584"/>
      <c r="M116" s="585"/>
      <c r="N116" s="1148"/>
      <c r="O116" s="1148"/>
      <c r="P116" s="44"/>
      <c r="Q116" s="503"/>
    </row>
    <row r="117" spans="1:17" ht="15.75" thickBot="1">
      <c r="A117" s="533"/>
      <c r="B117" s="542"/>
      <c r="C117" s="559"/>
      <c r="D117" s="535"/>
      <c r="E117" s="535"/>
      <c r="F117" s="535"/>
      <c r="G117" s="535"/>
      <c r="H117" s="535"/>
      <c r="I117" s="535"/>
      <c r="J117" s="535"/>
      <c r="K117" s="535"/>
      <c r="L117" s="535"/>
      <c r="M117" s="536"/>
      <c r="N117" s="1149"/>
      <c r="O117" s="1149"/>
      <c r="P117" s="44"/>
      <c r="Q117" s="503"/>
    </row>
    <row r="118" spans="1:17" ht="15" thickTop="1">
      <c r="A118" s="598"/>
      <c r="B118" s="537">
        <f>B39</f>
        <v>111</v>
      </c>
      <c r="C118" s="553"/>
      <c r="D118" s="553"/>
      <c r="E118" s="553"/>
      <c r="F118" s="553"/>
      <c r="G118" s="582"/>
      <c r="H118" s="582"/>
      <c r="I118" s="582"/>
      <c r="J118" s="582"/>
      <c r="K118" s="583"/>
      <c r="L118" s="584"/>
      <c r="M118" s="585"/>
      <c r="N118" s="1148"/>
      <c r="O118" s="1148"/>
      <c r="P118" s="44"/>
      <c r="Q118" s="503"/>
    </row>
    <row r="119" spans="1:17" ht="15.75" thickBot="1">
      <c r="A119" s="533"/>
      <c r="B119" s="542"/>
      <c r="C119" s="559"/>
      <c r="D119" s="559"/>
      <c r="E119" s="559"/>
      <c r="F119" s="559"/>
      <c r="G119" s="535"/>
      <c r="H119" s="535"/>
      <c r="I119" s="535"/>
      <c r="J119" s="535"/>
      <c r="K119" s="535"/>
      <c r="L119" s="535"/>
      <c r="M119" s="536"/>
      <c r="N119" s="1149"/>
      <c r="O119" s="1149"/>
      <c r="P119" s="44"/>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D30" sqref="D30"/>
    </sheetView>
  </sheetViews>
  <sheetFormatPr defaultColWidth="12" defaultRowHeight="12.75"/>
  <cols>
    <col min="1" max="1" width="9.75" style="2789" customWidth="1"/>
    <col min="2" max="2" width="19.25" style="2895" customWidth="1"/>
    <col min="3" max="4" width="12" style="2713"/>
    <col min="5" max="5" width="14.625" style="2713" customWidth="1"/>
    <col min="6" max="8" width="12" style="2713"/>
    <col min="9" max="9" width="12.25" style="2713" bestFit="1" customWidth="1"/>
    <col min="10" max="10" width="12" style="2713"/>
    <col min="11" max="11" width="8.125" style="2781" customWidth="1"/>
    <col min="12" max="12" width="12" style="2713"/>
    <col min="13" max="13" width="8.5" style="2713" customWidth="1"/>
    <col min="14" max="14" width="9.75" style="2713" customWidth="1"/>
    <col min="15" max="25" width="12" style="2713"/>
    <col min="26" max="26" width="9.375" style="2789" customWidth="1"/>
    <col min="27" max="32" width="9.375" style="1368" customWidth="1"/>
    <col min="33" max="36" width="9.375" style="2789" customWidth="1"/>
    <col min="37" max="38" width="9.375" style="2713" customWidth="1"/>
    <col min="39" max="16384" width="12" style="2713"/>
  </cols>
  <sheetData>
    <row r="1" spans="1:36" ht="28.5">
      <c r="A1" s="239" t="s">
        <v>2803</v>
      </c>
      <c r="B1" s="240"/>
      <c r="C1" s="244" t="s">
        <v>2804</v>
      </c>
      <c r="D1" s="387">
        <f>SUM(D29:D30,D33:D39)</f>
        <v>10000</v>
      </c>
      <c r="E1" s="2710"/>
      <c r="F1" s="2710"/>
      <c r="G1" s="2710"/>
      <c r="H1" s="2710"/>
      <c r="I1" s="2710"/>
      <c r="J1" s="2710"/>
      <c r="K1" s="1366"/>
      <c r="L1" s="2711" t="s">
        <v>2805</v>
      </c>
      <c r="M1" s="1076">
        <f>SUMPRODUCT((区片价!B5:B9=I2)*(区片价!C3:F3=E2)*(区片价!C5:F9))</f>
        <v>0</v>
      </c>
      <c r="N1" s="1079">
        <f>SUMPRODUCT((因素修正幅度!B5:B9=I2)*(因素修正幅度!C3:F3=E2)*(因素修正幅度!C5:F9))</f>
        <v>0</v>
      </c>
      <c r="O1" s="2712"/>
      <c r="P1" s="2712"/>
      <c r="Q1" s="1366"/>
      <c r="R1" s="1598" t="s">
        <v>2806</v>
      </c>
      <c r="S1" s="1598" t="s">
        <v>2807</v>
      </c>
      <c r="T1" s="1598" t="s">
        <v>2808</v>
      </c>
      <c r="U1" s="1598" t="s">
        <v>2809</v>
      </c>
      <c r="V1" s="1598" t="s">
        <v>2810</v>
      </c>
      <c r="W1" s="1602"/>
      <c r="X1" s="1602"/>
      <c r="Y1" s="1602"/>
      <c r="Z1" s="1602"/>
      <c r="AA1" s="1602"/>
      <c r="AB1" s="1602"/>
      <c r="AC1" s="1603"/>
      <c r="AD1" s="1604"/>
      <c r="AE1" s="1604"/>
      <c r="AF1" s="1604"/>
      <c r="AG1" s="1604"/>
      <c r="AH1" s="1604"/>
      <c r="AI1" s="1604"/>
      <c r="AJ1" s="1605"/>
    </row>
    <row r="2" spans="1:36" ht="15.75">
      <c r="A2" s="244" t="s">
        <v>2811</v>
      </c>
      <c r="B2" s="247">
        <f ca="1">C26</f>
        <v>5840</v>
      </c>
      <c r="C2" s="2714" t="s">
        <v>2812</v>
      </c>
      <c r="D2" s="2715" t="s">
        <v>2813</v>
      </c>
      <c r="E2" s="2716" t="s">
        <v>27</v>
      </c>
      <c r="F2" s="2715" t="s">
        <v>2814</v>
      </c>
      <c r="G2" s="2717" t="str">
        <f>IF(E2="商业",项目基本情况!B37,IF(E2="办公",项目基本情况!C37,IF(E2="住宅",项目基本情况!D37,项目基本情况!E37)))</f>
        <v>八级</v>
      </c>
      <c r="H2" s="2715" t="s">
        <v>2815</v>
      </c>
      <c r="I2" s="2717" t="str">
        <f>IF(E2="商业",项目基本情况!B38,IF(E2="办公",项目基本情况!C38,IF(E2="住宅",项目基本情况!D38,项目基本情况!E38)))</f>
        <v>Ⅷ-兴1</v>
      </c>
      <c r="J2" s="2718"/>
      <c r="K2" s="1366"/>
      <c r="L2" s="2719" t="s">
        <v>2816</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1.9419999999999999</v>
      </c>
      <c r="T2" s="1598">
        <f ca="1">ROUND($C$5*$C$18*$C$19*$C$20*S2*$C$24,0)</f>
        <v>14149</v>
      </c>
      <c r="U2" s="1599"/>
      <c r="V2" s="1598">
        <f ca="1">ROUND(T2*U2/10000,0)</f>
        <v>0</v>
      </c>
      <c r="W2" s="1602"/>
      <c r="X2" s="1602"/>
      <c r="Y2" s="1602"/>
      <c r="Z2" s="1602"/>
      <c r="AA2" s="1602"/>
      <c r="AB2" s="1602"/>
      <c r="AC2" s="1603"/>
      <c r="AD2" s="1604"/>
      <c r="AE2" s="1604"/>
      <c r="AF2" s="1604"/>
      <c r="AG2" s="1604"/>
      <c r="AH2" s="1604"/>
      <c r="AI2" s="1604"/>
      <c r="AJ2" s="1605"/>
    </row>
    <row r="3" spans="1:36" ht="25.5">
      <c r="A3" s="246" t="s">
        <v>2817</v>
      </c>
      <c r="B3" s="247">
        <f ca="1">ROUND(B2*10000/D1,0)</f>
        <v>5840</v>
      </c>
      <c r="C3" s="2714" t="s">
        <v>2818</v>
      </c>
      <c r="D3" s="2715" t="s">
        <v>2819</v>
      </c>
      <c r="E3" s="2720" t="s">
        <v>3047</v>
      </c>
      <c r="F3" s="2721" t="s">
        <v>2820</v>
      </c>
      <c r="G3" s="909">
        <f>IF(F3="宗地容积率",'数据-汇总表'!I4,IF(F3="估价对象容积率",'数据-汇总表'!I6,'数据-汇总表'!I7))</f>
        <v>3.8</v>
      </c>
      <c r="H3" s="197" t="s">
        <v>2821</v>
      </c>
      <c r="I3" s="940"/>
      <c r="J3" s="2718" t="s">
        <v>2822</v>
      </c>
      <c r="K3" s="1366"/>
      <c r="L3" s="2719" t="s">
        <v>2823</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1.2799</v>
      </c>
      <c r="T3" s="1598">
        <f t="shared" ref="T3:T16" ca="1" si="0">ROUND($C$5*$C$18*$C$19*$C$20*S3*$C$24,0)</f>
        <v>9325</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340"/>
      <c r="B4" s="3341"/>
      <c r="C4" s="3341"/>
      <c r="D4" s="3342"/>
      <c r="E4" s="3342"/>
      <c r="F4" s="3342"/>
      <c r="G4" s="3342"/>
      <c r="H4" s="3342"/>
      <c r="I4" s="3342"/>
      <c r="J4" s="3343"/>
      <c r="K4" s="1366"/>
      <c r="L4" s="2719" t="s">
        <v>2824</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1.0072000000000001</v>
      </c>
      <c r="T4" s="1598">
        <f t="shared" ca="1" si="0"/>
        <v>7338</v>
      </c>
      <c r="U4" s="1599"/>
      <c r="V4" s="1598">
        <f t="shared" ca="1" si="1"/>
        <v>0</v>
      </c>
      <c r="W4" s="1602"/>
      <c r="X4" s="1602"/>
      <c r="Y4" s="1602"/>
      <c r="Z4" s="1602"/>
      <c r="AA4" s="1602"/>
      <c r="AB4" s="1602"/>
      <c r="AC4" s="1603"/>
      <c r="AD4" s="1604"/>
      <c r="AE4" s="1604"/>
      <c r="AF4" s="1604"/>
      <c r="AG4" s="1604"/>
      <c r="AH4" s="1604"/>
      <c r="AI4" s="1604"/>
      <c r="AJ4" s="1605"/>
    </row>
    <row r="5" spans="1:36" s="2731" customFormat="1" ht="15.75" thickBot="1">
      <c r="A5" s="2722" t="s">
        <v>807</v>
      </c>
      <c r="B5" s="2723" t="s">
        <v>2825</v>
      </c>
      <c r="C5" s="910">
        <f>ROUND(IF(E2="商业",IF(F16="增加",C6*C7+C16,C6*C7-C16),IF(E2="住宅",IF(F16="增加",C6*C12+C16,C6*C12-C16),IF(F16="增加",C6+C16,C6-C16))),0)</f>
        <v>5660</v>
      </c>
      <c r="D5" s="1783">
        <f>ROUND(IF(E2="商业",IF(F16="增加",C6+C16,C6-C16)),0)</f>
        <v>0</v>
      </c>
      <c r="E5" s="2724"/>
      <c r="F5" s="2724"/>
      <c r="G5" s="2725"/>
      <c r="H5" s="2725"/>
      <c r="I5" s="2725"/>
      <c r="J5" s="2726"/>
      <c r="K5" s="2727"/>
      <c r="L5" s="2719" t="s">
        <v>2826</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0.75249999999999995</v>
      </c>
      <c r="T5" s="1598">
        <f t="shared" ca="1" si="0"/>
        <v>5483</v>
      </c>
      <c r="U5" s="1599"/>
      <c r="V5" s="1598">
        <f t="shared" ca="1" si="1"/>
        <v>0</v>
      </c>
      <c r="W5" s="1602"/>
      <c r="X5" s="1602"/>
      <c r="Y5" s="1602"/>
      <c r="Z5" s="1602"/>
      <c r="AA5" s="1602"/>
      <c r="AB5" s="1602"/>
      <c r="AC5" s="2728"/>
      <c r="AD5" s="2729"/>
      <c r="AE5" s="2729"/>
      <c r="AF5" s="2729"/>
      <c r="AG5" s="2729"/>
      <c r="AH5" s="2729"/>
      <c r="AI5" s="2729"/>
      <c r="AJ5" s="2730"/>
    </row>
    <row r="6" spans="1:36" ht="15.75" thickBot="1">
      <c r="A6" s="2732" t="s">
        <v>2827</v>
      </c>
      <c r="B6" s="2733" t="s">
        <v>2828</v>
      </c>
      <c r="C6" s="911">
        <f>SUMIF(L1:L12,G2,M1:M12)</f>
        <v>5680</v>
      </c>
      <c r="D6" s="2734" t="s">
        <v>2829</v>
      </c>
      <c r="E6" s="2735"/>
      <c r="F6" s="2735"/>
      <c r="G6" s="2736"/>
      <c r="H6" s="2736"/>
      <c r="I6" s="2736"/>
      <c r="J6" s="2737"/>
      <c r="K6" s="1838"/>
      <c r="L6" s="2719" t="s">
        <v>2830</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0.56589999999999996</v>
      </c>
      <c r="T6" s="1598">
        <f t="shared" ca="1" si="0"/>
        <v>4123</v>
      </c>
      <c r="U6" s="1599"/>
      <c r="V6" s="1598">
        <f t="shared" ca="1" si="1"/>
        <v>0</v>
      </c>
      <c r="W6" s="1602"/>
      <c r="X6" s="1602"/>
      <c r="Y6" s="1602"/>
      <c r="Z6" s="1602"/>
      <c r="AA6" s="1602"/>
      <c r="AB6" s="1602"/>
      <c r="AC6" s="2728"/>
      <c r="AD6" s="2729"/>
      <c r="AE6" s="2729"/>
      <c r="AF6" s="2729"/>
      <c r="AG6" s="2729"/>
      <c r="AH6" s="2729"/>
      <c r="AI6" s="2729"/>
      <c r="AJ6" s="2730"/>
    </row>
    <row r="7" spans="1:36" ht="24">
      <c r="A7" s="3326" t="str">
        <f>IF(E2="商业",IF(C8="不临58条商业街","",2),"")</f>
        <v/>
      </c>
      <c r="B7" s="2738" t="s">
        <v>2831</v>
      </c>
      <c r="C7" s="912" t="e">
        <f>IF(C8="不临58条商业街",1,ROUND(1+(1.6*E8+1.2*E9+0.8*E10+0.4*E11)*C9,4))</f>
        <v>#DIV/0!</v>
      </c>
      <c r="D7" s="2739" t="s">
        <v>2832</v>
      </c>
      <c r="E7" s="941"/>
      <c r="F7" s="2740"/>
      <c r="G7" s="2741"/>
      <c r="H7" s="2741"/>
      <c r="I7" s="2741"/>
      <c r="J7" s="2742"/>
      <c r="K7" s="1838"/>
      <c r="L7" s="2719" t="s">
        <v>2833</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0.45250000000000001</v>
      </c>
      <c r="T7" s="1598">
        <f t="shared" ca="1" si="0"/>
        <v>3297</v>
      </c>
      <c r="U7" s="1599"/>
      <c r="V7" s="1598">
        <f t="shared" ca="1" si="1"/>
        <v>0</v>
      </c>
      <c r="W7" s="1812" t="s">
        <v>2834</v>
      </c>
      <c r="X7" s="1600" t="str">
        <f>G2</f>
        <v>八级</v>
      </c>
      <c r="Y7" s="1600" t="s">
        <v>2835</v>
      </c>
      <c r="Z7" s="1601">
        <f>G3</f>
        <v>3.8</v>
      </c>
      <c r="AA7" s="1602"/>
      <c r="AB7" s="1602"/>
      <c r="AC7" s="1603"/>
      <c r="AD7" s="1604"/>
      <c r="AE7" s="1604"/>
      <c r="AF7" s="1604"/>
      <c r="AG7" s="1604"/>
      <c r="AH7" s="1604"/>
      <c r="AI7" s="1604"/>
      <c r="AJ7" s="1605"/>
    </row>
    <row r="8" spans="1:36" ht="15">
      <c r="A8" s="3327"/>
      <c r="B8" s="197" t="s">
        <v>2836</v>
      </c>
      <c r="C8" s="2743"/>
      <c r="D8" s="913" t="s">
        <v>139</v>
      </c>
      <c r="E8" s="914" t="e">
        <f>ROUND(C11/E7,4)</f>
        <v>#DIV/0!</v>
      </c>
      <c r="F8" s="2744" t="s">
        <v>2837</v>
      </c>
      <c r="G8" s="2745"/>
      <c r="H8" s="2745"/>
      <c r="I8" s="2745"/>
      <c r="J8" s="2746"/>
      <c r="K8" s="1366"/>
      <c r="L8" s="2719" t="s">
        <v>2838</v>
      </c>
      <c r="M8" s="1077">
        <f>SUMPRODUCT((区片价!B206:B244=I2)*(区片价!C3:F3=E2)*(区片价!C206:F244))</f>
        <v>5680</v>
      </c>
      <c r="N8" s="1079">
        <f>SUMPRODUCT((因素修正幅度!B206:B244=I2)*(因素修正幅度!C3:F3=E2)*(因素修正幅度!C206:F244))</f>
        <v>0.15</v>
      </c>
      <c r="O8" s="1366"/>
      <c r="P8" s="1366"/>
      <c r="Q8" s="1366"/>
      <c r="R8" s="1598">
        <v>7</v>
      </c>
      <c r="S8" s="1599"/>
      <c r="T8" s="1598">
        <f t="shared" ca="1" si="0"/>
        <v>0</v>
      </c>
      <c r="U8" s="1599"/>
      <c r="V8" s="1598">
        <f t="shared" ca="1" si="1"/>
        <v>0</v>
      </c>
      <c r="W8" s="3337" t="s">
        <v>2839</v>
      </c>
      <c r="X8" s="3338"/>
      <c r="Y8" s="1606" t="s">
        <v>2840</v>
      </c>
      <c r="Z8" s="1606" t="s">
        <v>2841</v>
      </c>
      <c r="AA8" s="1606" t="s">
        <v>2842</v>
      </c>
      <c r="AB8" s="1606" t="s">
        <v>2843</v>
      </c>
      <c r="AC8" s="1606" t="s">
        <v>2844</v>
      </c>
      <c r="AD8" s="1606" t="s">
        <v>2845</v>
      </c>
      <c r="AE8" s="1606" t="s">
        <v>2846</v>
      </c>
      <c r="AF8" s="1606" t="s">
        <v>2847</v>
      </c>
      <c r="AG8" s="1606" t="s">
        <v>2848</v>
      </c>
      <c r="AH8" s="1606" t="s">
        <v>2849</v>
      </c>
      <c r="AI8" s="1606" t="s">
        <v>2850</v>
      </c>
      <c r="AJ8" s="1606" t="s">
        <v>2851</v>
      </c>
    </row>
    <row r="9" spans="1:36" ht="15">
      <c r="A9" s="3327"/>
      <c r="B9" s="197" t="s">
        <v>2852</v>
      </c>
      <c r="C9" s="915">
        <f>SUMIF(修正!C59:C119,C8,修正!E59:E119)</f>
        <v>0</v>
      </c>
      <c r="D9" s="199" t="s">
        <v>140</v>
      </c>
      <c r="E9" s="199" t="e">
        <f>ROUND(C11/E7,4)</f>
        <v>#DIV/0!</v>
      </c>
      <c r="F9" s="2744" t="s">
        <v>2853</v>
      </c>
      <c r="G9" s="2745"/>
      <c r="H9" s="2745"/>
      <c r="I9" s="2745"/>
      <c r="J9" s="2746"/>
      <c r="K9" s="1366"/>
      <c r="L9" s="2719" t="s">
        <v>2854</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339" t="s">
        <v>2855</v>
      </c>
      <c r="X9" s="1607" t="s">
        <v>2856</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27"/>
      <c r="B10" s="197" t="s">
        <v>2857</v>
      </c>
      <c r="C10" s="199">
        <f>SUMIF(修正!C59:C119,C8,修正!F59:F119)</f>
        <v>0</v>
      </c>
      <c r="D10" s="199" t="s">
        <v>141</v>
      </c>
      <c r="E10" s="199" t="e">
        <f>ROUND(C11/E7,4)</f>
        <v>#DIV/0!</v>
      </c>
      <c r="F10" s="2744" t="s">
        <v>2858</v>
      </c>
      <c r="G10" s="2745"/>
      <c r="H10" s="2745"/>
      <c r="I10" s="2745"/>
      <c r="J10" s="2746"/>
      <c r="K10" s="1366"/>
      <c r="L10" s="2719" t="s">
        <v>2859</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339"/>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27"/>
      <c r="B11" s="2747" t="s">
        <v>2860</v>
      </c>
      <c r="C11" s="916">
        <f>C10/4</f>
        <v>0</v>
      </c>
      <c r="D11" s="916" t="s">
        <v>142</v>
      </c>
      <c r="E11" s="916" t="e">
        <f>ROUND(C11/E7,4)</f>
        <v>#DIV/0!</v>
      </c>
      <c r="F11" s="2748" t="s">
        <v>2861</v>
      </c>
      <c r="G11" s="2749"/>
      <c r="H11" s="2749"/>
      <c r="I11" s="2749"/>
      <c r="J11" s="2750"/>
      <c r="K11" s="1366"/>
      <c r="L11" s="2719" t="s">
        <v>2862</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339" t="s">
        <v>2863</v>
      </c>
      <c r="X11" s="1610" t="s">
        <v>2864</v>
      </c>
      <c r="Y11" s="1611">
        <f>$G$3</f>
        <v>3.8</v>
      </c>
      <c r="Z11" s="1611">
        <f t="shared" ref="Z11:AJ11" si="3">$G$3</f>
        <v>3.8</v>
      </c>
      <c r="AA11" s="1611">
        <f t="shared" si="3"/>
        <v>3.8</v>
      </c>
      <c r="AB11" s="1611">
        <f t="shared" si="3"/>
        <v>3.8</v>
      </c>
      <c r="AC11" s="1611">
        <f t="shared" si="3"/>
        <v>3.8</v>
      </c>
      <c r="AD11" s="1611">
        <f t="shared" si="3"/>
        <v>3.8</v>
      </c>
      <c r="AE11" s="1611">
        <f t="shared" si="3"/>
        <v>3.8</v>
      </c>
      <c r="AF11" s="1611">
        <f t="shared" si="3"/>
        <v>3.8</v>
      </c>
      <c r="AG11" s="1611">
        <f t="shared" si="3"/>
        <v>3.8</v>
      </c>
      <c r="AH11" s="1611">
        <f t="shared" si="3"/>
        <v>3.8</v>
      </c>
      <c r="AI11" s="1611">
        <f t="shared" si="3"/>
        <v>3.8</v>
      </c>
      <c r="AJ11" s="1611">
        <f t="shared" si="3"/>
        <v>3.8</v>
      </c>
    </row>
    <row r="12" spans="1:36" ht="25.5" thickBot="1">
      <c r="A12" s="3326" t="s">
        <v>2865</v>
      </c>
      <c r="B12" s="2751" t="s">
        <v>2866</v>
      </c>
      <c r="C12" s="912">
        <f>ROUND(C15*D15*E15*F15*G15*H15*I15*J15,4)</f>
        <v>1</v>
      </c>
      <c r="D12" s="2752" t="s">
        <v>2867</v>
      </c>
      <c r="E12" s="2753"/>
      <c r="F12" s="2753"/>
      <c r="G12" s="2754"/>
      <c r="H12" s="2754"/>
      <c r="I12" s="2754"/>
      <c r="J12" s="2755"/>
      <c r="K12" s="1366"/>
      <c r="L12" s="2756" t="s">
        <v>2868</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339"/>
      <c r="X12" s="1612" t="s">
        <v>2869</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44"/>
      <c r="B13" s="2757" t="s">
        <v>2870</v>
      </c>
      <c r="C13" s="2758" t="s">
        <v>2871</v>
      </c>
      <c r="D13" s="1804" t="s">
        <v>2872</v>
      </c>
      <c r="E13" s="1804" t="s">
        <v>2873</v>
      </c>
      <c r="F13" s="29" t="s">
        <v>2874</v>
      </c>
      <c r="G13" s="2759" t="s">
        <v>2875</v>
      </c>
      <c r="H13" s="2759" t="s">
        <v>2875</v>
      </c>
      <c r="I13" s="2759" t="s">
        <v>2875</v>
      </c>
      <c r="J13" s="2760" t="s">
        <v>2875</v>
      </c>
      <c r="K13" s="1366"/>
      <c r="L13" s="1366"/>
      <c r="M13" s="1366"/>
      <c r="N13" s="1366"/>
      <c r="O13" s="1366"/>
      <c r="P13" s="1366"/>
      <c r="Q13" s="1366"/>
      <c r="R13" s="1598">
        <v>12</v>
      </c>
      <c r="S13" s="1599"/>
      <c r="T13" s="1598">
        <f t="shared" ca="1" si="0"/>
        <v>0</v>
      </c>
      <c r="U13" s="1599"/>
      <c r="V13" s="1598">
        <f t="shared" ca="1" si="1"/>
        <v>0</v>
      </c>
      <c r="W13" s="3339"/>
      <c r="X13" s="1612"/>
      <c r="Y13" s="1609">
        <f>(-0.163*(Y12^2)-0.59*Y12+7617)*(10^(-4))/Y11</f>
        <v>0.20044736842105265</v>
      </c>
      <c r="Z13" s="1609">
        <f t="shared" ref="Z13:AJ13" si="5">(-0.163*(Z12^2)-0.59*Z12+7617)*(10^(-4))/Z11</f>
        <v>0.20044736842105265</v>
      </c>
      <c r="AA13" s="1609">
        <f t="shared" si="5"/>
        <v>0.20044736842105265</v>
      </c>
      <c r="AB13" s="1609">
        <f t="shared" si="5"/>
        <v>0.20044736842105265</v>
      </c>
      <c r="AC13" s="1609">
        <f t="shared" si="5"/>
        <v>0.20044736842105265</v>
      </c>
      <c r="AD13" s="1609">
        <f t="shared" si="5"/>
        <v>0.20044736842105265</v>
      </c>
      <c r="AE13" s="1609">
        <f t="shared" si="5"/>
        <v>0.20044736842105265</v>
      </c>
      <c r="AF13" s="1609">
        <f t="shared" si="5"/>
        <v>0.20044736842105265</v>
      </c>
      <c r="AG13" s="1609">
        <f t="shared" si="5"/>
        <v>0.20044736842105265</v>
      </c>
      <c r="AH13" s="1609">
        <f t="shared" si="5"/>
        <v>0.20044736842105265</v>
      </c>
      <c r="AI13" s="1609">
        <f t="shared" si="5"/>
        <v>0.20044736842105265</v>
      </c>
      <c r="AJ13" s="1609">
        <f t="shared" si="5"/>
        <v>0.20044736842105265</v>
      </c>
    </row>
    <row r="14" spans="1:36" ht="15">
      <c r="A14" s="3344"/>
      <c r="B14" s="2761"/>
      <c r="C14" s="2762"/>
      <c r="D14" s="2763"/>
      <c r="E14" s="2763"/>
      <c r="F14" s="2764"/>
      <c r="G14" s="2765" t="s">
        <v>2876</v>
      </c>
      <c r="H14" s="2766"/>
      <c r="I14" s="2767"/>
      <c r="J14" s="2768"/>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345"/>
      <c r="B15" s="2769" t="s">
        <v>2877</v>
      </c>
      <c r="C15" s="228">
        <f>IF(C14="有",1.1,1)</f>
        <v>1</v>
      </c>
      <c r="D15" s="228">
        <f>IF(D14="有",1.1,1)</f>
        <v>1</v>
      </c>
      <c r="E15" s="228">
        <f>IF(E14="有",1.1,1)</f>
        <v>1</v>
      </c>
      <c r="F15" s="228">
        <f>IF(F14="500米范围内",1.2,IF(F14="500-1000米",1.1,1))</f>
        <v>1</v>
      </c>
      <c r="G15" s="942">
        <v>1</v>
      </c>
      <c r="H15" s="942">
        <v>1</v>
      </c>
      <c r="I15" s="942">
        <v>1</v>
      </c>
      <c r="J15" s="943">
        <v>1</v>
      </c>
      <c r="K15" s="1366"/>
      <c r="L15" s="2770" t="s">
        <v>2813</v>
      </c>
      <c r="M15" s="913" t="s">
        <v>2878</v>
      </c>
      <c r="N15" s="913" t="s">
        <v>2879</v>
      </c>
      <c r="O15" s="913" t="s">
        <v>2880</v>
      </c>
      <c r="P15" s="2771" t="s">
        <v>2881</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326" t="s">
        <v>2882</v>
      </c>
      <c r="B16" s="2738" t="s">
        <v>2883</v>
      </c>
      <c r="C16" s="1797">
        <f>ROUND(SUM(G17:J17)/C17,0)</f>
        <v>20</v>
      </c>
      <c r="D16" s="2772" t="s">
        <v>2884</v>
      </c>
      <c r="E16" s="2773" t="s">
        <v>3048</v>
      </c>
      <c r="F16" s="2774" t="s">
        <v>3049</v>
      </c>
      <c r="G16" s="2775" t="s">
        <v>3050</v>
      </c>
      <c r="H16" s="2775"/>
      <c r="I16" s="2775"/>
      <c r="J16" s="2776"/>
      <c r="K16" s="1366"/>
      <c r="L16" s="2777" t="s">
        <v>2885</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327"/>
      <c r="B17" s="2778" t="s">
        <v>2886</v>
      </c>
      <c r="C17" s="917">
        <f>SUMPRODUCT((修正!A2:A5=E2)*(修正!B1:M1=G2)*(修正!B2:M5))</f>
        <v>2</v>
      </c>
      <c r="D17" s="2779" t="s">
        <v>2887</v>
      </c>
      <c r="E17" s="916" t="str">
        <f>IF(OR(G2="八级",G2="九级",G2="十级",G2="十一级",G2="十二级"),"五通一平","七通一平")</f>
        <v>五通一平</v>
      </c>
      <c r="F17" s="917" t="s">
        <v>2888</v>
      </c>
      <c r="G17" s="917">
        <f>SUMPRODUCT((七通一平=G16)*(修正!B1:M1=G2)*(修正!B6:M14))</f>
        <v>40</v>
      </c>
      <c r="H17" s="917">
        <f>SUMPRODUCT((七通一平=H16)*(修正!B1:M1=G2)*(修正!B6:M14))</f>
        <v>0</v>
      </c>
      <c r="I17" s="917">
        <f>SUMPRODUCT((七通一平=I16)*(修正!B1:M1=G2)*(修正!B6:M14))</f>
        <v>0</v>
      </c>
      <c r="J17" s="918">
        <f>SUMPRODUCT((七通一平=J16)*(修正!B1:M1=G2)*(修正!B6:M14))</f>
        <v>0</v>
      </c>
      <c r="K17" s="1366"/>
      <c r="L17" s="2780" t="s">
        <v>2889</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1"/>
      <c r="AF17" s="2781"/>
      <c r="AG17" s="2713"/>
      <c r="AH17" s="2713"/>
      <c r="AI17" s="2713"/>
      <c r="AJ17" s="2713"/>
    </row>
    <row r="18" spans="1:37" s="2731" customFormat="1" ht="15.75" thickBot="1">
      <c r="A18" s="2782" t="s">
        <v>808</v>
      </c>
      <c r="B18" s="2783" t="s">
        <v>2890</v>
      </c>
      <c r="C18" s="919">
        <f>SUMIF(修正!C18:C39,E3,修正!E18:E39)</f>
        <v>1</v>
      </c>
      <c r="D18" s="2784"/>
      <c r="E18" s="2785"/>
      <c r="F18" s="2786"/>
      <c r="G18" s="2787"/>
      <c r="H18" s="2787"/>
      <c r="I18" s="2787"/>
      <c r="J18" s="2788"/>
      <c r="K18" s="1373"/>
      <c r="O18" s="1371"/>
      <c r="P18" s="1371"/>
      <c r="Q18" s="1372"/>
      <c r="R18" s="1372"/>
      <c r="S18" s="1372"/>
      <c r="T18" s="1367"/>
      <c r="U18" s="1367"/>
      <c r="V18" s="1367"/>
      <c r="W18" s="1366"/>
      <c r="X18" s="1366"/>
      <c r="Y18" s="1366"/>
      <c r="Z18" s="1373"/>
      <c r="AA18" s="1374"/>
      <c r="AB18" s="1374"/>
      <c r="AC18" s="1374"/>
      <c r="AD18" s="1374"/>
      <c r="AE18" s="1368"/>
      <c r="AF18" s="1368"/>
      <c r="AG18" s="2789"/>
      <c r="AH18" s="2789"/>
      <c r="AI18" s="2789"/>
    </row>
    <row r="19" spans="1:37" s="2731" customFormat="1" ht="27.75" thickBot="1">
      <c r="A19" s="2782" t="s">
        <v>809</v>
      </c>
      <c r="B19" s="2783" t="s">
        <v>2891</v>
      </c>
      <c r="C19" s="920">
        <f>ROUND(IF(H19="按公示增长率计算",SUMPRODUCT((地价!A3:A21=YEAR(G19)&amp;"-"&amp;ROUNDUP(MONTH(G19)/3,0))*(地价!X2:AB2=E2)*(地价!X3:AB21)),IF(H19="地价指数",M20/M19,(1+I19)^O19)),4)</f>
        <v>1.2636000000000001</v>
      </c>
      <c r="D19" s="2790" t="s">
        <v>2892</v>
      </c>
      <c r="E19" s="921">
        <v>41640</v>
      </c>
      <c r="F19" s="2790" t="s">
        <v>2893</v>
      </c>
      <c r="G19" s="922">
        <f>'数据-取费表'!B2</f>
        <v>43182</v>
      </c>
      <c r="H19" s="2791" t="s">
        <v>2894</v>
      </c>
      <c r="I19" s="923" t="str">
        <f>IF(H19="季度增幅（自定义）",SUMIF(N21:N24,E2,O21:O24),"")</f>
        <v/>
      </c>
      <c r="J19" s="2788"/>
      <c r="K19" s="1373"/>
      <c r="L19" s="2792" t="s">
        <v>2895</v>
      </c>
      <c r="M19" s="1730">
        <f>ROUND(SUMIF(地价!B2:F2,E2,地价!B21:F21),0)</f>
        <v>258</v>
      </c>
      <c r="N19" s="2793" t="s">
        <v>2896</v>
      </c>
      <c r="O19" s="924">
        <f>ROUNDDOWN(DATEDIF(E19,G19,"M")/3,0)</f>
        <v>16</v>
      </c>
      <c r="P19" s="1370"/>
      <c r="Q19" s="1372"/>
      <c r="R19" s="1372"/>
      <c r="S19" s="1372"/>
      <c r="T19" s="1367"/>
      <c r="U19" s="1367"/>
      <c r="V19" s="1367"/>
      <c r="W19" s="1366"/>
      <c r="X19" s="1366"/>
      <c r="Y19" s="1366"/>
      <c r="Z19" s="1373"/>
      <c r="AA19" s="1374"/>
      <c r="AB19" s="1374"/>
      <c r="AC19" s="1374"/>
      <c r="AD19" s="1374"/>
      <c r="AE19" s="1374"/>
      <c r="AF19" s="2794"/>
      <c r="AG19" s="2795"/>
      <c r="AH19" s="2789"/>
      <c r="AI19" s="2796"/>
      <c r="AJ19" s="2796"/>
      <c r="AK19" s="2796"/>
    </row>
    <row r="20" spans="1:37" s="2731" customFormat="1" ht="27.75" thickBot="1">
      <c r="A20" s="2797" t="s">
        <v>810</v>
      </c>
      <c r="B20" s="2798" t="s">
        <v>2897</v>
      </c>
      <c r="C20" s="925">
        <f ca="1">ROUND(POWER(1+G20,J20-I20)*(POWER(1+G20,I20)-1)/(POWER(1+G20,J20)-1),4)</f>
        <v>0.98170000000000002</v>
      </c>
      <c r="D20" s="2799" t="s">
        <v>2898</v>
      </c>
      <c r="E20" s="1764">
        <f ca="1">存贷款利率!D4/100</f>
        <v>4.3499999999999997E-2</v>
      </c>
      <c r="F20" s="2799" t="s">
        <v>2889</v>
      </c>
      <c r="G20" s="930">
        <f ca="1">SUMIF(M15:P15,E2,M17:P17)</f>
        <v>5.1999999999999998E-2</v>
      </c>
      <c r="H20" s="2799" t="s">
        <v>2899</v>
      </c>
      <c r="I20" s="931">
        <f>SUMIF('数据-取费表'!C6:C15,E2,'数据-取费表'!F6:F15)/COUNTIF('数据-取费表'!C6:C15,E2)</f>
        <v>46.2</v>
      </c>
      <c r="J20" s="932">
        <f>IF(E2="住宅",70,IF(E2="商业",40,50))</f>
        <v>50</v>
      </c>
      <c r="K20" s="1373"/>
      <c r="L20" s="2800" t="s">
        <v>2900</v>
      </c>
      <c r="M20" s="1731">
        <f>ROUND(SUMPRODUCT((地价!A4:A21=YEAR(G19)&amp;"-"&amp;ROUNDUP(MONTH(G19)/3,0))*(地价!B2:F2=E2)*(地价!B4:F21)),0)</f>
        <v>326</v>
      </c>
      <c r="N20" s="2801" t="s">
        <v>2901</v>
      </c>
      <c r="O20" s="2802" t="s">
        <v>2902</v>
      </c>
      <c r="P20" s="2803" t="s">
        <v>2903</v>
      </c>
      <c r="R20" s="1372"/>
      <c r="S20" s="1372"/>
      <c r="T20" s="1367"/>
      <c r="U20" s="1367"/>
      <c r="V20" s="1367"/>
      <c r="W20" s="1366"/>
      <c r="X20" s="1366"/>
      <c r="Y20" s="1366"/>
      <c r="Z20" s="1373"/>
      <c r="AA20" s="1374"/>
      <c r="AB20" s="1374"/>
      <c r="AC20" s="1374"/>
      <c r="AD20" s="1374"/>
      <c r="AE20" s="1374"/>
      <c r="AF20" s="1374"/>
    </row>
    <row r="21" spans="1:37" s="2731" customFormat="1" ht="15">
      <c r="A21" s="2804" t="s">
        <v>811</v>
      </c>
      <c r="B21" s="2805" t="s">
        <v>3051</v>
      </c>
      <c r="C21" s="933">
        <f>IF(B21="容积率修正",IF(G3&lt;=10,D22,J22),C23)</f>
        <v>0.80159999999999998</v>
      </c>
      <c r="D21" s="2806"/>
      <c r="E21" s="2806"/>
      <c r="F21" s="2806"/>
      <c r="G21" s="2806"/>
      <c r="H21" s="2806"/>
      <c r="I21" s="2806"/>
      <c r="J21" s="2807"/>
      <c r="K21" s="1373"/>
      <c r="N21" s="2808" t="s">
        <v>2904</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1" customFormat="1" ht="14.25">
      <c r="A22" s="2657" t="s">
        <v>2905</v>
      </c>
      <c r="B22" s="2809" t="s">
        <v>2906</v>
      </c>
      <c r="C22" s="1806" t="s">
        <v>2907</v>
      </c>
      <c r="D22" s="1806">
        <f>IF(E22=G22,F22,IF(G3&lt;=10,ROUND(F22+(H22-F22)*(G3-E22)/(G22-E22),4),"——"))</f>
        <v>0.80159999999999998</v>
      </c>
      <c r="E22" s="909">
        <f>ROUNDDOWN(G3,1)</f>
        <v>3.8</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0.80159999999999998</v>
      </c>
      <c r="G22" s="909">
        <f>ROUNDUP(G3,1)</f>
        <v>3.8</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0.80159999999999998</v>
      </c>
      <c r="I22" s="1806" t="s">
        <v>155</v>
      </c>
      <c r="J22" s="934" t="str">
        <f>IF(G3&gt;10,D113,"——")</f>
        <v>——</v>
      </c>
      <c r="K22" s="1373"/>
      <c r="N22" s="2808" t="s">
        <v>2908</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57" t="s">
        <v>2909</v>
      </c>
      <c r="B23" s="2810" t="s">
        <v>2910</v>
      </c>
      <c r="C23" s="1009">
        <f>ROUND(IF(G3&gt;1,IF(I3&lt;7,SUMPRODUCT((B93:B98=I3)*(C92:N92=G2)*(C93:N98)),SUMIF(C92:N92,G2,C100:N100)),IF(I3&lt;7,SUMPRODUCT((B102:B107=I3)*(C92:N92=G2)*(C102:N107)),SUMIF(C92:N92,G2,C109:N109))),4)</f>
        <v>0</v>
      </c>
      <c r="D23" s="2766"/>
      <c r="E23" s="2766"/>
      <c r="F23" s="2811"/>
      <c r="G23" s="2812"/>
      <c r="H23" s="2813"/>
      <c r="I23" s="2814"/>
      <c r="J23" s="2815"/>
      <c r="K23" s="1366"/>
      <c r="N23" s="2808" t="s">
        <v>2911</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89"/>
    </row>
    <row r="24" spans="1:37" s="2731" customFormat="1" ht="15.75" thickBot="1">
      <c r="A24" s="2797" t="s">
        <v>812</v>
      </c>
      <c r="B24" s="2783" t="s">
        <v>2912</v>
      </c>
      <c r="C24" s="920">
        <f>SUMIF(A45:A88,E2,B45:B88)</f>
        <v>1.0377000000000001</v>
      </c>
      <c r="D24" s="2786"/>
      <c r="E24" s="2816"/>
      <c r="F24" s="2816"/>
      <c r="G24" s="2816"/>
      <c r="H24" s="2816"/>
      <c r="I24" s="2816"/>
      <c r="J24" s="2817"/>
      <c r="K24" s="1373"/>
      <c r="N24" s="2818" t="s">
        <v>2913</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797" t="s">
        <v>813</v>
      </c>
      <c r="B25" s="2819" t="s">
        <v>2914</v>
      </c>
      <c r="C25" s="926"/>
      <c r="D25" s="2741"/>
      <c r="E25" s="2741"/>
      <c r="F25" s="2820"/>
      <c r="G25" s="2741"/>
      <c r="H25" s="2741"/>
      <c r="I25" s="2741"/>
      <c r="J25" s="2742"/>
      <c r="K25" s="1366"/>
      <c r="N25" s="2821" t="s">
        <v>2915</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2"/>
      <c r="B26" s="2809" t="s">
        <v>2916</v>
      </c>
      <c r="C26" s="205">
        <f ca="1">E29+SUM(E33:E39)</f>
        <v>5840</v>
      </c>
      <c r="D26" s="2823"/>
      <c r="E26" s="2766"/>
      <c r="F26" s="2824"/>
      <c r="G26" s="2766"/>
      <c r="H26" s="2766"/>
      <c r="I26" s="2766"/>
      <c r="J26" s="2825"/>
      <c r="K26" s="1366"/>
      <c r="R26" s="1372"/>
      <c r="S26" s="1372"/>
      <c r="T26" s="1367"/>
      <c r="U26" s="1367"/>
      <c r="V26" s="1367"/>
      <c r="W26" s="1366"/>
      <c r="X26" s="1366"/>
      <c r="Y26" s="1366"/>
      <c r="Z26" s="1373"/>
      <c r="AA26" s="1374"/>
      <c r="AB26" s="1374"/>
      <c r="AC26" s="1374"/>
      <c r="AD26" s="1374"/>
    </row>
    <row r="27" spans="1:37" ht="15.75" thickBot="1">
      <c r="A27" s="2822"/>
      <c r="B27" s="2826" t="s">
        <v>2917</v>
      </c>
      <c r="C27" s="927" t="e">
        <f ca="1">E30+SUM(I33:I39)</f>
        <v>#DIV/0!</v>
      </c>
      <c r="D27" s="2827"/>
      <c r="E27" s="2828"/>
      <c r="F27" s="2829"/>
      <c r="G27" s="2828"/>
      <c r="H27" s="2828"/>
      <c r="I27" s="2828"/>
      <c r="J27" s="2830"/>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1"/>
      <c r="B28" s="2832" t="s">
        <v>2918</v>
      </c>
      <c r="C28" s="2833" t="s">
        <v>2919</v>
      </c>
      <c r="D28" s="2833" t="s">
        <v>2920</v>
      </c>
      <c r="E28" s="2834" t="s">
        <v>2921</v>
      </c>
      <c r="F28" s="2835"/>
      <c r="G28" s="2754"/>
      <c r="H28" s="2754"/>
      <c r="I28" s="2754"/>
      <c r="J28" s="2755"/>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6"/>
      <c r="B29" s="2837" t="s">
        <v>2922</v>
      </c>
      <c r="C29" s="205">
        <f ca="1">ROUND(C5*C18*C19*C20*C21*C24,0)</f>
        <v>5840</v>
      </c>
      <c r="D29" s="2838">
        <v>10000</v>
      </c>
      <c r="E29" s="938">
        <f ca="1">ROUND(C29*D29/10000,0)</f>
        <v>5840</v>
      </c>
      <c r="F29" s="2839" t="s">
        <v>2923</v>
      </c>
      <c r="G29" s="2840"/>
      <c r="H29" s="2840"/>
      <c r="I29" s="2840"/>
      <c r="J29" s="2841"/>
      <c r="K29" s="1366"/>
      <c r="L29" s="1366"/>
      <c r="M29" s="1366"/>
      <c r="N29" s="1366"/>
      <c r="O29" s="1371"/>
      <c r="P29" s="1371"/>
      <c r="Q29" s="1372"/>
      <c r="R29" s="1372"/>
      <c r="S29" s="1372"/>
      <c r="T29" s="1367"/>
      <c r="U29" s="1367"/>
      <c r="V29" s="1367"/>
      <c r="W29" s="1366"/>
      <c r="X29" s="1366"/>
      <c r="Y29" s="1366"/>
      <c r="Z29" s="1373"/>
      <c r="AA29" s="1374"/>
      <c r="AB29" s="1374"/>
      <c r="AC29" s="1374"/>
      <c r="AD29" s="1374"/>
      <c r="AE29" s="2781"/>
      <c r="AF29" s="2781"/>
      <c r="AG29" s="2713"/>
      <c r="AH29" s="2713"/>
      <c r="AI29" s="2713"/>
      <c r="AJ29" s="2713"/>
    </row>
    <row r="30" spans="1:37" ht="25.5" thickBot="1">
      <c r="A30" s="2842"/>
      <c r="B30" s="2843" t="s">
        <v>2924</v>
      </c>
      <c r="C30" s="228">
        <f ca="1">ROUND(IF(E2="工业",C29*M39,C29*M38),0)</f>
        <v>1460</v>
      </c>
      <c r="D30" s="2844"/>
      <c r="E30" s="938">
        <f ca="1">ROUND(C30*D30/10000,0)</f>
        <v>0</v>
      </c>
      <c r="F30" s="2845" t="s">
        <v>2925</v>
      </c>
      <c r="G30" s="2846"/>
      <c r="H30" s="2846"/>
      <c r="I30" s="2846"/>
      <c r="J30" s="2847"/>
      <c r="K30" s="1366"/>
      <c r="L30" s="1366"/>
      <c r="M30" s="1366"/>
      <c r="N30" s="1366"/>
      <c r="O30" s="1371"/>
      <c r="P30" s="1371"/>
      <c r="Q30" s="1372"/>
      <c r="R30" s="1372"/>
      <c r="S30" s="1372"/>
      <c r="T30" s="1367"/>
      <c r="U30" s="1367"/>
      <c r="V30" s="1367"/>
      <c r="W30" s="1366"/>
      <c r="X30" s="1366"/>
      <c r="Y30" s="1366"/>
      <c r="Z30" s="1373"/>
      <c r="AA30" s="1374"/>
      <c r="AB30" s="1374"/>
      <c r="AC30" s="1374"/>
      <c r="AD30" s="1374"/>
      <c r="AE30" s="2781"/>
      <c r="AF30" s="2781"/>
      <c r="AG30" s="2713"/>
      <c r="AH30" s="2713"/>
      <c r="AI30" s="2713"/>
      <c r="AJ30" s="2713"/>
    </row>
    <row r="31" spans="1:37" ht="14.25">
      <c r="A31" s="2848"/>
      <c r="B31" s="2849" t="s">
        <v>2926</v>
      </c>
      <c r="C31" s="2850" t="s">
        <v>2927</v>
      </c>
      <c r="D31" s="2754"/>
      <c r="E31" s="2850"/>
      <c r="F31" s="2850"/>
      <c r="G31" s="2752" t="s">
        <v>2928</v>
      </c>
      <c r="H31" s="2754"/>
      <c r="I31" s="2851"/>
      <c r="J31" s="2755"/>
      <c r="K31" s="1366"/>
      <c r="L31" s="1366"/>
      <c r="M31" s="1366"/>
      <c r="N31" s="1366"/>
      <c r="O31" s="1371"/>
      <c r="P31" s="1371"/>
      <c r="Q31" s="1372"/>
      <c r="R31" s="1372"/>
      <c r="S31" s="1372"/>
      <c r="T31" s="1367"/>
      <c r="U31" s="1367"/>
      <c r="V31" s="1367"/>
      <c r="W31" s="1366"/>
      <c r="X31" s="1366"/>
      <c r="Y31" s="1366"/>
      <c r="Z31" s="1373"/>
      <c r="AA31" s="1374"/>
      <c r="AB31" s="1374"/>
      <c r="AC31" s="1374"/>
      <c r="AD31" s="1374"/>
      <c r="AE31" s="2781"/>
      <c r="AF31" s="2781"/>
      <c r="AG31" s="2713"/>
      <c r="AH31" s="2713"/>
      <c r="AI31" s="2713"/>
      <c r="AJ31" s="2713"/>
    </row>
    <row r="32" spans="1:37" ht="24">
      <c r="A32" s="2836"/>
      <c r="B32" s="2852"/>
      <c r="C32" s="500" t="s">
        <v>2919</v>
      </c>
      <c r="D32" s="497" t="s">
        <v>2920</v>
      </c>
      <c r="E32" s="497" t="s">
        <v>2921</v>
      </c>
      <c r="F32" s="387" t="s">
        <v>2929</v>
      </c>
      <c r="G32" s="2853" t="s">
        <v>2919</v>
      </c>
      <c r="H32" s="2853" t="s">
        <v>2920</v>
      </c>
      <c r="I32" s="2853" t="s">
        <v>2921</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1"/>
      <c r="AF32" s="2781"/>
      <c r="AG32" s="2713"/>
      <c r="AH32" s="2713"/>
      <c r="AI32" s="2713"/>
      <c r="AJ32" s="2713"/>
    </row>
    <row r="33" spans="1:37" ht="36" customHeight="1">
      <c r="A33" s="3334" t="s">
        <v>2930</v>
      </c>
      <c r="B33" s="2854" t="s">
        <v>2931</v>
      </c>
      <c r="C33" s="205">
        <f ca="1">ROUND(D5*C19*C20*C24*F33,0)</f>
        <v>0</v>
      </c>
      <c r="D33" s="2838"/>
      <c r="E33" s="199">
        <f ca="1">ROUND(C33*D33/10000,0)</f>
        <v>0</v>
      </c>
      <c r="F33" s="199">
        <f>SUMIF(修正!A45:A56,G2,修正!B45:B56)</f>
        <v>0.6</v>
      </c>
      <c r="G33" s="199">
        <f t="shared" ref="G33:G39" ca="1" si="6">ROUND(IF(E2="工业",C33*$M$39,C33*$M$38),0)</f>
        <v>0</v>
      </c>
      <c r="H33" s="199">
        <f>D33</f>
        <v>0</v>
      </c>
      <c r="I33" s="199">
        <f ca="1">ROUND(G33*H33/10000,0)</f>
        <v>0</v>
      </c>
      <c r="J33" s="2855"/>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35"/>
      <c r="B34" s="2758" t="s">
        <v>2932</v>
      </c>
      <c r="C34" s="205">
        <f ca="1">ROUND(D5*C19*C20*C24*F34,0)</f>
        <v>0</v>
      </c>
      <c r="D34" s="2838"/>
      <c r="E34" s="199">
        <f t="shared" ref="E34:E39" ca="1" si="7">ROUND(C34*D34/10000,0)</f>
        <v>0</v>
      </c>
      <c r="F34" s="199">
        <f>SUMIF(修正!A45:A56,G2,修正!C45:C56)</f>
        <v>0.3</v>
      </c>
      <c r="G34" s="199">
        <f t="shared" ca="1" si="6"/>
        <v>0</v>
      </c>
      <c r="H34" s="199">
        <f t="shared" ref="H34:H39" si="8">D34</f>
        <v>0</v>
      </c>
      <c r="I34" s="199">
        <f t="shared" ref="I34:I39" ca="1" si="9">ROUND(G34*H34/10000,0)</f>
        <v>0</v>
      </c>
      <c r="J34" s="2855"/>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35"/>
      <c r="B35" s="2758" t="s">
        <v>2933</v>
      </c>
      <c r="C35" s="205">
        <f ca="1">ROUND(D5*C19*C20*C24*F35,0)</f>
        <v>0</v>
      </c>
      <c r="D35" s="2838"/>
      <c r="E35" s="199">
        <f t="shared" ca="1" si="7"/>
        <v>0</v>
      </c>
      <c r="F35" s="199">
        <f>SUMIF(修正!A45:A56,G2,修正!D45:D56)</f>
        <v>0.2</v>
      </c>
      <c r="G35" s="199">
        <f t="shared" ca="1" si="6"/>
        <v>0</v>
      </c>
      <c r="H35" s="199">
        <f t="shared" si="8"/>
        <v>0</v>
      </c>
      <c r="I35" s="199">
        <f t="shared" ca="1" si="9"/>
        <v>0</v>
      </c>
      <c r="J35" s="2855"/>
      <c r="K35" s="1366"/>
      <c r="L35" s="1366"/>
      <c r="M35" s="1366"/>
      <c r="N35" s="1366"/>
      <c r="O35" s="1366"/>
      <c r="P35" s="1366"/>
      <c r="Q35" s="1366"/>
      <c r="R35" s="1366"/>
      <c r="S35" s="1366"/>
      <c r="T35" s="1366"/>
      <c r="U35" s="1366"/>
      <c r="V35" s="1366"/>
      <c r="W35" s="1366"/>
      <c r="X35" s="1366"/>
      <c r="Y35" s="1366"/>
      <c r="Z35" s="1367"/>
    </row>
    <row r="36" spans="1:37" ht="13.5" thickBot="1">
      <c r="A36" s="3336"/>
      <c r="B36" s="2758" t="s">
        <v>2934</v>
      </c>
      <c r="C36" s="205">
        <f ca="1">ROUND(D5*C19*C20*C24*F36,0)</f>
        <v>0</v>
      </c>
      <c r="D36" s="2838"/>
      <c r="E36" s="199">
        <f t="shared" ca="1" si="7"/>
        <v>0</v>
      </c>
      <c r="F36" s="199">
        <f>SUMIF(修正!A45:A56,G2,修正!E45:E56)</f>
        <v>0.2</v>
      </c>
      <c r="G36" s="199">
        <f t="shared" ca="1" si="6"/>
        <v>0</v>
      </c>
      <c r="H36" s="199">
        <f t="shared" si="8"/>
        <v>0</v>
      </c>
      <c r="I36" s="199">
        <f t="shared" ca="1" si="9"/>
        <v>0</v>
      </c>
      <c r="J36" s="2855"/>
      <c r="K36" s="1366"/>
      <c r="L36" s="2712"/>
      <c r="M36" s="2712"/>
      <c r="N36" s="1366"/>
      <c r="O36" s="1366"/>
      <c r="P36" s="1366"/>
      <c r="Q36" s="1366"/>
      <c r="R36" s="1366"/>
      <c r="S36" s="1366"/>
      <c r="T36" s="1366"/>
      <c r="U36" s="1366"/>
      <c r="V36" s="1366"/>
      <c r="W36" s="1366"/>
      <c r="X36" s="1366"/>
      <c r="Y36" s="1366"/>
      <c r="Z36" s="1367"/>
    </row>
    <row r="37" spans="1:37">
      <c r="A37" s="2856"/>
      <c r="B37" s="2758" t="s">
        <v>2935</v>
      </c>
      <c r="C37" s="199">
        <f ca="1">ROUND(C5*C19*C20*C24*F37,0)</f>
        <v>1457</v>
      </c>
      <c r="D37" s="2838"/>
      <c r="E37" s="199">
        <f t="shared" ca="1" si="7"/>
        <v>0</v>
      </c>
      <c r="F37" s="205">
        <f>SUMIF(修正!A45:A56,G2,修正!F45:F56)</f>
        <v>0.2</v>
      </c>
      <c r="G37" s="199">
        <f t="shared" ca="1" si="6"/>
        <v>364</v>
      </c>
      <c r="H37" s="199">
        <f t="shared" si="8"/>
        <v>0</v>
      </c>
      <c r="I37" s="199">
        <f t="shared" ca="1" si="9"/>
        <v>0</v>
      </c>
      <c r="J37" s="2855"/>
      <c r="K37" s="1366"/>
      <c r="L37" s="2857" t="s">
        <v>2936</v>
      </c>
      <c r="M37" s="2858"/>
      <c r="N37" s="1366"/>
      <c r="O37" s="1366"/>
      <c r="P37" s="1366"/>
      <c r="Q37" s="1366"/>
      <c r="R37" s="1366"/>
      <c r="S37" s="1366"/>
      <c r="T37" s="1366"/>
      <c r="U37" s="1366"/>
      <c r="V37" s="1366"/>
      <c r="W37" s="1366"/>
      <c r="X37" s="1366"/>
      <c r="Y37" s="1366"/>
      <c r="Z37" s="1367"/>
    </row>
    <row r="38" spans="1:37">
      <c r="A38" s="2856"/>
      <c r="B38" s="2758" t="s">
        <v>2937</v>
      </c>
      <c r="C38" s="199">
        <f ca="1">ROUND(C5*C19*C20*C24*F38,0)</f>
        <v>1457</v>
      </c>
      <c r="D38" s="2838"/>
      <c r="E38" s="199">
        <f t="shared" ca="1" si="7"/>
        <v>0</v>
      </c>
      <c r="F38" s="205">
        <f>SUMIF(修正!A45:A56,G2,修正!G45:G56)</f>
        <v>0.2</v>
      </c>
      <c r="G38" s="199">
        <f t="shared" ca="1" si="6"/>
        <v>364</v>
      </c>
      <c r="H38" s="199">
        <f t="shared" si="8"/>
        <v>0</v>
      </c>
      <c r="I38" s="199">
        <f t="shared" ca="1" si="9"/>
        <v>0</v>
      </c>
      <c r="J38" s="2855"/>
      <c r="K38" s="1366"/>
      <c r="L38" s="1883" t="s">
        <v>2938</v>
      </c>
      <c r="M38" s="2859">
        <v>0.25</v>
      </c>
      <c r="N38" s="1366"/>
      <c r="O38" s="1366"/>
      <c r="P38" s="1366"/>
      <c r="Q38" s="1366"/>
      <c r="R38" s="1366"/>
      <c r="S38" s="1366"/>
      <c r="T38" s="1366"/>
      <c r="U38" s="1366"/>
      <c r="V38" s="1366"/>
      <c r="W38" s="1366"/>
      <c r="X38" s="1366"/>
      <c r="Y38" s="1366"/>
      <c r="Z38" s="1367"/>
    </row>
    <row r="39" spans="1:37" ht="13.5" thickBot="1">
      <c r="A39" s="2842"/>
      <c r="B39" s="2860" t="s">
        <v>2939</v>
      </c>
      <c r="C39" s="228">
        <f ca="1">ROUND(C5*C19*C20*C24*F39,0)</f>
        <v>1093</v>
      </c>
      <c r="D39" s="2844"/>
      <c r="E39" s="228">
        <f t="shared" ca="1" si="7"/>
        <v>0</v>
      </c>
      <c r="F39" s="928">
        <f>SUMIF(修正!A45:A56,G2,修正!H45:H56)</f>
        <v>0.15</v>
      </c>
      <c r="G39" s="228" t="e">
        <f t="shared" si="6"/>
        <v>#DIV/0!</v>
      </c>
      <c r="H39" s="228">
        <f t="shared" si="8"/>
        <v>0</v>
      </c>
      <c r="I39" s="228" t="e">
        <f t="shared" si="9"/>
        <v>#DIV/0!</v>
      </c>
      <c r="J39" s="2861"/>
      <c r="K39" s="1366"/>
      <c r="L39" s="2862" t="s">
        <v>2881</v>
      </c>
      <c r="M39" s="2863">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4"/>
      <c r="Z41" s="1367"/>
      <c r="AA41" s="1367"/>
      <c r="AB41" s="1367"/>
      <c r="AC41" s="1367"/>
      <c r="AD41" s="1367"/>
      <c r="AE41" s="1367"/>
      <c r="AF41" s="1367"/>
      <c r="AG41" s="1367"/>
      <c r="AH41" s="1367"/>
      <c r="AI41" s="1367"/>
      <c r="AJ41" s="1367"/>
    </row>
    <row r="42" spans="1:37" s="1366" customFormat="1">
      <c r="A42" s="1367"/>
      <c r="B42" s="2864"/>
      <c r="Z42" s="1367"/>
      <c r="AA42" s="1367"/>
      <c r="AB42" s="1367"/>
      <c r="AC42" s="1367"/>
      <c r="AD42" s="1367"/>
      <c r="AE42" s="1367"/>
      <c r="AF42" s="1367"/>
      <c r="AG42" s="1367"/>
      <c r="AH42" s="1367"/>
      <c r="AI42" s="1367"/>
      <c r="AJ42" s="1367"/>
    </row>
    <row r="43" spans="1:37" s="1366" customFormat="1">
      <c r="A43" s="1367"/>
      <c r="B43" s="2864"/>
      <c r="Z43" s="1367"/>
      <c r="AA43" s="1367"/>
      <c r="AB43" s="1367"/>
      <c r="AC43" s="1367"/>
      <c r="AD43" s="1367"/>
      <c r="AE43" s="1367"/>
      <c r="AF43" s="1367"/>
      <c r="AG43" s="1367"/>
      <c r="AH43" s="1367"/>
      <c r="AI43" s="1367"/>
      <c r="AJ43" s="1367"/>
    </row>
    <row r="44" spans="1:37" s="1366" customFormat="1">
      <c r="A44" s="1367"/>
      <c r="B44" s="2864"/>
      <c r="Z44" s="1367"/>
      <c r="AA44" s="1367"/>
      <c r="AB44" s="1367"/>
      <c r="AC44" s="1367"/>
      <c r="AD44" s="1367"/>
      <c r="AE44" s="1367"/>
      <c r="AF44" s="1367"/>
      <c r="AG44" s="1367"/>
      <c r="AH44" s="1367"/>
      <c r="AI44" s="1367"/>
      <c r="AJ44" s="1367"/>
    </row>
    <row r="45" spans="1:37" s="1366" customFormat="1" ht="15.75" thickBot="1">
      <c r="A45" s="2865" t="s">
        <v>2940</v>
      </c>
      <c r="B45" s="2866"/>
      <c r="C45" s="7"/>
      <c r="D45" s="7"/>
      <c r="E45" s="7"/>
      <c r="F45" s="6"/>
      <c r="G45" s="6"/>
      <c r="H45" s="6"/>
      <c r="I45" s="7"/>
      <c r="J45" s="7"/>
      <c r="K45" s="7"/>
      <c r="L45" s="7"/>
      <c r="M45" s="7"/>
      <c r="N45" s="2781"/>
      <c r="Z45" s="1367"/>
      <c r="AA45" s="1367"/>
      <c r="AB45" s="1367"/>
      <c r="AC45" s="1367"/>
      <c r="AD45" s="1367"/>
      <c r="AE45" s="1367"/>
      <c r="AF45" s="1367"/>
      <c r="AG45" s="1367"/>
      <c r="AH45" s="1367"/>
      <c r="AI45" s="1367"/>
      <c r="AJ45" s="1367"/>
    </row>
    <row r="46" spans="1:37" s="1366" customFormat="1" ht="15">
      <c r="A46" s="2867" t="s">
        <v>2941</v>
      </c>
      <c r="B46" s="2868">
        <f>1+E48</f>
        <v>1</v>
      </c>
      <c r="C46" s="2869"/>
      <c r="D46" s="807"/>
      <c r="E46" s="808"/>
      <c r="F46" s="2870"/>
      <c r="G46" s="6"/>
      <c r="H46" s="7"/>
      <c r="I46" s="7"/>
      <c r="J46" s="7"/>
      <c r="K46" s="7"/>
      <c r="L46" s="7"/>
      <c r="M46" s="7"/>
      <c r="N46" s="2781"/>
      <c r="Z46" s="1367"/>
      <c r="AA46" s="1367"/>
      <c r="AB46" s="1367"/>
      <c r="AC46" s="1367"/>
      <c r="AD46" s="1367"/>
      <c r="AE46" s="1367"/>
      <c r="AF46" s="1367"/>
      <c r="AG46" s="1367"/>
      <c r="AH46" s="1367"/>
      <c r="AI46" s="1367"/>
      <c r="AJ46" s="1367"/>
    </row>
    <row r="47" spans="1:37" s="1366" customFormat="1" ht="24.75">
      <c r="A47" s="2871" t="s">
        <v>2942</v>
      </c>
      <c r="B47" s="1805" t="s">
        <v>2943</v>
      </c>
      <c r="C47" s="1805" t="s">
        <v>2944</v>
      </c>
      <c r="D47" s="1805" t="s">
        <v>2945</v>
      </c>
      <c r="E47" s="812" t="s">
        <v>2946</v>
      </c>
      <c r="F47" s="2872" t="s">
        <v>2947</v>
      </c>
      <c r="G47" s="1805" t="s">
        <v>754</v>
      </c>
      <c r="H47" s="2873" t="s">
        <v>2948</v>
      </c>
      <c r="I47" s="1805" t="s">
        <v>2949</v>
      </c>
      <c r="J47" s="602" t="s">
        <v>2596</v>
      </c>
      <c r="K47" s="602" t="s">
        <v>2597</v>
      </c>
      <c r="L47" s="602" t="s">
        <v>2598</v>
      </c>
      <c r="M47" s="602" t="s">
        <v>2599</v>
      </c>
      <c r="N47" s="602" t="s">
        <v>2600</v>
      </c>
      <c r="AA47" s="1367"/>
      <c r="AB47" s="1367"/>
      <c r="AC47" s="1367"/>
      <c r="AD47" s="1367"/>
      <c r="AE47" s="1367"/>
      <c r="AF47" s="1367"/>
      <c r="AG47" s="1367"/>
      <c r="AH47" s="1367"/>
      <c r="AI47" s="1367"/>
      <c r="AJ47" s="1367"/>
      <c r="AK47" s="1367"/>
    </row>
    <row r="48" spans="1:37" s="1366" customFormat="1" ht="63.75">
      <c r="A48" s="2871" t="s">
        <v>2950</v>
      </c>
      <c r="B48" s="2874" t="str">
        <f>估价对象房地状况!C4</f>
        <v>区域内分布多为社区配套商业，商业规模较小，与商业中心距离较远，人流量一般，综合考虑商业繁华度一般。</v>
      </c>
      <c r="C48" s="2763"/>
      <c r="D48" s="1282">
        <f t="shared" ref="D48:D56" si="10">SUMIF($J$47:$N$47,C48,J48:N48)</f>
        <v>0</v>
      </c>
      <c r="E48" s="814">
        <f>ROUND(SUM(D48:D56),4)</f>
        <v>0</v>
      </c>
      <c r="F48" s="2494"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0.25">
      <c r="A49" s="2871" t="s">
        <v>2951</v>
      </c>
      <c r="B49"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49" s="2763"/>
      <c r="D49" s="1282">
        <f t="shared" si="10"/>
        <v>0</v>
      </c>
      <c r="E49" s="815"/>
      <c r="F49" s="2494"/>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1" t="s">
        <v>2952</v>
      </c>
      <c r="B50" s="2875">
        <f>估价对象房地状况!C19</f>
        <v>0</v>
      </c>
      <c r="C50" s="2763"/>
      <c r="D50" s="1282">
        <f t="shared" si="10"/>
        <v>0</v>
      </c>
      <c r="E50" s="815"/>
      <c r="F50" s="2494"/>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1" t="s">
        <v>2953</v>
      </c>
      <c r="B51" s="2876" t="s">
        <v>2954</v>
      </c>
      <c r="C51" s="2763"/>
      <c r="D51" s="1282">
        <f t="shared" si="10"/>
        <v>0</v>
      </c>
      <c r="E51" s="815"/>
      <c r="F51" s="2494"/>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1" t="s">
        <v>2955</v>
      </c>
      <c r="B52" s="2875" t="str">
        <f>估价对象房地状况!C24</f>
        <v>城市次干道——新源大街</v>
      </c>
      <c r="C52" s="2763"/>
      <c r="D52" s="1282">
        <f t="shared" si="10"/>
        <v>0</v>
      </c>
      <c r="E52" s="815"/>
      <c r="F52" s="2494"/>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1" t="s">
        <v>2956</v>
      </c>
      <c r="B53" s="2877" t="s">
        <v>2957</v>
      </c>
      <c r="C53" s="2763"/>
      <c r="D53" s="1282">
        <f t="shared" si="10"/>
        <v>0</v>
      </c>
      <c r="E53" s="815"/>
      <c r="F53" s="2494"/>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8" t="s">
        <v>2958</v>
      </c>
      <c r="B54" s="1721" t="str">
        <f>估价对象房地状况!C21</f>
        <v>估价对象所在区域公共配套设施齐备度一般</v>
      </c>
      <c r="C54" s="2763"/>
      <c r="D54" s="1282">
        <f t="shared" si="10"/>
        <v>0</v>
      </c>
      <c r="E54" s="815"/>
      <c r="F54" s="2494"/>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8" t="s">
        <v>2959</v>
      </c>
      <c r="B55" s="2875" t="str">
        <f>估价对象房地状况!C22</f>
        <v>估价对象所在区域基础设施水平七通</v>
      </c>
      <c r="C55" s="2763"/>
      <c r="D55" s="1282">
        <f t="shared" si="10"/>
        <v>0</v>
      </c>
      <c r="E55" s="815"/>
      <c r="F55" s="2494"/>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90" thickBot="1">
      <c r="A56" s="2879" t="s">
        <v>2960</v>
      </c>
      <c r="B56" s="2880" t="str">
        <f>估价对象房地状况!C20</f>
        <v>估价对象所处区域土地利用类型多为居住用地；估价对象周边有念坛公园，绿化率较好，周边无高等教育学校，无大型污染源，综合考虑自然及人文环境一般。</v>
      </c>
      <c r="C56" s="2763"/>
      <c r="D56" s="1282">
        <f t="shared" si="10"/>
        <v>0</v>
      </c>
      <c r="E56" s="818"/>
      <c r="F56" s="2494"/>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7" t="s">
        <v>2961</v>
      </c>
      <c r="B57" s="2868">
        <f>1+E59</f>
        <v>1.0377000000000001</v>
      </c>
      <c r="C57" s="807"/>
      <c r="D57" s="807"/>
      <c r="E57" s="808"/>
      <c r="F57" s="2870"/>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1" t="s">
        <v>2942</v>
      </c>
      <c r="B58" s="1805"/>
      <c r="C58" s="1805" t="s">
        <v>2944</v>
      </c>
      <c r="D58" s="1805" t="s">
        <v>2945</v>
      </c>
      <c r="E58" s="812" t="s">
        <v>2946</v>
      </c>
      <c r="F58" s="2872" t="s">
        <v>2962</v>
      </c>
      <c r="G58" s="1805" t="s">
        <v>754</v>
      </c>
      <c r="H58" s="2873" t="s">
        <v>2948</v>
      </c>
      <c r="I58" s="1805" t="s">
        <v>2949</v>
      </c>
      <c r="J58" s="602" t="s">
        <v>2596</v>
      </c>
      <c r="K58" s="602" t="s">
        <v>2597</v>
      </c>
      <c r="L58" s="602" t="s">
        <v>2598</v>
      </c>
      <c r="M58" s="602" t="s">
        <v>2599</v>
      </c>
      <c r="N58" s="602" t="s">
        <v>2600</v>
      </c>
      <c r="AA58" s="1367"/>
      <c r="AB58" s="1367"/>
      <c r="AC58" s="1367"/>
      <c r="AD58" s="1367"/>
      <c r="AE58" s="1367"/>
      <c r="AF58" s="1367"/>
      <c r="AG58" s="1367"/>
      <c r="AH58" s="1367"/>
      <c r="AI58" s="1367"/>
      <c r="AJ58" s="1367"/>
      <c r="AK58" s="1367"/>
    </row>
    <row r="59" spans="1:37" s="1366" customFormat="1" ht="51">
      <c r="A59" s="2871" t="s">
        <v>2963</v>
      </c>
      <c r="B59" s="2874" t="str">
        <f>估价对象房地状况!C17</f>
        <v>区域内分布有盈润大厦、绿地中央广场，写字楼规模一般，综合考虑办公集聚程度一般。</v>
      </c>
      <c r="C59" s="2763" t="s">
        <v>3052</v>
      </c>
      <c r="D59" s="1282">
        <f t="shared" ref="D59:D67" si="15">SUMIF($J$58:$N$58,C59,J59:N59)</f>
        <v>9.1000000000000004E-3</v>
      </c>
      <c r="E59" s="814">
        <f>ROUND(SUM(D59:D67),4)</f>
        <v>3.7699999999999997E-2</v>
      </c>
      <c r="F59" s="2494">
        <f>IF(E2="办公",SUMIF(L1:L12,G2,N1:N12),"——")</f>
        <v>0.15</v>
      </c>
      <c r="G59" s="2932">
        <v>9.1000000000000004E-3</v>
      </c>
      <c r="H59" s="1284">
        <f t="shared" ref="H59:H67" si="16">IFERROR(ROUNDDOWN($F$59*I59/2,4),"——")</f>
        <v>1.7999999999999999E-2</v>
      </c>
      <c r="I59" s="813">
        <v>0.24</v>
      </c>
      <c r="J59" s="1281">
        <f t="shared" ref="J59:J67" si="17">K59+$G59</f>
        <v>1.8200000000000001E-2</v>
      </c>
      <c r="K59" s="1281">
        <f t="shared" ref="K59:K67" si="18">$L59+$G59</f>
        <v>9.1000000000000004E-3</v>
      </c>
      <c r="L59" s="1281">
        <v>0</v>
      </c>
      <c r="M59" s="1281">
        <f t="shared" ref="M59:N67" si="19">L59-$G59</f>
        <v>-9.1000000000000004E-3</v>
      </c>
      <c r="N59" s="1281">
        <f t="shared" si="19"/>
        <v>-1.8200000000000001E-2</v>
      </c>
      <c r="AA59" s="1367"/>
      <c r="AB59" s="1367"/>
      <c r="AC59" s="1367"/>
      <c r="AD59" s="1367"/>
      <c r="AE59" s="1367"/>
      <c r="AF59" s="1367"/>
      <c r="AG59" s="1367"/>
      <c r="AH59" s="1367"/>
      <c r="AI59" s="1367"/>
      <c r="AJ59" s="1367"/>
      <c r="AK59" s="1367"/>
    </row>
    <row r="60" spans="1:37" s="1366" customFormat="1" ht="140.25">
      <c r="A60" s="2871" t="s">
        <v>2951</v>
      </c>
      <c r="B60"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60" s="2763" t="s">
        <v>3052</v>
      </c>
      <c r="D60" s="1282">
        <f t="shared" si="15"/>
        <v>1.14E-2</v>
      </c>
      <c r="E60" s="815"/>
      <c r="F60" s="2494"/>
      <c r="G60" s="2932">
        <v>1.14E-2</v>
      </c>
      <c r="H60" s="1284">
        <f t="shared" si="16"/>
        <v>2.2499999999999999E-2</v>
      </c>
      <c r="I60" s="813">
        <v>0.3</v>
      </c>
      <c r="J60" s="1281">
        <f t="shared" si="17"/>
        <v>2.2800000000000001E-2</v>
      </c>
      <c r="K60" s="1281">
        <f t="shared" si="18"/>
        <v>1.14E-2</v>
      </c>
      <c r="L60" s="1281">
        <v>0</v>
      </c>
      <c r="M60" s="1281">
        <f t="shared" si="19"/>
        <v>-1.14E-2</v>
      </c>
      <c r="N60" s="1281">
        <f t="shared" si="19"/>
        <v>-2.2800000000000001E-2</v>
      </c>
      <c r="AA60" s="1367"/>
      <c r="AB60" s="1367"/>
      <c r="AC60" s="1367"/>
      <c r="AD60" s="1367"/>
      <c r="AE60" s="1367"/>
      <c r="AF60" s="1367"/>
      <c r="AG60" s="1367"/>
      <c r="AH60" s="1367"/>
      <c r="AI60" s="1367"/>
      <c r="AJ60" s="1367"/>
      <c r="AK60" s="1367"/>
    </row>
    <row r="61" spans="1:37" s="1366" customFormat="1" ht="24">
      <c r="A61" s="2871" t="s">
        <v>2952</v>
      </c>
      <c r="B61" s="2875">
        <f>估价对象房地状况!C19</f>
        <v>0</v>
      </c>
      <c r="C61" s="2763" t="s">
        <v>3052</v>
      </c>
      <c r="D61" s="1282">
        <f t="shared" si="15"/>
        <v>3.0000000000000001E-3</v>
      </c>
      <c r="E61" s="815"/>
      <c r="F61" s="2494"/>
      <c r="G61" s="2932">
        <v>3.0000000000000001E-3</v>
      </c>
      <c r="H61" s="1284">
        <f t="shared" si="16"/>
        <v>6.0000000000000001E-3</v>
      </c>
      <c r="I61" s="813">
        <v>0.08</v>
      </c>
      <c r="J61" s="1281">
        <f t="shared" si="17"/>
        <v>6.0000000000000001E-3</v>
      </c>
      <c r="K61" s="1281">
        <f t="shared" si="18"/>
        <v>3.0000000000000001E-3</v>
      </c>
      <c r="L61" s="1281">
        <v>0</v>
      </c>
      <c r="M61" s="1281">
        <f t="shared" si="19"/>
        <v>-3.0000000000000001E-3</v>
      </c>
      <c r="N61" s="1281">
        <f t="shared" si="19"/>
        <v>-6.0000000000000001E-3</v>
      </c>
      <c r="AA61" s="1367"/>
      <c r="AB61" s="1367"/>
      <c r="AC61" s="1367"/>
      <c r="AD61" s="1367"/>
      <c r="AE61" s="1367"/>
      <c r="AF61" s="1367"/>
      <c r="AG61" s="1367"/>
      <c r="AH61" s="1367"/>
      <c r="AI61" s="1367"/>
      <c r="AJ61" s="1367"/>
      <c r="AK61" s="1367"/>
    </row>
    <row r="62" spans="1:37" s="1366" customFormat="1" ht="36.75">
      <c r="A62" s="2871" t="s">
        <v>2953</v>
      </c>
      <c r="B62" s="2876" t="s">
        <v>2954</v>
      </c>
      <c r="C62" s="2763" t="s">
        <v>3052</v>
      </c>
      <c r="D62" s="1282">
        <f t="shared" si="15"/>
        <v>1.5E-3</v>
      </c>
      <c r="E62" s="815"/>
      <c r="F62" s="2494"/>
      <c r="G62" s="2932">
        <v>1.5E-3</v>
      </c>
      <c r="H62" s="1284">
        <f t="shared" si="16"/>
        <v>3.0000000000000001E-3</v>
      </c>
      <c r="I62" s="813">
        <v>0.04</v>
      </c>
      <c r="J62" s="1281">
        <f t="shared" si="17"/>
        <v>3.0000000000000001E-3</v>
      </c>
      <c r="K62" s="1281">
        <f t="shared" si="18"/>
        <v>1.5E-3</v>
      </c>
      <c r="L62" s="1281">
        <v>0</v>
      </c>
      <c r="M62" s="1281">
        <f t="shared" si="19"/>
        <v>-1.5E-3</v>
      </c>
      <c r="N62" s="1281">
        <f t="shared" si="19"/>
        <v>-3.0000000000000001E-3</v>
      </c>
      <c r="AA62" s="1367"/>
      <c r="AB62" s="1367"/>
      <c r="AC62" s="1367"/>
      <c r="AD62" s="1367"/>
      <c r="AE62" s="1367"/>
      <c r="AF62" s="1367"/>
      <c r="AG62" s="1367"/>
      <c r="AH62" s="1367"/>
      <c r="AI62" s="1367"/>
      <c r="AJ62" s="1367"/>
      <c r="AK62" s="1367"/>
    </row>
    <row r="63" spans="1:37" s="1366" customFormat="1" ht="24">
      <c r="A63" s="2871" t="s">
        <v>2955</v>
      </c>
      <c r="B63" s="2875" t="str">
        <f>估价对象房地状况!C24</f>
        <v>城市次干道——新源大街</v>
      </c>
      <c r="C63" s="2763" t="s">
        <v>3052</v>
      </c>
      <c r="D63" s="1282">
        <f t="shared" si="15"/>
        <v>1.9E-3</v>
      </c>
      <c r="E63" s="815"/>
      <c r="F63" s="2494"/>
      <c r="G63" s="2932">
        <v>1.9E-3</v>
      </c>
      <c r="H63" s="1284">
        <f t="shared" si="16"/>
        <v>3.7000000000000002E-3</v>
      </c>
      <c r="I63" s="813">
        <v>0.05</v>
      </c>
      <c r="J63" s="1281">
        <f t="shared" si="17"/>
        <v>3.8E-3</v>
      </c>
      <c r="K63" s="1281">
        <f t="shared" si="18"/>
        <v>1.9E-3</v>
      </c>
      <c r="L63" s="1281">
        <v>0</v>
      </c>
      <c r="M63" s="1281">
        <f t="shared" si="19"/>
        <v>-1.9E-3</v>
      </c>
      <c r="N63" s="1281">
        <f t="shared" si="19"/>
        <v>-3.8E-3</v>
      </c>
      <c r="AA63" s="1367"/>
      <c r="AB63" s="1367"/>
      <c r="AC63" s="1367"/>
      <c r="AD63" s="1367"/>
      <c r="AE63" s="1367"/>
      <c r="AF63" s="1367"/>
      <c r="AG63" s="1367"/>
      <c r="AH63" s="1367"/>
      <c r="AI63" s="1367"/>
      <c r="AJ63" s="1367"/>
      <c r="AK63" s="1367"/>
    </row>
    <row r="64" spans="1:37" s="1366" customFormat="1" ht="24">
      <c r="A64" s="2871" t="s">
        <v>2956</v>
      </c>
      <c r="B64" s="2877" t="s">
        <v>2957</v>
      </c>
      <c r="C64" s="2763" t="s">
        <v>3052</v>
      </c>
      <c r="D64" s="1282">
        <f t="shared" si="15"/>
        <v>1.9E-3</v>
      </c>
      <c r="E64" s="815"/>
      <c r="F64" s="2494"/>
      <c r="G64" s="2932">
        <v>1.9E-3</v>
      </c>
      <c r="H64" s="1284">
        <f t="shared" si="16"/>
        <v>3.7000000000000002E-3</v>
      </c>
      <c r="I64" s="813">
        <v>0.05</v>
      </c>
      <c r="J64" s="1281">
        <f t="shared" si="17"/>
        <v>3.8E-3</v>
      </c>
      <c r="K64" s="1281">
        <f t="shared" si="18"/>
        <v>1.9E-3</v>
      </c>
      <c r="L64" s="1281">
        <v>0</v>
      </c>
      <c r="M64" s="1281">
        <f t="shared" si="19"/>
        <v>-1.9E-3</v>
      </c>
      <c r="N64" s="1281">
        <f t="shared" si="19"/>
        <v>-3.8E-3</v>
      </c>
      <c r="AA64" s="1367"/>
      <c r="AB64" s="1367"/>
      <c r="AC64" s="1367"/>
      <c r="AD64" s="1367"/>
      <c r="AE64" s="1367"/>
      <c r="AF64" s="1367"/>
      <c r="AG64" s="1367"/>
      <c r="AH64" s="1367"/>
      <c r="AI64" s="1367"/>
      <c r="AJ64" s="1367"/>
      <c r="AK64" s="1367"/>
    </row>
    <row r="65" spans="1:37" s="1366" customFormat="1" ht="25.5">
      <c r="A65" s="2871" t="s">
        <v>2958</v>
      </c>
      <c r="B65" s="1721" t="str">
        <f>估价对象房地状况!C21</f>
        <v>估价对象所在区域公共配套设施齐备度一般</v>
      </c>
      <c r="C65" s="2763" t="s">
        <v>3052</v>
      </c>
      <c r="D65" s="1282">
        <f t="shared" si="15"/>
        <v>2.2000000000000001E-3</v>
      </c>
      <c r="E65" s="815"/>
      <c r="F65" s="2494"/>
      <c r="G65" s="2932">
        <v>2.2000000000000001E-3</v>
      </c>
      <c r="H65" s="1284">
        <f t="shared" si="16"/>
        <v>4.4999999999999997E-3</v>
      </c>
      <c r="I65" s="813">
        <v>0.06</v>
      </c>
      <c r="J65" s="1281">
        <f t="shared" si="17"/>
        <v>4.4000000000000003E-3</v>
      </c>
      <c r="K65" s="1281">
        <f t="shared" si="18"/>
        <v>2.2000000000000001E-3</v>
      </c>
      <c r="L65" s="1281">
        <v>0</v>
      </c>
      <c r="M65" s="1281">
        <f t="shared" si="19"/>
        <v>-2.2000000000000001E-3</v>
      </c>
      <c r="N65" s="1281">
        <f t="shared" si="19"/>
        <v>-4.4000000000000003E-3</v>
      </c>
      <c r="AA65" s="1367"/>
      <c r="AB65" s="1367"/>
      <c r="AC65" s="1367"/>
      <c r="AD65" s="1367"/>
      <c r="AE65" s="1367"/>
      <c r="AF65" s="1367"/>
      <c r="AG65" s="1367"/>
      <c r="AH65" s="1367"/>
      <c r="AI65" s="1367"/>
      <c r="AJ65" s="1367"/>
      <c r="AK65" s="1367"/>
    </row>
    <row r="66" spans="1:37" s="1366" customFormat="1" ht="25.5">
      <c r="A66" s="2871" t="s">
        <v>2959</v>
      </c>
      <c r="B66" s="1721" t="str">
        <f>估价对象房地状况!C22</f>
        <v>估价对象所在区域基础设施水平七通</v>
      </c>
      <c r="C66" s="2763" t="s">
        <v>3052</v>
      </c>
      <c r="D66" s="1282">
        <f t="shared" si="15"/>
        <v>4.4999999999999997E-3</v>
      </c>
      <c r="E66" s="815"/>
      <c r="F66" s="2494"/>
      <c r="G66" s="2932">
        <v>4.4999999999999997E-3</v>
      </c>
      <c r="H66" s="1284">
        <f t="shared" si="16"/>
        <v>8.9999999999999993E-3</v>
      </c>
      <c r="I66" s="813">
        <v>0.12</v>
      </c>
      <c r="J66" s="1281">
        <f t="shared" si="17"/>
        <v>8.9999999999999993E-3</v>
      </c>
      <c r="K66" s="1281">
        <f t="shared" si="18"/>
        <v>4.4999999999999997E-3</v>
      </c>
      <c r="L66" s="1281">
        <v>0</v>
      </c>
      <c r="M66" s="1281">
        <f t="shared" si="19"/>
        <v>-4.4999999999999997E-3</v>
      </c>
      <c r="N66" s="1281">
        <f t="shared" si="19"/>
        <v>-8.9999999999999993E-3</v>
      </c>
      <c r="AA66" s="1367"/>
      <c r="AB66" s="1367"/>
      <c r="AC66" s="1367"/>
      <c r="AD66" s="1367"/>
      <c r="AE66" s="1367"/>
      <c r="AF66" s="1367"/>
      <c r="AG66" s="1367"/>
      <c r="AH66" s="1367"/>
      <c r="AI66" s="1367"/>
      <c r="AJ66" s="1367"/>
      <c r="AK66" s="1367"/>
    </row>
    <row r="67" spans="1:37" s="1366" customFormat="1" ht="90" thickBot="1">
      <c r="A67" s="2879" t="s">
        <v>2960</v>
      </c>
      <c r="B67" s="2881" t="str">
        <f>估价对象房地状况!C20</f>
        <v>估价对象所处区域土地利用类型多为居住用地；估价对象周边有念坛公园，绿化率较好，周边无高等教育学校，无大型污染源，综合考虑自然及人文环境一般。</v>
      </c>
      <c r="C67" s="2763" t="s">
        <v>3052</v>
      </c>
      <c r="D67" s="1282">
        <f t="shared" si="15"/>
        <v>2.2000000000000001E-3</v>
      </c>
      <c r="E67" s="818"/>
      <c r="F67" s="2494"/>
      <c r="G67" s="2932">
        <v>2.2000000000000001E-3</v>
      </c>
      <c r="H67" s="1284">
        <f t="shared" si="16"/>
        <v>4.4999999999999997E-3</v>
      </c>
      <c r="I67" s="817">
        <v>0.06</v>
      </c>
      <c r="J67" s="1281">
        <f t="shared" si="17"/>
        <v>4.4000000000000003E-3</v>
      </c>
      <c r="K67" s="1281">
        <f t="shared" si="18"/>
        <v>2.2000000000000001E-3</v>
      </c>
      <c r="L67" s="1281">
        <v>0</v>
      </c>
      <c r="M67" s="1281">
        <f t="shared" si="19"/>
        <v>-2.2000000000000001E-3</v>
      </c>
      <c r="N67" s="1281">
        <f t="shared" si="19"/>
        <v>-4.4000000000000003E-3</v>
      </c>
      <c r="AA67" s="1367"/>
      <c r="AB67" s="1367"/>
      <c r="AC67" s="1367"/>
      <c r="AD67" s="1367"/>
      <c r="AE67" s="1367"/>
      <c r="AF67" s="1367"/>
      <c r="AG67" s="1367"/>
      <c r="AH67" s="1367"/>
      <c r="AI67" s="1367"/>
      <c r="AJ67" s="1367"/>
      <c r="AK67" s="1367"/>
    </row>
    <row r="68" spans="1:37" s="1366" customFormat="1" ht="15">
      <c r="A68" s="2867" t="s">
        <v>2964</v>
      </c>
      <c r="B68" s="2868">
        <f>1+E70</f>
        <v>1</v>
      </c>
      <c r="C68" s="807"/>
      <c r="D68" s="807"/>
      <c r="E68" s="808"/>
      <c r="F68" s="2870"/>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1" t="s">
        <v>2942</v>
      </c>
      <c r="B69" s="1805"/>
      <c r="C69" s="1805" t="s">
        <v>2944</v>
      </c>
      <c r="D69" s="1805" t="s">
        <v>2945</v>
      </c>
      <c r="E69" s="812" t="s">
        <v>2946</v>
      </c>
      <c r="F69" s="2872" t="s">
        <v>2962</v>
      </c>
      <c r="G69" s="1805" t="s">
        <v>754</v>
      </c>
      <c r="H69" s="2873" t="s">
        <v>2948</v>
      </c>
      <c r="I69" s="1805" t="s">
        <v>2949</v>
      </c>
      <c r="J69" s="602" t="s">
        <v>2596</v>
      </c>
      <c r="K69" s="602" t="s">
        <v>2597</v>
      </c>
      <c r="L69" s="602" t="s">
        <v>2598</v>
      </c>
      <c r="M69" s="602" t="s">
        <v>2599</v>
      </c>
      <c r="N69" s="602" t="s">
        <v>2600</v>
      </c>
      <c r="AA69" s="1367"/>
      <c r="AB69" s="1367"/>
      <c r="AC69" s="1367"/>
      <c r="AD69" s="1367"/>
      <c r="AE69" s="1367"/>
      <c r="AF69" s="1367"/>
      <c r="AG69" s="1367"/>
      <c r="AH69" s="1367"/>
      <c r="AI69" s="1367"/>
      <c r="AJ69" s="1367"/>
      <c r="AK69" s="1367"/>
    </row>
    <row r="70" spans="1:37" s="1366" customFormat="1" ht="24">
      <c r="A70" s="2871" t="s">
        <v>2965</v>
      </c>
      <c r="B70" s="2874">
        <f>估价对象房地状况!C15</f>
        <v>0</v>
      </c>
      <c r="C70" s="2763"/>
      <c r="D70" s="1282">
        <f t="shared" ref="D70:D78" si="20">SUMIF($J$69:$N$69,C70,J70:N70)</f>
        <v>0</v>
      </c>
      <c r="E70" s="814">
        <f>ROUND(SUM(D70:D78),4)</f>
        <v>0</v>
      </c>
      <c r="F70" s="2494"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0.25">
      <c r="A71" s="2871" t="s">
        <v>2951</v>
      </c>
      <c r="B71" s="2875" t="str">
        <f>估价对象房地状况!C18</f>
        <v>估价对象位于大兴区黄村镇，南距南六环约1.8公里，西距京开高速约2公里，周边路网较为密集，行车出入较为便捷。且项目及周边道路均设有停车场位，停车较为便捷。周边有829、954路等公交线路，南距地铁四号线义和庄站约1公里，公交便捷度较好</v>
      </c>
      <c r="C71" s="2763"/>
      <c r="D71" s="1282">
        <f t="shared" si="20"/>
        <v>0</v>
      </c>
      <c r="E71" s="819"/>
      <c r="F71" s="2494"/>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1" t="s">
        <v>2952</v>
      </c>
      <c r="B72" s="2875">
        <f>估价对象房地状况!C19</f>
        <v>0</v>
      </c>
      <c r="C72" s="2763"/>
      <c r="D72" s="1282">
        <f t="shared" si="20"/>
        <v>0</v>
      </c>
      <c r="E72" s="819"/>
      <c r="F72" s="2494"/>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1" t="s">
        <v>2966</v>
      </c>
      <c r="B73" s="2875" t="str">
        <f>估价对象房地状况!C24</f>
        <v>城市次干道——新源大街</v>
      </c>
      <c r="C73" s="2763"/>
      <c r="D73" s="1282">
        <f t="shared" si="20"/>
        <v>0</v>
      </c>
      <c r="E73" s="819"/>
      <c r="F73" s="2494"/>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1" t="s">
        <v>2958</v>
      </c>
      <c r="B74" s="1721" t="str">
        <f>估价对象房地状况!C21</f>
        <v>估价对象所在区域公共配套设施齐备度一般</v>
      </c>
      <c r="C74" s="2763"/>
      <c r="D74" s="1282">
        <f t="shared" si="20"/>
        <v>0</v>
      </c>
      <c r="E74" s="819"/>
      <c r="F74" s="2494"/>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1" t="s">
        <v>2959</v>
      </c>
      <c r="B75" s="1721" t="str">
        <f>估价对象房地状况!C22</f>
        <v>估价对象所在区域基础设施水平七通</v>
      </c>
      <c r="C75" s="2763"/>
      <c r="D75" s="1282">
        <f t="shared" si="20"/>
        <v>0</v>
      </c>
      <c r="E75" s="819"/>
      <c r="F75" s="2494"/>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2" customFormat="1" ht="24">
      <c r="A76" s="2871" t="s">
        <v>2956</v>
      </c>
      <c r="B76" s="2877" t="s">
        <v>2957</v>
      </c>
      <c r="C76" s="2763"/>
      <c r="D76" s="1282">
        <f t="shared" si="20"/>
        <v>0</v>
      </c>
      <c r="E76" s="819"/>
      <c r="F76" s="2494"/>
      <c r="G76" s="1280"/>
      <c r="H76" s="1284" t="str">
        <f t="shared" si="21"/>
        <v>——</v>
      </c>
      <c r="I76" s="813">
        <v>0.05</v>
      </c>
      <c r="J76" s="1281">
        <f t="shared" si="22"/>
        <v>0</v>
      </c>
      <c r="K76" s="1281">
        <f t="shared" si="23"/>
        <v>0</v>
      </c>
      <c r="L76" s="1281">
        <v>0</v>
      </c>
      <c r="M76" s="1281">
        <f t="shared" si="24"/>
        <v>0</v>
      </c>
      <c r="N76" s="1281">
        <f t="shared" si="24"/>
        <v>0</v>
      </c>
      <c r="AA76" s="2882"/>
      <c r="AB76" s="1367"/>
      <c r="AC76" s="1367"/>
      <c r="AD76" s="1367"/>
      <c r="AE76" s="1367"/>
      <c r="AF76" s="1367"/>
      <c r="AG76" s="1367"/>
      <c r="AH76" s="2882"/>
      <c r="AI76" s="2882"/>
      <c r="AJ76" s="2882"/>
      <c r="AK76" s="2882"/>
    </row>
    <row r="77" spans="1:37" ht="89.25">
      <c r="A77" s="2871" t="s">
        <v>2960</v>
      </c>
      <c r="B77" s="2874" t="str">
        <f>估价对象房地状况!C20</f>
        <v>估价对象所处区域土地利用类型多为居住用地；估价对象周边有念坛公园，绿化率较好，周边无高等教育学校，无大型污染源，综合考虑自然及人文环境一般。</v>
      </c>
      <c r="C77" s="2763"/>
      <c r="D77" s="1282">
        <f t="shared" si="20"/>
        <v>0</v>
      </c>
      <c r="E77" s="819"/>
      <c r="F77" s="2494"/>
      <c r="G77" s="1280"/>
      <c r="H77" s="1284" t="str">
        <f t="shared" si="21"/>
        <v>——</v>
      </c>
      <c r="I77" s="813">
        <v>0.15</v>
      </c>
      <c r="J77" s="1281">
        <f t="shared" si="22"/>
        <v>0</v>
      </c>
      <c r="K77" s="1281">
        <f t="shared" si="23"/>
        <v>0</v>
      </c>
      <c r="L77" s="1281">
        <v>0</v>
      </c>
      <c r="M77" s="1281">
        <f t="shared" si="24"/>
        <v>0</v>
      </c>
      <c r="N77" s="1281">
        <f t="shared" si="24"/>
        <v>0</v>
      </c>
      <c r="Z77" s="2713"/>
      <c r="AA77" s="2789"/>
      <c r="AG77" s="1368"/>
      <c r="AK77" s="2789"/>
    </row>
    <row r="78" spans="1:37" ht="24.75" thickBot="1">
      <c r="A78" s="2879" t="s">
        <v>2967</v>
      </c>
      <c r="B78" s="2883"/>
      <c r="C78" s="2763"/>
      <c r="D78" s="1282">
        <f t="shared" si="20"/>
        <v>0</v>
      </c>
      <c r="E78" s="820"/>
      <c r="F78" s="2494"/>
      <c r="G78" s="1280"/>
      <c r="H78" s="1284" t="str">
        <f t="shared" si="21"/>
        <v>——</v>
      </c>
      <c r="I78" s="817">
        <v>0.04</v>
      </c>
      <c r="J78" s="1281">
        <f t="shared" si="22"/>
        <v>0</v>
      </c>
      <c r="K78" s="1281">
        <f t="shared" si="23"/>
        <v>0</v>
      </c>
      <c r="L78" s="1281">
        <v>0</v>
      </c>
      <c r="M78" s="1281">
        <f t="shared" si="24"/>
        <v>0</v>
      </c>
      <c r="N78" s="1281">
        <f t="shared" si="24"/>
        <v>0</v>
      </c>
      <c r="Z78" s="2713"/>
      <c r="AA78" s="2789"/>
      <c r="AG78" s="1368"/>
      <c r="AK78" s="2789"/>
    </row>
    <row r="79" spans="1:37" ht="15">
      <c r="A79" s="2867" t="s">
        <v>2968</v>
      </c>
      <c r="B79" s="2868">
        <f>1+E81</f>
        <v>1</v>
      </c>
      <c r="C79" s="807"/>
      <c r="D79" s="807"/>
      <c r="E79" s="808"/>
      <c r="F79" s="2870"/>
      <c r="G79" s="6"/>
      <c r="H79" s="6"/>
      <c r="I79" s="6"/>
      <c r="J79" s="7"/>
      <c r="K79" s="7"/>
      <c r="L79" s="7"/>
      <c r="M79" s="7"/>
      <c r="N79" s="7"/>
      <c r="Z79" s="2713"/>
      <c r="AA79" s="2789"/>
      <c r="AG79" s="1368"/>
      <c r="AK79" s="2789"/>
    </row>
    <row r="80" spans="1:37" ht="24.75">
      <c r="A80" s="2871" t="s">
        <v>2942</v>
      </c>
      <c r="B80" s="1805"/>
      <c r="C80" s="1805" t="s">
        <v>2944</v>
      </c>
      <c r="D80" s="1805" t="s">
        <v>2945</v>
      </c>
      <c r="E80" s="812" t="s">
        <v>2946</v>
      </c>
      <c r="F80" s="2872" t="s">
        <v>2962</v>
      </c>
      <c r="G80" s="1805" t="s">
        <v>754</v>
      </c>
      <c r="H80" s="2873" t="s">
        <v>2948</v>
      </c>
      <c r="I80" s="1805" t="s">
        <v>2949</v>
      </c>
      <c r="J80" s="602" t="s">
        <v>2596</v>
      </c>
      <c r="K80" s="602" t="s">
        <v>2597</v>
      </c>
      <c r="L80" s="602" t="s">
        <v>2598</v>
      </c>
      <c r="M80" s="602" t="s">
        <v>2599</v>
      </c>
      <c r="N80" s="602" t="s">
        <v>2600</v>
      </c>
      <c r="Z80" s="2713"/>
      <c r="AA80" s="2789"/>
      <c r="AG80" s="1368"/>
      <c r="AK80" s="2789"/>
    </row>
    <row r="81" spans="1:37" ht="38.25">
      <c r="A81" s="2871" t="s">
        <v>2969</v>
      </c>
      <c r="B81" s="2875" t="str">
        <f>估价对象房地状况!G15</f>
        <v>估价对象位于XX开发区，园区建设成熟度XX，产业集聚程度XX</v>
      </c>
      <c r="C81" s="2763"/>
      <c r="D81" s="1282">
        <f t="shared" ref="D81:D88" si="25">SUMIF($J$80:$N$80,C81,J81:N81)</f>
        <v>0</v>
      </c>
      <c r="E81" s="814">
        <f>ROUND(SUM(D81:D88),4)</f>
        <v>0</v>
      </c>
      <c r="F81" s="2494"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3"/>
      <c r="AA81" s="2789"/>
      <c r="AG81" s="1368"/>
      <c r="AK81" s="2789"/>
    </row>
    <row r="82" spans="1:37" ht="51">
      <c r="A82" s="2871" t="s">
        <v>2951</v>
      </c>
      <c r="B82" s="2875" t="str">
        <f>估价对象房地状况!G16</f>
        <v>估价对象周边道路状况、公共交通通达情况、停车便捷程度，综合评价交通便捷度较好</v>
      </c>
      <c r="C82" s="2763"/>
      <c r="D82" s="1282">
        <f t="shared" si="25"/>
        <v>0</v>
      </c>
      <c r="E82" s="819"/>
      <c r="F82" s="2494"/>
      <c r="G82" s="1280"/>
      <c r="H82" s="1284" t="str">
        <f t="shared" si="26"/>
        <v>——</v>
      </c>
      <c r="I82" s="813">
        <v>0.33</v>
      </c>
      <c r="J82" s="1281">
        <f t="shared" si="27"/>
        <v>0</v>
      </c>
      <c r="K82" s="1281">
        <f t="shared" si="28"/>
        <v>0</v>
      </c>
      <c r="L82" s="1281">
        <v>0</v>
      </c>
      <c r="M82" s="1281">
        <f t="shared" si="29"/>
        <v>0</v>
      </c>
      <c r="N82" s="1281">
        <f t="shared" si="29"/>
        <v>0</v>
      </c>
      <c r="Z82" s="2713"/>
      <c r="AA82" s="2789"/>
      <c r="AG82" s="1368"/>
      <c r="AK82" s="2789"/>
    </row>
    <row r="83" spans="1:37" ht="24">
      <c r="A83" s="2871" t="s">
        <v>2952</v>
      </c>
      <c r="B83" s="2875">
        <f>估价对象房地状况!G17</f>
        <v>0</v>
      </c>
      <c r="C83" s="2763"/>
      <c r="D83" s="1282">
        <f t="shared" si="25"/>
        <v>0</v>
      </c>
      <c r="E83" s="819"/>
      <c r="F83" s="2494"/>
      <c r="G83" s="1280"/>
      <c r="H83" s="1284" t="str">
        <f t="shared" si="26"/>
        <v>——</v>
      </c>
      <c r="I83" s="813">
        <v>0.05</v>
      </c>
      <c r="J83" s="1281">
        <f t="shared" si="27"/>
        <v>0</v>
      </c>
      <c r="K83" s="1281">
        <f t="shared" si="28"/>
        <v>0</v>
      </c>
      <c r="L83" s="1281">
        <v>0</v>
      </c>
      <c r="M83" s="1281">
        <f t="shared" si="29"/>
        <v>0</v>
      </c>
      <c r="N83" s="1281">
        <f t="shared" si="29"/>
        <v>0</v>
      </c>
      <c r="Z83" s="2713"/>
      <c r="AA83" s="2789"/>
      <c r="AG83" s="1368"/>
      <c r="AK83" s="2789"/>
    </row>
    <row r="84" spans="1:37" ht="14.25">
      <c r="A84" s="2871" t="s">
        <v>2966</v>
      </c>
      <c r="B84" s="2875">
        <f>估价对象房地状况!G22</f>
        <v>0</v>
      </c>
      <c r="C84" s="2763"/>
      <c r="D84" s="1282">
        <f t="shared" si="25"/>
        <v>0</v>
      </c>
      <c r="E84" s="819"/>
      <c r="F84" s="2494"/>
      <c r="G84" s="1280"/>
      <c r="H84" s="1284" t="str">
        <f t="shared" si="26"/>
        <v>——</v>
      </c>
      <c r="I84" s="813">
        <v>0.04</v>
      </c>
      <c r="J84" s="1281">
        <f t="shared" si="27"/>
        <v>0</v>
      </c>
      <c r="K84" s="1281">
        <f t="shared" si="28"/>
        <v>0</v>
      </c>
      <c r="L84" s="1281">
        <v>0</v>
      </c>
      <c r="M84" s="1281">
        <f t="shared" si="29"/>
        <v>0</v>
      </c>
      <c r="N84" s="1281">
        <f t="shared" si="29"/>
        <v>0</v>
      </c>
      <c r="Z84" s="2713"/>
      <c r="AA84" s="2789"/>
      <c r="AG84" s="1368"/>
      <c r="AK84" s="2789"/>
    </row>
    <row r="85" spans="1:37" ht="25.5">
      <c r="A85" s="2871" t="s">
        <v>2958</v>
      </c>
      <c r="B85" s="1721" t="str">
        <f>估价对象房地状况!G19</f>
        <v>估价对象所在区域公共配套设施齐备情况</v>
      </c>
      <c r="C85" s="2763"/>
      <c r="D85" s="1282">
        <f t="shared" si="25"/>
        <v>0</v>
      </c>
      <c r="E85" s="819"/>
      <c r="F85" s="2494"/>
      <c r="G85" s="1280"/>
      <c r="H85" s="1284" t="str">
        <f t="shared" si="26"/>
        <v>——</v>
      </c>
      <c r="I85" s="813">
        <v>0.06</v>
      </c>
      <c r="J85" s="1281">
        <f t="shared" si="27"/>
        <v>0</v>
      </c>
      <c r="K85" s="1281">
        <f t="shared" si="28"/>
        <v>0</v>
      </c>
      <c r="L85" s="1281">
        <v>0</v>
      </c>
      <c r="M85" s="1281">
        <f t="shared" si="29"/>
        <v>0</v>
      </c>
      <c r="N85" s="1281">
        <f t="shared" si="29"/>
        <v>0</v>
      </c>
      <c r="Z85" s="2713"/>
      <c r="AA85" s="2789"/>
      <c r="AG85" s="1368"/>
      <c r="AK85" s="2789"/>
    </row>
    <row r="86" spans="1:37" ht="25.5">
      <c r="A86" s="2871" t="s">
        <v>2959</v>
      </c>
      <c r="B86" s="1721" t="str">
        <f>估价对象房地状况!G20</f>
        <v>估价对象所在区域基础设施水平</v>
      </c>
      <c r="C86" s="2763"/>
      <c r="D86" s="1282">
        <f t="shared" si="25"/>
        <v>0</v>
      </c>
      <c r="E86" s="819"/>
      <c r="F86" s="2494"/>
      <c r="G86" s="1280"/>
      <c r="H86" s="1284" t="str">
        <f t="shared" si="26"/>
        <v>——</v>
      </c>
      <c r="I86" s="813">
        <v>0.15</v>
      </c>
      <c r="J86" s="1281">
        <f t="shared" si="27"/>
        <v>0</v>
      </c>
      <c r="K86" s="1281">
        <f t="shared" si="28"/>
        <v>0</v>
      </c>
      <c r="L86" s="1281">
        <v>0</v>
      </c>
      <c r="M86" s="1281">
        <f t="shared" si="29"/>
        <v>0</v>
      </c>
      <c r="N86" s="1281">
        <f t="shared" si="29"/>
        <v>0</v>
      </c>
      <c r="Z86" s="2713"/>
      <c r="AA86" s="2789"/>
      <c r="AG86" s="1368"/>
      <c r="AK86" s="2789"/>
    </row>
    <row r="87" spans="1:37" ht="24">
      <c r="A87" s="2871" t="s">
        <v>2956</v>
      </c>
      <c r="B87" s="2877" t="s">
        <v>2970</v>
      </c>
      <c r="C87" s="2763"/>
      <c r="D87" s="1282">
        <f t="shared" si="25"/>
        <v>0</v>
      </c>
      <c r="E87" s="819"/>
      <c r="F87" s="2494"/>
      <c r="G87" s="1280"/>
      <c r="H87" s="1284" t="str">
        <f t="shared" si="26"/>
        <v>——</v>
      </c>
      <c r="I87" s="813">
        <v>0.05</v>
      </c>
      <c r="J87" s="1281">
        <f t="shared" si="27"/>
        <v>0</v>
      </c>
      <c r="K87" s="1281">
        <f t="shared" si="28"/>
        <v>0</v>
      </c>
      <c r="L87" s="1281">
        <v>0</v>
      </c>
      <c r="M87" s="1281">
        <f t="shared" si="29"/>
        <v>0</v>
      </c>
      <c r="N87" s="1281">
        <f t="shared" si="29"/>
        <v>0</v>
      </c>
      <c r="Z87" s="2713"/>
      <c r="AA87" s="2789"/>
      <c r="AG87" s="1368"/>
      <c r="AK87" s="2789"/>
    </row>
    <row r="88" spans="1:37" ht="39" thickBot="1">
      <c r="A88" s="2879" t="s">
        <v>2971</v>
      </c>
      <c r="B88" s="2884" t="str">
        <f>估价对象房地状况!G18</f>
        <v>该园区内是否有污染型企业，绿化情况，卫生条件，整体环境状况判断</v>
      </c>
      <c r="C88" s="2763"/>
      <c r="D88" s="1282">
        <f t="shared" si="25"/>
        <v>0</v>
      </c>
      <c r="E88" s="820"/>
      <c r="F88" s="2494"/>
      <c r="G88" s="1280"/>
      <c r="H88" s="1284" t="str">
        <f t="shared" si="26"/>
        <v>——</v>
      </c>
      <c r="I88" s="817">
        <v>0.06</v>
      </c>
      <c r="J88" s="1281">
        <f t="shared" si="27"/>
        <v>0</v>
      </c>
      <c r="K88" s="1281">
        <f t="shared" si="28"/>
        <v>0</v>
      </c>
      <c r="L88" s="1281">
        <v>0</v>
      </c>
      <c r="M88" s="1281">
        <f t="shared" si="29"/>
        <v>0</v>
      </c>
      <c r="N88" s="1281">
        <f t="shared" si="29"/>
        <v>0</v>
      </c>
      <c r="Z88" s="2713"/>
      <c r="AA88" s="2789"/>
      <c r="AG88" s="1368"/>
      <c r="AK88" s="2789"/>
    </row>
    <row r="90" spans="1:37">
      <c r="A90" s="3328" t="s">
        <v>2972</v>
      </c>
      <c r="B90" s="3328"/>
      <c r="C90" s="3328"/>
      <c r="D90" s="3328"/>
      <c r="E90" s="3328"/>
      <c r="F90" s="3328"/>
      <c r="G90" s="3328"/>
      <c r="H90" s="3328"/>
      <c r="I90" s="3328"/>
      <c r="J90" s="3328"/>
      <c r="K90" s="2885"/>
      <c r="L90" s="2885"/>
      <c r="M90" s="2885"/>
      <c r="N90" s="2885"/>
    </row>
    <row r="91" spans="1:37">
      <c r="A91" s="3330" t="s">
        <v>2973</v>
      </c>
      <c r="B91" s="3330" t="s">
        <v>2974</v>
      </c>
      <c r="C91" s="2839" t="s">
        <v>2975</v>
      </c>
      <c r="D91" s="2840"/>
      <c r="E91" s="2840"/>
      <c r="F91" s="2840"/>
      <c r="G91" s="2840"/>
      <c r="H91" s="2840"/>
      <c r="I91" s="2840"/>
      <c r="J91" s="2886"/>
      <c r="K91" s="2887"/>
      <c r="L91" s="2887"/>
      <c r="M91" s="2887"/>
      <c r="N91" s="2887"/>
    </row>
    <row r="92" spans="1:37">
      <c r="A92" s="3330"/>
      <c r="B92" s="3330"/>
      <c r="C92" s="938" t="s">
        <v>2840</v>
      </c>
      <c r="D92" s="938" t="s">
        <v>2841</v>
      </c>
      <c r="E92" s="938" t="s">
        <v>2842</v>
      </c>
      <c r="F92" s="938" t="s">
        <v>2843</v>
      </c>
      <c r="G92" s="938" t="s">
        <v>2844</v>
      </c>
      <c r="H92" s="938" t="s">
        <v>2845</v>
      </c>
      <c r="I92" s="938" t="s">
        <v>2846</v>
      </c>
      <c r="J92" s="938" t="s">
        <v>2847</v>
      </c>
      <c r="K92" s="938" t="s">
        <v>2848</v>
      </c>
      <c r="L92" s="938" t="s">
        <v>2849</v>
      </c>
      <c r="M92" s="938" t="s">
        <v>2850</v>
      </c>
      <c r="N92" s="938" t="s">
        <v>2851</v>
      </c>
    </row>
    <row r="93" spans="1:37">
      <c r="A93" s="3331" t="s">
        <v>2976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332"/>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332"/>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332"/>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332"/>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332"/>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332"/>
      <c r="B99" s="2888" t="s">
        <v>2856</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333"/>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331" t="s">
        <v>2977</v>
      </c>
      <c r="B101" s="2892" t="s">
        <v>2978</v>
      </c>
      <c r="C101" s="2893">
        <f>$G$3</f>
        <v>3.8</v>
      </c>
      <c r="D101" s="2893">
        <f t="shared" ref="D101:N101" si="31">$G$3</f>
        <v>3.8</v>
      </c>
      <c r="E101" s="2893">
        <f t="shared" si="31"/>
        <v>3.8</v>
      </c>
      <c r="F101" s="2893">
        <f t="shared" si="31"/>
        <v>3.8</v>
      </c>
      <c r="G101" s="2893">
        <f t="shared" si="31"/>
        <v>3.8</v>
      </c>
      <c r="H101" s="2893">
        <f t="shared" si="31"/>
        <v>3.8</v>
      </c>
      <c r="I101" s="2893">
        <f t="shared" si="31"/>
        <v>3.8</v>
      </c>
      <c r="J101" s="2893">
        <f t="shared" si="31"/>
        <v>3.8</v>
      </c>
      <c r="K101" s="2893">
        <f t="shared" si="31"/>
        <v>3.8</v>
      </c>
      <c r="L101" s="2893">
        <f t="shared" si="31"/>
        <v>3.8</v>
      </c>
      <c r="M101" s="2893">
        <f t="shared" si="31"/>
        <v>3.8</v>
      </c>
      <c r="N101" s="2893">
        <f t="shared" si="31"/>
        <v>3.8</v>
      </c>
    </row>
    <row r="102" spans="1:14">
      <c r="A102" s="3332"/>
      <c r="B102" s="2888">
        <v>1</v>
      </c>
      <c r="C102" s="2889">
        <f>1.9362/C101</f>
        <v>0.50952631578947372</v>
      </c>
      <c r="D102" s="2889">
        <f>1.9362/D101</f>
        <v>0.50952631578947372</v>
      </c>
      <c r="E102" s="2889">
        <f>1.8629/E101</f>
        <v>0.49023684210526319</v>
      </c>
      <c r="F102" s="2889">
        <f>1.8629/F101</f>
        <v>0.49023684210526319</v>
      </c>
      <c r="G102" s="2889">
        <f>1.8629/G101</f>
        <v>0.49023684210526319</v>
      </c>
      <c r="H102" s="2889">
        <f>1.8629/H101</f>
        <v>0.49023684210526319</v>
      </c>
      <c r="I102" s="2889">
        <f>1.8629/I101</f>
        <v>0.49023684210526319</v>
      </c>
      <c r="J102" s="2889">
        <f>1.942/J101</f>
        <v>0.51105263157894742</v>
      </c>
      <c r="K102" s="2889">
        <f>1.942/K101</f>
        <v>0.51105263157894742</v>
      </c>
      <c r="L102" s="2889">
        <f>1.942/L101</f>
        <v>0.51105263157894742</v>
      </c>
      <c r="M102" s="2889">
        <f>1.942/M101</f>
        <v>0.51105263157894742</v>
      </c>
      <c r="N102" s="2889">
        <f>1.942/N101</f>
        <v>0.51105263157894742</v>
      </c>
    </row>
    <row r="103" spans="1:14">
      <c r="A103" s="3332"/>
      <c r="B103" s="2888">
        <v>2</v>
      </c>
      <c r="C103" s="2889">
        <f>1.4198/C101</f>
        <v>0.37363157894736843</v>
      </c>
      <c r="D103" s="2889">
        <f>1.4198/D101</f>
        <v>0.37363157894736843</v>
      </c>
      <c r="E103" s="2889">
        <f>1.3372/E101</f>
        <v>0.35189473684210526</v>
      </c>
      <c r="F103" s="2889">
        <f>1.3372/F101</f>
        <v>0.35189473684210526</v>
      </c>
      <c r="G103" s="2889">
        <f>1.3372/G101</f>
        <v>0.35189473684210526</v>
      </c>
      <c r="H103" s="2889">
        <f>1.3372/H101</f>
        <v>0.35189473684210526</v>
      </c>
      <c r="I103" s="2889">
        <f>1.3372/I101</f>
        <v>0.35189473684210526</v>
      </c>
      <c r="J103" s="2889">
        <f>1.2799/J101</f>
        <v>0.33681578947368424</v>
      </c>
      <c r="K103" s="2889">
        <f>1.2799/K101</f>
        <v>0.33681578947368424</v>
      </c>
      <c r="L103" s="2889">
        <f>1.2799/L101</f>
        <v>0.33681578947368424</v>
      </c>
      <c r="M103" s="2889">
        <f>1.2799/M101</f>
        <v>0.33681578947368424</v>
      </c>
      <c r="N103" s="2889">
        <f>1.2799/N101</f>
        <v>0.33681578947368424</v>
      </c>
    </row>
    <row r="104" spans="1:14">
      <c r="A104" s="3332"/>
      <c r="B104" s="2888">
        <v>3</v>
      </c>
      <c r="C104" s="2889">
        <f>1.1594/C101</f>
        <v>0.30510526315789477</v>
      </c>
      <c r="D104" s="2889">
        <f>1.1594/D101</f>
        <v>0.30510526315789477</v>
      </c>
      <c r="E104" s="2889">
        <f>1.0788/E101</f>
        <v>0.28389473684210526</v>
      </c>
      <c r="F104" s="2889">
        <f>1.0788/F101</f>
        <v>0.28389473684210526</v>
      </c>
      <c r="G104" s="2889">
        <f>1.0788/G101</f>
        <v>0.28389473684210526</v>
      </c>
      <c r="H104" s="2889">
        <f>1.0788/H101</f>
        <v>0.28389473684210526</v>
      </c>
      <c r="I104" s="2889">
        <f>1.0788/I101</f>
        <v>0.28389473684210526</v>
      </c>
      <c r="J104" s="2889">
        <f>1.0072/J101</f>
        <v>0.26505263157894743</v>
      </c>
      <c r="K104" s="2889">
        <f>1.0072/K101</f>
        <v>0.26505263157894743</v>
      </c>
      <c r="L104" s="2889">
        <f>1.0072/L101</f>
        <v>0.26505263157894743</v>
      </c>
      <c r="M104" s="2889">
        <f>1.0072/M101</f>
        <v>0.26505263157894743</v>
      </c>
      <c r="N104" s="2889">
        <f>1.0072/N101</f>
        <v>0.26505263157894743</v>
      </c>
    </row>
    <row r="105" spans="1:14">
      <c r="A105" s="3332"/>
      <c r="B105" s="2888">
        <v>4</v>
      </c>
      <c r="C105" s="2889">
        <f>0.9622/C101</f>
        <v>0.2532105263157895</v>
      </c>
      <c r="D105" s="2889">
        <f>0.9622/D101</f>
        <v>0.2532105263157895</v>
      </c>
      <c r="E105" s="2889">
        <f>0.8656/E101</f>
        <v>0.22778947368421054</v>
      </c>
      <c r="F105" s="2889">
        <f>0.8656/F101</f>
        <v>0.22778947368421054</v>
      </c>
      <c r="G105" s="2889">
        <f>0.8656/G101</f>
        <v>0.22778947368421054</v>
      </c>
      <c r="H105" s="2889">
        <f>0.8656/H101</f>
        <v>0.22778947368421054</v>
      </c>
      <c r="I105" s="2889">
        <f>0.8656/I101</f>
        <v>0.22778947368421054</v>
      </c>
      <c r="J105" s="2889">
        <f>0.7525/J101</f>
        <v>0.19802631578947369</v>
      </c>
      <c r="K105" s="2889">
        <f>0.7525/K101</f>
        <v>0.19802631578947369</v>
      </c>
      <c r="L105" s="2889">
        <f>0.7525/L101</f>
        <v>0.19802631578947369</v>
      </c>
      <c r="M105" s="2889">
        <f>0.7525/M101</f>
        <v>0.19802631578947369</v>
      </c>
      <c r="N105" s="2889">
        <f>0.7525/N101</f>
        <v>0.19802631578947369</v>
      </c>
    </row>
    <row r="106" spans="1:14">
      <c r="A106" s="3332"/>
      <c r="B106" s="2888">
        <v>5</v>
      </c>
      <c r="C106" s="2889">
        <f>0.8417/C101</f>
        <v>0.2215</v>
      </c>
      <c r="D106" s="2889">
        <f>0.8417/D101</f>
        <v>0.2215</v>
      </c>
      <c r="E106" s="2889">
        <f>0.7371/E101</f>
        <v>0.19397368421052633</v>
      </c>
      <c r="F106" s="2889">
        <f>0.7371/F101</f>
        <v>0.19397368421052633</v>
      </c>
      <c r="G106" s="2889">
        <f>0.7371/G101</f>
        <v>0.19397368421052633</v>
      </c>
      <c r="H106" s="2889">
        <f>0.7371/H101</f>
        <v>0.19397368421052633</v>
      </c>
      <c r="I106" s="2889">
        <f>0.7371/I101</f>
        <v>0.19397368421052633</v>
      </c>
      <c r="J106" s="2889">
        <f>0.5659/J101</f>
        <v>0.14892105263157895</v>
      </c>
      <c r="K106" s="2889">
        <f>0.5659/K101</f>
        <v>0.14892105263157895</v>
      </c>
      <c r="L106" s="2889">
        <f>0.5659/L101</f>
        <v>0.14892105263157895</v>
      </c>
      <c r="M106" s="2889">
        <f>0.5659/M101</f>
        <v>0.14892105263157895</v>
      </c>
      <c r="N106" s="2889">
        <f>0.5659/N101</f>
        <v>0.14892105263157895</v>
      </c>
    </row>
    <row r="107" spans="1:14">
      <c r="A107" s="3332"/>
      <c r="B107" s="2888">
        <v>6</v>
      </c>
      <c r="C107" s="2889">
        <f>0.7608/C101</f>
        <v>0.20021052631578948</v>
      </c>
      <c r="D107" s="2889">
        <f>0.7608/D101</f>
        <v>0.20021052631578948</v>
      </c>
      <c r="E107" s="2889">
        <f>0.6482/E101</f>
        <v>0.17057894736842105</v>
      </c>
      <c r="F107" s="2889">
        <f>0.6482/F101</f>
        <v>0.17057894736842105</v>
      </c>
      <c r="G107" s="2889">
        <f>0.6482/G101</f>
        <v>0.17057894736842105</v>
      </c>
      <c r="H107" s="2889">
        <f>0.6482/H101</f>
        <v>0.17057894736842105</v>
      </c>
      <c r="I107" s="2889">
        <f>0.6482/I101</f>
        <v>0.17057894736842105</v>
      </c>
      <c r="J107" s="2889">
        <f>0.4525/J101</f>
        <v>0.11907894736842106</v>
      </c>
      <c r="K107" s="2889">
        <f>0.4525/K101</f>
        <v>0.11907894736842106</v>
      </c>
      <c r="L107" s="2889">
        <f>0.4525/L101</f>
        <v>0.11907894736842106</v>
      </c>
      <c r="M107" s="2889">
        <f>0.4525/M101</f>
        <v>0.11907894736842106</v>
      </c>
      <c r="N107" s="2889">
        <f>0.4525/N101</f>
        <v>0.11907894736842106</v>
      </c>
    </row>
    <row r="108" spans="1:14">
      <c r="A108" s="3332"/>
      <c r="B108" s="3158" t="s">
        <v>2979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333"/>
      <c r="B109" s="3159"/>
      <c r="C109" s="2891">
        <f>(-0.163*(C108^2)-0.59*C108+7617)*(10^(-4))/C101</f>
        <v>0.20044736842105265</v>
      </c>
      <c r="D109" s="2891">
        <f>(-0.163*(D108^2)-0.59*D108+7617)*(10^(-4))/D101</f>
        <v>0.20044736842105265</v>
      </c>
      <c r="E109" s="2891">
        <f>(-0.161*(E108^2)-7.509*E108+6533)*(10^(-4))/E101</f>
        <v>0.17192105263157895</v>
      </c>
      <c r="F109" s="2891">
        <f>(-0.161*(F108^2)-7.509*F108+6533)*(10^(-4))/F101</f>
        <v>0.17192105263157895</v>
      </c>
      <c r="G109" s="2891">
        <f>(-0.161*(G108^2)-7.509*G108+6533)*(10^(-4))/G101</f>
        <v>0.17192105263157895</v>
      </c>
      <c r="H109" s="2891">
        <f>(-0.161*(H108^2)-7.509*H108+6533)*(10^(-4))/H101</f>
        <v>0.17192105263157895</v>
      </c>
      <c r="I109" s="2891">
        <f>(-0.161*(I108^2)-7.509*I108+6533)*(10^(-4))/I101</f>
        <v>0.17192105263157895</v>
      </c>
      <c r="J109" s="2891">
        <f>(-0.214*(J108^2)-21.991*J108+4665)*(10^(-4))/J101</f>
        <v>0.12276315789473685</v>
      </c>
      <c r="K109" s="2891">
        <f>(-0.214*(K108^2)-21.991*K108+4665)*(10^(-4))/K101</f>
        <v>0.12276315789473685</v>
      </c>
      <c r="L109" s="2891">
        <f>(-0.214*(L108^2)-21.991*L108+4665)*(10^(-4))/L101</f>
        <v>0.12276315789473685</v>
      </c>
      <c r="M109" s="2891">
        <f>(-0.214*(M108^2)-21.991*M108+4665)*(10^(-4))/M101</f>
        <v>0.12276315789473685</v>
      </c>
      <c r="N109" s="2891">
        <f>(-0.214*(N108^2)-21.991*N108+4665)*(10^(-4))/N101</f>
        <v>0.12276315789473685</v>
      </c>
    </row>
    <row r="110" spans="1:14">
      <c r="A110" s="3329" t="s">
        <v>2980</v>
      </c>
      <c r="B110" s="3329"/>
      <c r="C110" s="3329"/>
      <c r="D110" s="3329"/>
      <c r="E110" s="3329"/>
      <c r="F110" s="3329"/>
      <c r="G110" s="3329"/>
      <c r="H110" s="3329"/>
      <c r="I110" s="3329"/>
      <c r="J110" s="3329"/>
      <c r="K110" s="2894"/>
      <c r="L110" s="2894"/>
      <c r="M110" s="2894"/>
      <c r="N110" s="2894"/>
    </row>
    <row r="112" spans="1:14" ht="13.5" thickBot="1"/>
    <row r="113" spans="1:13" ht="25.5" thickBot="1">
      <c r="A113" s="896" t="s">
        <v>2981</v>
      </c>
      <c r="B113" s="1283">
        <f>G3</f>
        <v>3.8</v>
      </c>
      <c r="C113" s="897" t="s">
        <v>2982</v>
      </c>
      <c r="D113" s="898">
        <f>SUMPRODUCT((A115:A118=F113)*(B114:M114=H113)*B115:M118)</f>
        <v>0.71619999999999995</v>
      </c>
      <c r="E113" s="2717" t="s">
        <v>2813</v>
      </c>
      <c r="F113" s="2896" t="str">
        <f>E2</f>
        <v>办公</v>
      </c>
      <c r="G113" s="2717" t="s">
        <v>2814</v>
      </c>
      <c r="H113" s="2896" t="str">
        <f>G2</f>
        <v>八级</v>
      </c>
      <c r="I113" s="2717"/>
      <c r="J113" s="2897"/>
      <c r="K113" s="2897"/>
      <c r="L113" s="2897"/>
      <c r="M113" s="2897"/>
    </row>
    <row r="114" spans="1:13">
      <c r="A114" s="901"/>
      <c r="B114" s="2898" t="s">
        <v>2983</v>
      </c>
      <c r="C114" s="2898" t="s">
        <v>2984</v>
      </c>
      <c r="D114" s="2898" t="s">
        <v>2985</v>
      </c>
      <c r="E114" s="2899" t="s">
        <v>2986</v>
      </c>
      <c r="F114" s="2899" t="s">
        <v>2987</v>
      </c>
      <c r="G114" s="2899" t="s">
        <v>2988</v>
      </c>
      <c r="H114" s="2900" t="s">
        <v>2989</v>
      </c>
      <c r="I114" s="2900" t="s">
        <v>2990</v>
      </c>
      <c r="J114" s="2901" t="s">
        <v>2991</v>
      </c>
      <c r="K114" s="2901" t="s">
        <v>2992</v>
      </c>
      <c r="L114" s="2901" t="s">
        <v>2993</v>
      </c>
      <c r="M114" s="2902" t="s">
        <v>2994</v>
      </c>
    </row>
    <row r="115" spans="1:13">
      <c r="A115" s="902" t="s">
        <v>2878</v>
      </c>
      <c r="B115" s="903">
        <f>ROUND(0.9335-0.0094*B113,4)</f>
        <v>0.89780000000000004</v>
      </c>
      <c r="C115" s="903">
        <f>B115</f>
        <v>0.89780000000000004</v>
      </c>
      <c r="D115" s="903">
        <f>ROUND(0.8331-0.0109*B113,4)</f>
        <v>0.79169999999999996</v>
      </c>
      <c r="E115" s="903">
        <f>D115</f>
        <v>0.79169999999999996</v>
      </c>
      <c r="F115" s="903">
        <f>E115</f>
        <v>0.79169999999999996</v>
      </c>
      <c r="G115" s="903">
        <f>F115</f>
        <v>0.79169999999999996</v>
      </c>
      <c r="H115" s="903">
        <f>G115</f>
        <v>0.79169999999999996</v>
      </c>
      <c r="I115" s="903">
        <f>ROUND(0.689-0.0155*B113,4)</f>
        <v>0.63009999999999999</v>
      </c>
      <c r="J115" s="903">
        <f t="shared" ref="J115:M118" si="33">I115</f>
        <v>0.63009999999999999</v>
      </c>
      <c r="K115" s="903">
        <f t="shared" si="33"/>
        <v>0.63009999999999999</v>
      </c>
      <c r="L115" s="903">
        <f t="shared" si="33"/>
        <v>0.63009999999999999</v>
      </c>
      <c r="M115" s="904">
        <f t="shared" si="33"/>
        <v>0.63009999999999999</v>
      </c>
    </row>
    <row r="116" spans="1:13">
      <c r="A116" s="902" t="s">
        <v>2879</v>
      </c>
      <c r="B116" s="903">
        <f>ROUND(0.949-0.012*B113,4)</f>
        <v>0.90339999999999998</v>
      </c>
      <c r="C116" s="903">
        <f>B116</f>
        <v>0.90339999999999998</v>
      </c>
      <c r="D116" s="903">
        <f>ROUND(0.8567-0.013*B113,4)</f>
        <v>0.80730000000000002</v>
      </c>
      <c r="E116" s="903">
        <f t="shared" ref="E116:H117" si="34">D116</f>
        <v>0.80730000000000002</v>
      </c>
      <c r="F116" s="903">
        <f t="shared" si="34"/>
        <v>0.80730000000000002</v>
      </c>
      <c r="G116" s="903">
        <f t="shared" si="34"/>
        <v>0.80730000000000002</v>
      </c>
      <c r="H116" s="903">
        <f t="shared" si="34"/>
        <v>0.80730000000000002</v>
      </c>
      <c r="I116" s="903">
        <f>ROUND(0.7694-0.014*B113,4)</f>
        <v>0.71619999999999995</v>
      </c>
      <c r="J116" s="903">
        <f t="shared" si="33"/>
        <v>0.71619999999999995</v>
      </c>
      <c r="K116" s="903">
        <f t="shared" si="33"/>
        <v>0.71619999999999995</v>
      </c>
      <c r="L116" s="903">
        <f t="shared" si="33"/>
        <v>0.71619999999999995</v>
      </c>
      <c r="M116" s="904">
        <f t="shared" si="33"/>
        <v>0.71619999999999995</v>
      </c>
    </row>
    <row r="117" spans="1:13">
      <c r="A117" s="902" t="s">
        <v>2880</v>
      </c>
      <c r="B117" s="903">
        <f>ROUND(0.8808-0.006*B113,4)</f>
        <v>0.85799999999999998</v>
      </c>
      <c r="C117" s="903">
        <f>B117</f>
        <v>0.85799999999999998</v>
      </c>
      <c r="D117" s="903">
        <f>ROUND(0.8748-0.008*B113,4)</f>
        <v>0.84440000000000004</v>
      </c>
      <c r="E117" s="903">
        <f t="shared" si="34"/>
        <v>0.84440000000000004</v>
      </c>
      <c r="F117" s="903">
        <f t="shared" si="34"/>
        <v>0.84440000000000004</v>
      </c>
      <c r="G117" s="903">
        <f t="shared" si="34"/>
        <v>0.84440000000000004</v>
      </c>
      <c r="H117" s="903">
        <f t="shared" si="34"/>
        <v>0.84440000000000004</v>
      </c>
      <c r="I117" s="903">
        <f>ROUND(0.7412-0.0095*B113,4)</f>
        <v>0.70509999999999995</v>
      </c>
      <c r="J117" s="903">
        <f t="shared" si="33"/>
        <v>0.70509999999999995</v>
      </c>
      <c r="K117" s="903">
        <f t="shared" si="33"/>
        <v>0.70509999999999995</v>
      </c>
      <c r="L117" s="903">
        <f t="shared" si="33"/>
        <v>0.70509999999999995</v>
      </c>
      <c r="M117" s="904">
        <f t="shared" si="33"/>
        <v>0.70509999999999995</v>
      </c>
    </row>
    <row r="118" spans="1:13" ht="13.5" thickBot="1">
      <c r="A118" s="713" t="s">
        <v>2881</v>
      </c>
      <c r="B118" s="905">
        <f>ROUND(0.7275-0.01*B113,4)</f>
        <v>0.6895</v>
      </c>
      <c r="C118" s="905">
        <f>B118</f>
        <v>0.6895</v>
      </c>
      <c r="D118" s="905">
        <f>ROUND(0.7043-0.012*B113,4)</f>
        <v>0.65869999999999995</v>
      </c>
      <c r="E118" s="905">
        <f>D118</f>
        <v>0.65869999999999995</v>
      </c>
      <c r="F118" s="905">
        <f>E118</f>
        <v>0.65869999999999995</v>
      </c>
      <c r="G118" s="905">
        <f>ROUND(0.6299-0.0122*B113,4)</f>
        <v>0.58350000000000002</v>
      </c>
      <c r="H118" s="905">
        <f>G118</f>
        <v>0.58350000000000002</v>
      </c>
      <c r="I118" s="905">
        <f>ROUND(0.5667-0.0136*B113,4)</f>
        <v>0.51500000000000001</v>
      </c>
      <c r="J118" s="905">
        <f t="shared" si="33"/>
        <v>0.51500000000000001</v>
      </c>
      <c r="K118" s="905">
        <f t="shared" si="33"/>
        <v>0.51500000000000001</v>
      </c>
      <c r="L118" s="905">
        <f t="shared" si="33"/>
        <v>0.51500000000000001</v>
      </c>
      <c r="M118" s="906">
        <f t="shared" si="33"/>
        <v>0.51500000000000001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46" t="s">
        <v>183</v>
      </c>
      <c r="B18" s="875" t="s">
        <v>560</v>
      </c>
      <c r="C18" s="876" t="s">
        <v>561</v>
      </c>
      <c r="D18" s="877"/>
      <c r="E18" s="875">
        <v>1</v>
      </c>
      <c r="F18" s="878" t="s">
        <v>562</v>
      </c>
      <c r="G18" s="879"/>
      <c r="H18" s="871"/>
      <c r="I18" s="871"/>
    </row>
    <row r="19" spans="1:9" s="880" customFormat="1" ht="19.5" customHeight="1">
      <c r="A19" s="3346"/>
      <c r="B19" s="3346" t="s">
        <v>563</v>
      </c>
      <c r="C19" s="876" t="s">
        <v>564</v>
      </c>
      <c r="D19" s="877"/>
      <c r="E19" s="875">
        <v>0.9</v>
      </c>
      <c r="F19" s="878" t="s">
        <v>565</v>
      </c>
      <c r="G19" s="879"/>
      <c r="H19" s="871"/>
      <c r="I19" s="871"/>
    </row>
    <row r="20" spans="1:9" s="880" customFormat="1" ht="19.5" customHeight="1">
      <c r="A20" s="3346"/>
      <c r="B20" s="3346"/>
      <c r="C20" s="876" t="s">
        <v>566</v>
      </c>
      <c r="D20" s="877"/>
      <c r="E20" s="875">
        <v>1.1000000000000001</v>
      </c>
      <c r="F20" s="878" t="s">
        <v>567</v>
      </c>
      <c r="G20" s="879"/>
      <c r="H20" s="871"/>
      <c r="I20" s="871"/>
    </row>
    <row r="21" spans="1:9" s="880" customFormat="1" ht="19.5" customHeight="1">
      <c r="A21" s="3346"/>
      <c r="B21" s="3346"/>
      <c r="C21" s="876" t="s">
        <v>568</v>
      </c>
      <c r="D21" s="877"/>
      <c r="E21" s="875">
        <v>0.8</v>
      </c>
      <c r="F21" s="878" t="s">
        <v>569</v>
      </c>
      <c r="G21" s="879"/>
      <c r="H21" s="871"/>
      <c r="I21" s="871"/>
    </row>
    <row r="22" spans="1:9" s="880" customFormat="1" ht="19.5" customHeight="1">
      <c r="A22" s="3346"/>
      <c r="B22" s="3346"/>
      <c r="C22" s="876" t="s">
        <v>570</v>
      </c>
      <c r="D22" s="877"/>
      <c r="E22" s="875">
        <v>0.5</v>
      </c>
      <c r="F22" s="878"/>
      <c r="G22" s="879"/>
      <c r="H22" s="871"/>
      <c r="I22" s="871"/>
    </row>
    <row r="23" spans="1:9" s="880" customFormat="1" ht="19.5" customHeight="1">
      <c r="A23" s="3346" t="s">
        <v>184</v>
      </c>
      <c r="B23" s="875" t="s">
        <v>560</v>
      </c>
      <c r="C23" s="876" t="s">
        <v>571</v>
      </c>
      <c r="D23" s="877"/>
      <c r="E23" s="875">
        <v>1</v>
      </c>
      <c r="F23" s="878" t="s">
        <v>572</v>
      </c>
      <c r="G23" s="879"/>
      <c r="H23" s="871"/>
      <c r="I23" s="871"/>
    </row>
    <row r="24" spans="1:9" s="880" customFormat="1" ht="19.5" customHeight="1">
      <c r="A24" s="3346"/>
      <c r="B24" s="3346" t="s">
        <v>563</v>
      </c>
      <c r="C24" s="876" t="s">
        <v>573</v>
      </c>
      <c r="D24" s="877"/>
      <c r="E24" s="875">
        <v>0.5</v>
      </c>
      <c r="F24" s="878"/>
      <c r="G24" s="879"/>
      <c r="H24" s="871"/>
      <c r="I24" s="871"/>
    </row>
    <row r="25" spans="1:9" s="880" customFormat="1" ht="19.5" customHeight="1">
      <c r="A25" s="3346"/>
      <c r="B25" s="3346"/>
      <c r="C25" s="876" t="s">
        <v>574</v>
      </c>
      <c r="D25" s="877"/>
      <c r="E25" s="875">
        <v>1.1000000000000001</v>
      </c>
      <c r="F25" s="878"/>
      <c r="G25" s="879"/>
      <c r="H25" s="871"/>
      <c r="I25" s="871"/>
    </row>
    <row r="26" spans="1:9" s="880" customFormat="1" ht="19.5" customHeight="1">
      <c r="A26" s="3346"/>
      <c r="B26" s="3346"/>
      <c r="C26" s="876" t="s">
        <v>575</v>
      </c>
      <c r="D26" s="877"/>
      <c r="E26" s="875">
        <v>1.1000000000000001</v>
      </c>
      <c r="F26" s="878"/>
      <c r="G26" s="879"/>
      <c r="H26" s="871"/>
      <c r="I26" s="871"/>
    </row>
    <row r="27" spans="1:9" s="880" customFormat="1" ht="19.5" customHeight="1">
      <c r="A27" s="3346"/>
      <c r="B27" s="3346"/>
      <c r="C27" s="876" t="s">
        <v>576</v>
      </c>
      <c r="D27" s="877"/>
      <c r="E27" s="875">
        <v>0.9</v>
      </c>
      <c r="F27" s="878" t="s">
        <v>577</v>
      </c>
      <c r="G27" s="879"/>
      <c r="H27" s="871"/>
      <c r="I27" s="871"/>
    </row>
    <row r="28" spans="1:9" s="880" customFormat="1" ht="19.5" customHeight="1">
      <c r="A28" s="3346"/>
      <c r="B28" s="3346"/>
      <c r="C28" s="876" t="s">
        <v>578</v>
      </c>
      <c r="D28" s="877"/>
      <c r="E28" s="875">
        <v>0.9</v>
      </c>
      <c r="F28" s="878" t="s">
        <v>579</v>
      </c>
      <c r="G28" s="879"/>
      <c r="H28" s="871"/>
      <c r="I28" s="871"/>
    </row>
    <row r="29" spans="1:9" s="880" customFormat="1" ht="19.5" customHeight="1">
      <c r="A29" s="3346"/>
      <c r="B29" s="3346"/>
      <c r="C29" s="876" t="s">
        <v>580</v>
      </c>
      <c r="D29" s="877"/>
      <c r="E29" s="875">
        <v>0.9</v>
      </c>
      <c r="F29" s="878" t="s">
        <v>581</v>
      </c>
      <c r="G29" s="879"/>
      <c r="H29" s="871"/>
      <c r="I29" s="871"/>
    </row>
    <row r="30" spans="1:9" s="880" customFormat="1" ht="19.5" customHeight="1">
      <c r="A30" s="3346"/>
      <c r="B30" s="3346"/>
      <c r="C30" s="876" t="s">
        <v>582</v>
      </c>
      <c r="D30" s="877"/>
      <c r="E30" s="875">
        <v>0.9</v>
      </c>
      <c r="F30" s="878" t="s">
        <v>583</v>
      </c>
      <c r="G30" s="879"/>
      <c r="H30" s="871"/>
      <c r="I30" s="871"/>
    </row>
    <row r="31" spans="1:9" s="880" customFormat="1" ht="19.5" customHeight="1">
      <c r="A31" s="3346"/>
      <c r="B31" s="3346"/>
      <c r="C31" s="876" t="s">
        <v>584</v>
      </c>
      <c r="D31" s="877"/>
      <c r="E31" s="875">
        <v>0.8</v>
      </c>
      <c r="F31" s="878" t="s">
        <v>585</v>
      </c>
      <c r="G31" s="879"/>
      <c r="H31" s="871"/>
      <c r="I31" s="871"/>
    </row>
    <row r="32" spans="1:9" s="880" customFormat="1" ht="19.5" customHeight="1">
      <c r="A32" s="3346"/>
      <c r="B32" s="3346"/>
      <c r="C32" s="876" t="s">
        <v>586</v>
      </c>
      <c r="D32" s="877"/>
      <c r="E32" s="875">
        <v>0.8</v>
      </c>
      <c r="F32" s="878" t="s">
        <v>587</v>
      </c>
      <c r="G32" s="879"/>
      <c r="H32" s="871"/>
      <c r="I32" s="871"/>
    </row>
    <row r="33" spans="1:9" s="880" customFormat="1" ht="19.5" customHeight="1">
      <c r="A33" s="3346" t="s">
        <v>185</v>
      </c>
      <c r="B33" s="875" t="s">
        <v>560</v>
      </c>
      <c r="C33" s="876" t="s">
        <v>588</v>
      </c>
      <c r="D33" s="877"/>
      <c r="E33" s="875">
        <v>1</v>
      </c>
      <c r="F33" s="878" t="s">
        <v>589</v>
      </c>
      <c r="G33" s="879"/>
      <c r="H33" s="871"/>
      <c r="I33" s="871"/>
    </row>
    <row r="34" spans="1:9" s="880" customFormat="1" ht="19.5" customHeight="1">
      <c r="A34" s="3346"/>
      <c r="B34" s="875" t="s">
        <v>563</v>
      </c>
      <c r="C34" s="876" t="s">
        <v>590</v>
      </c>
      <c r="D34" s="877"/>
      <c r="E34" s="875">
        <v>1.5</v>
      </c>
      <c r="F34" s="878" t="s">
        <v>591</v>
      </c>
      <c r="G34" s="879"/>
      <c r="H34" s="871"/>
      <c r="I34" s="871"/>
    </row>
    <row r="35" spans="1:9" s="880" customFormat="1" ht="19.5" customHeight="1">
      <c r="A35" s="3346" t="s">
        <v>186</v>
      </c>
      <c r="B35" s="875" t="s">
        <v>560</v>
      </c>
      <c r="C35" s="876" t="s">
        <v>592</v>
      </c>
      <c r="D35" s="877"/>
      <c r="E35" s="875">
        <v>1</v>
      </c>
      <c r="F35" s="878" t="s">
        <v>593</v>
      </c>
      <c r="G35" s="879"/>
      <c r="H35" s="871"/>
      <c r="I35" s="871"/>
    </row>
    <row r="36" spans="1:9" s="880" customFormat="1" ht="19.5" customHeight="1">
      <c r="A36" s="3346"/>
      <c r="B36" s="3346" t="s">
        <v>563</v>
      </c>
      <c r="C36" s="876" t="s">
        <v>594</v>
      </c>
      <c r="D36" s="877"/>
      <c r="E36" s="875">
        <v>1</v>
      </c>
      <c r="F36" s="878" t="s">
        <v>595</v>
      </c>
      <c r="G36" s="879"/>
      <c r="H36" s="871"/>
      <c r="I36" s="871"/>
    </row>
    <row r="37" spans="1:9" s="880" customFormat="1" ht="19.5" customHeight="1">
      <c r="A37" s="3346"/>
      <c r="B37" s="3346"/>
      <c r="C37" s="876" t="s">
        <v>596</v>
      </c>
      <c r="D37" s="877"/>
      <c r="E37" s="875">
        <v>1.5</v>
      </c>
      <c r="F37" s="878" t="s">
        <v>597</v>
      </c>
      <c r="G37" s="879"/>
      <c r="H37" s="871"/>
      <c r="I37" s="871"/>
    </row>
    <row r="38" spans="1:9" s="880" customFormat="1" ht="19.5" customHeight="1">
      <c r="A38" s="3346"/>
      <c r="B38" s="3346"/>
      <c r="C38" s="876" t="s">
        <v>598</v>
      </c>
      <c r="D38" s="877"/>
      <c r="E38" s="875">
        <v>1</v>
      </c>
      <c r="F38" s="878" t="s">
        <v>599</v>
      </c>
      <c r="G38" s="879"/>
      <c r="H38" s="871"/>
      <c r="I38" s="871"/>
    </row>
    <row r="39" spans="1:9" s="880" customFormat="1" ht="19.5" customHeight="1">
      <c r="A39" s="3346"/>
      <c r="B39" s="3346"/>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46" t="s">
        <v>614</v>
      </c>
      <c r="C61" s="811" t="s">
        <v>615</v>
      </c>
      <c r="D61" s="811" t="s">
        <v>616</v>
      </c>
      <c r="E61" s="888">
        <v>0.5</v>
      </c>
      <c r="F61" s="875">
        <v>80</v>
      </c>
    </row>
    <row r="62" spans="1:8" s="871" customFormat="1" ht="24">
      <c r="A62" s="875">
        <v>2</v>
      </c>
      <c r="B62" s="3346"/>
      <c r="C62" s="811" t="s">
        <v>617</v>
      </c>
      <c r="D62" s="811" t="s">
        <v>618</v>
      </c>
      <c r="E62" s="888">
        <v>0.5</v>
      </c>
      <c r="F62" s="875">
        <v>80</v>
      </c>
    </row>
    <row r="63" spans="1:8" s="871" customFormat="1" ht="36">
      <c r="A63" s="875">
        <v>3</v>
      </c>
      <c r="B63" s="3346"/>
      <c r="C63" s="811" t="s">
        <v>619</v>
      </c>
      <c r="D63" s="811" t="s">
        <v>620</v>
      </c>
      <c r="E63" s="888">
        <v>0.5</v>
      </c>
      <c r="F63" s="875">
        <v>80</v>
      </c>
    </row>
    <row r="64" spans="1:8" s="871" customFormat="1" ht="36">
      <c r="A64" s="875">
        <v>4</v>
      </c>
      <c r="B64" s="3346"/>
      <c r="C64" s="811" t="s">
        <v>621</v>
      </c>
      <c r="D64" s="811" t="s">
        <v>622</v>
      </c>
      <c r="E64" s="888">
        <v>0.4</v>
      </c>
      <c r="F64" s="875">
        <v>60</v>
      </c>
    </row>
    <row r="65" spans="1:6" s="871" customFormat="1" ht="36">
      <c r="A65" s="875">
        <v>5</v>
      </c>
      <c r="B65" s="3346"/>
      <c r="C65" s="811" t="s">
        <v>623</v>
      </c>
      <c r="D65" s="811" t="s">
        <v>624</v>
      </c>
      <c r="E65" s="888">
        <v>0.2</v>
      </c>
      <c r="F65" s="875">
        <v>30</v>
      </c>
    </row>
    <row r="66" spans="1:6" s="871" customFormat="1" ht="36">
      <c r="A66" s="875">
        <v>6</v>
      </c>
      <c r="B66" s="3346"/>
      <c r="C66" s="811" t="s">
        <v>625</v>
      </c>
      <c r="D66" s="811" t="s">
        <v>626</v>
      </c>
      <c r="E66" s="888">
        <v>0.3</v>
      </c>
      <c r="F66" s="875">
        <v>50</v>
      </c>
    </row>
    <row r="67" spans="1:6" s="871" customFormat="1" ht="36">
      <c r="A67" s="875">
        <v>7</v>
      </c>
      <c r="B67" s="3346"/>
      <c r="C67" s="811" t="s">
        <v>627</v>
      </c>
      <c r="D67" s="811" t="s">
        <v>628</v>
      </c>
      <c r="E67" s="888">
        <v>0.2</v>
      </c>
      <c r="F67" s="875">
        <v>30</v>
      </c>
    </row>
    <row r="68" spans="1:6" s="871" customFormat="1" ht="36">
      <c r="A68" s="875">
        <v>8</v>
      </c>
      <c r="B68" s="3346"/>
      <c r="C68" s="811" t="s">
        <v>629</v>
      </c>
      <c r="D68" s="811" t="s">
        <v>630</v>
      </c>
      <c r="E68" s="888">
        <v>0.2</v>
      </c>
      <c r="F68" s="875">
        <v>30</v>
      </c>
    </row>
    <row r="69" spans="1:6" s="871" customFormat="1" ht="36">
      <c r="A69" s="875">
        <v>9</v>
      </c>
      <c r="B69" s="3346"/>
      <c r="C69" s="811" t="s">
        <v>631</v>
      </c>
      <c r="D69" s="811" t="s">
        <v>632</v>
      </c>
      <c r="E69" s="888">
        <v>0.2</v>
      </c>
      <c r="F69" s="875">
        <v>30</v>
      </c>
    </row>
    <row r="70" spans="1:6" s="871" customFormat="1" ht="48">
      <c r="A70" s="875">
        <v>10</v>
      </c>
      <c r="B70" s="3346"/>
      <c r="C70" s="811" t="s">
        <v>633</v>
      </c>
      <c r="D70" s="811" t="s">
        <v>634</v>
      </c>
      <c r="E70" s="888">
        <v>0.2</v>
      </c>
      <c r="F70" s="875">
        <v>30</v>
      </c>
    </row>
    <row r="71" spans="1:6" s="871" customFormat="1" ht="48">
      <c r="A71" s="875">
        <v>11</v>
      </c>
      <c r="B71" s="3346"/>
      <c r="C71" s="811" t="s">
        <v>635</v>
      </c>
      <c r="D71" s="811" t="s">
        <v>636</v>
      </c>
      <c r="E71" s="888">
        <v>0.2</v>
      </c>
      <c r="F71" s="875">
        <v>30</v>
      </c>
    </row>
    <row r="72" spans="1:6" s="871" customFormat="1" ht="36">
      <c r="A72" s="875">
        <v>12</v>
      </c>
      <c r="B72" s="3346"/>
      <c r="C72" s="811" t="s">
        <v>637</v>
      </c>
      <c r="D72" s="811" t="s">
        <v>638</v>
      </c>
      <c r="E72" s="888">
        <v>0.5</v>
      </c>
      <c r="F72" s="875">
        <v>80</v>
      </c>
    </row>
    <row r="73" spans="1:6" s="871" customFormat="1" ht="24">
      <c r="A73" s="875">
        <v>13</v>
      </c>
      <c r="B73" s="3346"/>
      <c r="C73" s="811" t="s">
        <v>639</v>
      </c>
      <c r="D73" s="811" t="s">
        <v>640</v>
      </c>
      <c r="E73" s="888">
        <v>0.4</v>
      </c>
      <c r="F73" s="875">
        <v>60</v>
      </c>
    </row>
    <row r="74" spans="1:6" s="871" customFormat="1" ht="24">
      <c r="A74" s="875">
        <v>14</v>
      </c>
      <c r="B74" s="3346"/>
      <c r="C74" s="811" t="s">
        <v>641</v>
      </c>
      <c r="D74" s="811" t="s">
        <v>642</v>
      </c>
      <c r="E74" s="888">
        <v>0.2</v>
      </c>
      <c r="F74" s="875">
        <v>30</v>
      </c>
    </row>
    <row r="75" spans="1:6" s="871" customFormat="1" ht="24">
      <c r="A75" s="875">
        <v>15</v>
      </c>
      <c r="B75" s="3346"/>
      <c r="C75" s="811" t="s">
        <v>643</v>
      </c>
      <c r="D75" s="811" t="s">
        <v>644</v>
      </c>
      <c r="E75" s="888">
        <v>0.2</v>
      </c>
      <c r="F75" s="875">
        <v>30</v>
      </c>
    </row>
    <row r="76" spans="1:6" s="871" customFormat="1" ht="24">
      <c r="A76" s="875">
        <v>16</v>
      </c>
      <c r="B76" s="3346" t="s">
        <v>645</v>
      </c>
      <c r="C76" s="811" t="s">
        <v>646</v>
      </c>
      <c r="D76" s="811" t="s">
        <v>647</v>
      </c>
      <c r="E76" s="888">
        <v>0.5</v>
      </c>
      <c r="F76" s="875">
        <v>80</v>
      </c>
    </row>
    <row r="77" spans="1:6" s="871" customFormat="1" ht="24">
      <c r="A77" s="875">
        <v>17</v>
      </c>
      <c r="B77" s="3346"/>
      <c r="C77" s="811" t="s">
        <v>648</v>
      </c>
      <c r="D77" s="811" t="s">
        <v>649</v>
      </c>
      <c r="E77" s="888">
        <v>0.5</v>
      </c>
      <c r="F77" s="875">
        <v>80</v>
      </c>
    </row>
    <row r="78" spans="1:6" s="871" customFormat="1" ht="24">
      <c r="A78" s="875">
        <v>18</v>
      </c>
      <c r="B78" s="3346"/>
      <c r="C78" s="811" t="s">
        <v>650</v>
      </c>
      <c r="D78" s="811" t="s">
        <v>651</v>
      </c>
      <c r="E78" s="888">
        <v>0.2</v>
      </c>
      <c r="F78" s="875">
        <v>30</v>
      </c>
    </row>
    <row r="79" spans="1:6" s="871" customFormat="1" ht="24">
      <c r="A79" s="875">
        <v>19</v>
      </c>
      <c r="B79" s="3346"/>
      <c r="C79" s="811" t="s">
        <v>652</v>
      </c>
      <c r="D79" s="811" t="s">
        <v>653</v>
      </c>
      <c r="E79" s="888">
        <v>0.5</v>
      </c>
      <c r="F79" s="875">
        <v>80</v>
      </c>
    </row>
    <row r="80" spans="1:6" s="871" customFormat="1" ht="36">
      <c r="A80" s="875">
        <v>20</v>
      </c>
      <c r="B80" s="3346"/>
      <c r="C80" s="811" t="s">
        <v>654</v>
      </c>
      <c r="D80" s="811" t="s">
        <v>655</v>
      </c>
      <c r="E80" s="888">
        <v>0.2</v>
      </c>
      <c r="F80" s="875">
        <v>30</v>
      </c>
    </row>
    <row r="81" spans="1:6" s="871" customFormat="1" ht="36">
      <c r="A81" s="875">
        <v>21</v>
      </c>
      <c r="B81" s="3346"/>
      <c r="C81" s="811" t="s">
        <v>656</v>
      </c>
      <c r="D81" s="811" t="s">
        <v>657</v>
      </c>
      <c r="E81" s="888">
        <v>0.2</v>
      </c>
      <c r="F81" s="875">
        <v>30</v>
      </c>
    </row>
    <row r="82" spans="1:6" s="871" customFormat="1" ht="48">
      <c r="A82" s="875">
        <v>22</v>
      </c>
      <c r="B82" s="3346"/>
      <c r="C82" s="811" t="s">
        <v>658</v>
      </c>
      <c r="D82" s="811" t="s">
        <v>659</v>
      </c>
      <c r="E82" s="888">
        <v>0.2</v>
      </c>
      <c r="F82" s="875">
        <v>30</v>
      </c>
    </row>
    <row r="83" spans="1:6" s="871" customFormat="1" ht="48">
      <c r="A83" s="875">
        <v>23</v>
      </c>
      <c r="B83" s="3346"/>
      <c r="C83" s="811" t="s">
        <v>660</v>
      </c>
      <c r="D83" s="811" t="s">
        <v>661</v>
      </c>
      <c r="E83" s="888">
        <v>0.2</v>
      </c>
      <c r="F83" s="875">
        <v>30</v>
      </c>
    </row>
    <row r="84" spans="1:6" s="871" customFormat="1" ht="36">
      <c r="A84" s="875">
        <v>24</v>
      </c>
      <c r="B84" s="3346"/>
      <c r="C84" s="811" t="s">
        <v>662</v>
      </c>
      <c r="D84" s="811" t="s">
        <v>663</v>
      </c>
      <c r="E84" s="888">
        <v>0.2</v>
      </c>
      <c r="F84" s="875">
        <v>30</v>
      </c>
    </row>
    <row r="85" spans="1:6" s="871" customFormat="1" ht="36">
      <c r="A85" s="875">
        <v>25</v>
      </c>
      <c r="B85" s="3346"/>
      <c r="C85" s="811" t="s">
        <v>664</v>
      </c>
      <c r="D85" s="811" t="s">
        <v>665</v>
      </c>
      <c r="E85" s="888">
        <v>0.5</v>
      </c>
      <c r="F85" s="875">
        <v>80</v>
      </c>
    </row>
    <row r="86" spans="1:6" s="871" customFormat="1" ht="36">
      <c r="A86" s="875">
        <v>26</v>
      </c>
      <c r="B86" s="3346"/>
      <c r="C86" s="811" t="s">
        <v>666</v>
      </c>
      <c r="D86" s="811" t="s">
        <v>667</v>
      </c>
      <c r="E86" s="888">
        <v>0.2</v>
      </c>
      <c r="F86" s="875">
        <v>30</v>
      </c>
    </row>
    <row r="87" spans="1:6" s="871" customFormat="1" ht="36">
      <c r="A87" s="875">
        <v>27</v>
      </c>
      <c r="B87" s="3346"/>
      <c r="C87" s="811" t="s">
        <v>668</v>
      </c>
      <c r="D87" s="811" t="s">
        <v>669</v>
      </c>
      <c r="E87" s="888">
        <v>0.2</v>
      </c>
      <c r="F87" s="875">
        <v>30</v>
      </c>
    </row>
    <row r="88" spans="1:6" s="871" customFormat="1" ht="36">
      <c r="A88" s="875">
        <v>28</v>
      </c>
      <c r="B88" s="3346"/>
      <c r="C88" s="811" t="s">
        <v>670</v>
      </c>
      <c r="D88" s="811" t="s">
        <v>671</v>
      </c>
      <c r="E88" s="888">
        <v>0.2</v>
      </c>
      <c r="F88" s="875">
        <v>30</v>
      </c>
    </row>
    <row r="89" spans="1:6" s="871" customFormat="1" ht="24">
      <c r="A89" s="875">
        <v>29</v>
      </c>
      <c r="B89" s="3346"/>
      <c r="C89" s="811" t="s">
        <v>672</v>
      </c>
      <c r="D89" s="811" t="s">
        <v>673</v>
      </c>
      <c r="E89" s="888">
        <v>0.2</v>
      </c>
      <c r="F89" s="875">
        <v>30</v>
      </c>
    </row>
    <row r="90" spans="1:6" s="871" customFormat="1" ht="24">
      <c r="A90" s="875">
        <v>30</v>
      </c>
      <c r="B90" s="3346"/>
      <c r="C90" s="811" t="s">
        <v>674</v>
      </c>
      <c r="D90" s="811" t="s">
        <v>675</v>
      </c>
      <c r="E90" s="888">
        <v>0.2</v>
      </c>
      <c r="F90" s="875">
        <v>30</v>
      </c>
    </row>
    <row r="91" spans="1:6" s="871" customFormat="1" ht="36">
      <c r="A91" s="875">
        <v>31</v>
      </c>
      <c r="B91" s="3346"/>
      <c r="C91" s="811" t="s">
        <v>676</v>
      </c>
      <c r="D91" s="811" t="s">
        <v>677</v>
      </c>
      <c r="E91" s="888">
        <v>0.2</v>
      </c>
      <c r="F91" s="875">
        <v>30</v>
      </c>
    </row>
    <row r="92" spans="1:6" s="871" customFormat="1" ht="24">
      <c r="A92" s="875">
        <v>32</v>
      </c>
      <c r="B92" s="3346" t="s">
        <v>678</v>
      </c>
      <c r="C92" s="875" t="s">
        <v>679</v>
      </c>
      <c r="D92" s="811" t="s">
        <v>680</v>
      </c>
      <c r="E92" s="888">
        <v>0.2</v>
      </c>
      <c r="F92" s="875">
        <v>30</v>
      </c>
    </row>
    <row r="93" spans="1:6" s="871" customFormat="1" ht="36">
      <c r="A93" s="875">
        <v>33</v>
      </c>
      <c r="B93" s="3346"/>
      <c r="C93" s="875" t="s">
        <v>681</v>
      </c>
      <c r="D93" s="811" t="s">
        <v>682</v>
      </c>
      <c r="E93" s="888">
        <v>0.2</v>
      </c>
      <c r="F93" s="875">
        <v>30</v>
      </c>
    </row>
    <row r="94" spans="1:6" s="871" customFormat="1" ht="48">
      <c r="A94" s="875">
        <v>34</v>
      </c>
      <c r="B94" s="3346"/>
      <c r="C94" s="875" t="s">
        <v>683</v>
      </c>
      <c r="D94" s="811" t="s">
        <v>684</v>
      </c>
      <c r="E94" s="888">
        <v>0.2</v>
      </c>
      <c r="F94" s="875">
        <v>30</v>
      </c>
    </row>
    <row r="95" spans="1:6" s="871" customFormat="1" ht="36">
      <c r="A95" s="875">
        <v>35</v>
      </c>
      <c r="B95" s="3346"/>
      <c r="C95" s="875" t="s">
        <v>685</v>
      </c>
      <c r="D95" s="811" t="s">
        <v>686</v>
      </c>
      <c r="E95" s="888">
        <v>0.2</v>
      </c>
      <c r="F95" s="875">
        <v>30</v>
      </c>
    </row>
    <row r="96" spans="1:6" s="871" customFormat="1" ht="48">
      <c r="A96" s="875">
        <v>36</v>
      </c>
      <c r="B96" s="3346"/>
      <c r="C96" s="811" t="s">
        <v>687</v>
      </c>
      <c r="D96" s="811" t="s">
        <v>688</v>
      </c>
      <c r="E96" s="888">
        <v>0.2</v>
      </c>
      <c r="F96" s="875">
        <v>30</v>
      </c>
    </row>
    <row r="97" spans="1:6" s="871" customFormat="1" ht="36">
      <c r="A97" s="875">
        <v>37</v>
      </c>
      <c r="B97" s="3346"/>
      <c r="C97" s="875" t="s">
        <v>689</v>
      </c>
      <c r="D97" s="811" t="s">
        <v>690</v>
      </c>
      <c r="E97" s="888">
        <v>0.2</v>
      </c>
      <c r="F97" s="875">
        <v>30</v>
      </c>
    </row>
    <row r="98" spans="1:6" s="871" customFormat="1" ht="36">
      <c r="A98" s="875">
        <v>38</v>
      </c>
      <c r="B98" s="3346"/>
      <c r="C98" s="875" t="s">
        <v>691</v>
      </c>
      <c r="D98" s="811" t="s">
        <v>692</v>
      </c>
      <c r="E98" s="888">
        <v>0.2</v>
      </c>
      <c r="F98" s="875">
        <v>30</v>
      </c>
    </row>
    <row r="99" spans="1:6" s="871" customFormat="1" ht="36">
      <c r="A99" s="875">
        <v>39</v>
      </c>
      <c r="B99" s="3346" t="s">
        <v>693</v>
      </c>
      <c r="C99" s="875" t="s">
        <v>694</v>
      </c>
      <c r="D99" s="811" t="s">
        <v>695</v>
      </c>
      <c r="E99" s="888">
        <v>0.3</v>
      </c>
      <c r="F99" s="875">
        <v>50</v>
      </c>
    </row>
    <row r="100" spans="1:6" s="871" customFormat="1" ht="24">
      <c r="A100" s="875">
        <v>40</v>
      </c>
      <c r="B100" s="3346"/>
      <c r="C100" s="875" t="s">
        <v>696</v>
      </c>
      <c r="D100" s="811" t="s">
        <v>697</v>
      </c>
      <c r="E100" s="888">
        <v>0.2</v>
      </c>
      <c r="F100" s="875">
        <v>30</v>
      </c>
    </row>
    <row r="101" spans="1:6" s="871" customFormat="1" ht="36">
      <c r="A101" s="875">
        <v>41</v>
      </c>
      <c r="B101" s="3346"/>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46" t="s">
        <v>708</v>
      </c>
      <c r="C105" s="875" t="s">
        <v>709</v>
      </c>
      <c r="D105" s="811" t="s">
        <v>710</v>
      </c>
      <c r="E105" s="888">
        <v>0.2</v>
      </c>
      <c r="F105" s="875">
        <v>30</v>
      </c>
    </row>
    <row r="106" spans="1:6" s="871" customFormat="1" ht="36">
      <c r="A106" s="875">
        <v>46</v>
      </c>
      <c r="B106" s="3346"/>
      <c r="C106" s="875" t="s">
        <v>711</v>
      </c>
      <c r="D106" s="811" t="s">
        <v>712</v>
      </c>
      <c r="E106" s="888">
        <v>0.2</v>
      </c>
      <c r="F106" s="875">
        <v>30</v>
      </c>
    </row>
    <row r="107" spans="1:6" s="871" customFormat="1" ht="36">
      <c r="A107" s="875">
        <v>47</v>
      </c>
      <c r="B107" s="3346" t="s">
        <v>713</v>
      </c>
      <c r="C107" s="875" t="s">
        <v>714</v>
      </c>
      <c r="D107" s="811" t="s">
        <v>715</v>
      </c>
      <c r="E107" s="888">
        <v>0.3</v>
      </c>
      <c r="F107" s="875">
        <v>50</v>
      </c>
    </row>
    <row r="108" spans="1:6" s="871" customFormat="1" ht="36">
      <c r="A108" s="875">
        <v>48</v>
      </c>
      <c r="B108" s="3346"/>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46" t="s">
        <v>724</v>
      </c>
      <c r="C111" s="875" t="s">
        <v>725</v>
      </c>
      <c r="D111" s="811" t="s">
        <v>726</v>
      </c>
      <c r="E111" s="888">
        <v>0.2</v>
      </c>
      <c r="F111" s="875">
        <v>30</v>
      </c>
    </row>
    <row r="112" spans="1:6" s="871" customFormat="1" ht="24">
      <c r="A112" s="875">
        <v>52</v>
      </c>
      <c r="B112" s="3346"/>
      <c r="C112" s="875" t="s">
        <v>727</v>
      </c>
      <c r="D112" s="811" t="s">
        <v>728</v>
      </c>
      <c r="E112" s="888">
        <v>0.2</v>
      </c>
      <c r="F112" s="875">
        <v>30</v>
      </c>
    </row>
    <row r="113" spans="1:6" s="871" customFormat="1" ht="24">
      <c r="A113" s="875">
        <v>53</v>
      </c>
      <c r="B113" s="3346"/>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46" t="s">
        <v>737</v>
      </c>
      <c r="C116" s="875" t="s">
        <v>738</v>
      </c>
      <c r="D116" s="811" t="s">
        <v>739</v>
      </c>
      <c r="E116" s="888">
        <v>0.2</v>
      </c>
      <c r="F116" s="875">
        <v>30</v>
      </c>
    </row>
    <row r="117" spans="1:6" ht="36">
      <c r="A117" s="875">
        <v>57</v>
      </c>
      <c r="B117" s="3346"/>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0.80159999999999998</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4" t="s">
        <v>3003</v>
      </c>
    </row>
    <row r="2" spans="1:5" ht="15.75">
      <c r="A2" s="2903" t="s">
        <v>2995</v>
      </c>
      <c r="B2" s="2904">
        <f ca="1">SUMIF(B6:B13,"&lt;&gt;#ref!",B6:B13)</f>
        <v>5840</v>
      </c>
      <c r="C2" s="2903" t="s">
        <v>2996</v>
      </c>
      <c r="D2" s="2903" t="s">
        <v>2997</v>
      </c>
      <c r="E2" s="2904" t="e">
        <f ca="1">SUM(E6:E13)</f>
        <v>#REF!</v>
      </c>
    </row>
    <row r="3" spans="1:5" ht="15.75">
      <c r="A3" s="2903" t="s">
        <v>2998</v>
      </c>
      <c r="B3" s="2904" t="e">
        <f ca="1">ROUND(B2*10000/E2,0)</f>
        <v>#REF!</v>
      </c>
      <c r="C3" s="2903" t="s">
        <v>3004</v>
      </c>
      <c r="D3" s="2905"/>
      <c r="E3" s="2905"/>
    </row>
    <row r="4" spans="1:5" ht="15.75">
      <c r="A4" s="2906"/>
      <c r="B4" s="2905"/>
      <c r="C4" s="2905"/>
      <c r="D4" s="2905"/>
      <c r="E4" s="2905"/>
    </row>
    <row r="5" spans="1:5" ht="28.5">
      <c r="A5" s="2907" t="s">
        <v>2999</v>
      </c>
      <c r="B5" s="2903" t="s">
        <v>3000</v>
      </c>
      <c r="C5" s="2904"/>
      <c r="D5" s="2905"/>
      <c r="E5" s="2903" t="s">
        <v>3001</v>
      </c>
    </row>
    <row r="6" spans="1:5" ht="15.75">
      <c r="A6" s="2908" t="s">
        <v>3002</v>
      </c>
      <c r="B6" s="2904">
        <f ca="1">SUMIF(INDIRECT("'"&amp;A6&amp;"'"&amp;"!A:A"),"总价",INDIRECT("'"&amp;A6&amp;"'"&amp;"!B:B"))</f>
        <v>5840</v>
      </c>
      <c r="C6" s="2903" t="s">
        <v>2996</v>
      </c>
      <c r="D6" s="2905"/>
      <c r="E6" s="2568">
        <f ca="1">SUMIF(INDIRECT("'"&amp;A6&amp;"'"&amp;"!C:C"),"建筑面积",INDIRECT("'"&amp;A6&amp;"'"&amp;"!D:D"))</f>
        <v>10000</v>
      </c>
    </row>
    <row r="7" spans="1:5" ht="15.75">
      <c r="A7" s="2908"/>
      <c r="B7" s="2904" t="e">
        <f ca="1">SUMIF(INDIRECT("'"&amp;A7&amp;"'"&amp;"!A:A"),"总价",INDIRECT("'"&amp;A7&amp;"'"&amp;"!B:B"))</f>
        <v>#REF!</v>
      </c>
      <c r="C7" s="2903" t="s">
        <v>2996</v>
      </c>
      <c r="D7" s="2905"/>
      <c r="E7" s="2568" t="e">
        <f t="shared" ref="E7:E13" ca="1" si="0">SUMIF(INDIRECT("'"&amp;A7&amp;"'"&amp;"!C:C"),"建筑面积",INDIRECT("'"&amp;A7&amp;"'"&amp;"!D:D"))</f>
        <v>#REF!</v>
      </c>
    </row>
    <row r="8" spans="1:5" ht="15.75">
      <c r="A8" s="2908"/>
      <c r="B8" s="2904" t="e">
        <f t="shared" ref="B8:B13" ca="1" si="1">SUMIF(INDIRECT("'"&amp;A8&amp;"'"&amp;"!A:A"),"总价",INDIRECT("'"&amp;A8&amp;"'"&amp;"!B:B"))</f>
        <v>#REF!</v>
      </c>
      <c r="C8" s="2903" t="s">
        <v>2996</v>
      </c>
      <c r="D8" s="2905"/>
      <c r="E8" s="2568" t="e">
        <f t="shared" ca="1" si="0"/>
        <v>#REF!</v>
      </c>
    </row>
    <row r="9" spans="1:5" ht="15.75">
      <c r="A9" s="2908"/>
      <c r="B9" s="2904" t="e">
        <f t="shared" ca="1" si="1"/>
        <v>#REF!</v>
      </c>
      <c r="C9" s="2903" t="s">
        <v>2996</v>
      </c>
      <c r="D9" s="2905"/>
      <c r="E9" s="2568" t="e">
        <f t="shared" ca="1" si="0"/>
        <v>#REF!</v>
      </c>
    </row>
    <row r="10" spans="1:5" ht="15.75">
      <c r="A10" s="2908"/>
      <c r="B10" s="2904" t="e">
        <f t="shared" ca="1" si="1"/>
        <v>#REF!</v>
      </c>
      <c r="C10" s="2903" t="s">
        <v>2996</v>
      </c>
      <c r="D10" s="2905"/>
      <c r="E10" s="2568" t="e">
        <f t="shared" ca="1" si="0"/>
        <v>#REF!</v>
      </c>
    </row>
    <row r="11" spans="1:5" ht="15.75">
      <c r="A11" s="2908"/>
      <c r="B11" s="2904" t="e">
        <f t="shared" ca="1" si="1"/>
        <v>#REF!</v>
      </c>
      <c r="C11" s="2903" t="s">
        <v>2996</v>
      </c>
      <c r="D11" s="2905"/>
      <c r="E11" s="2568" t="e">
        <f t="shared" ca="1" si="0"/>
        <v>#REF!</v>
      </c>
    </row>
    <row r="12" spans="1:5" ht="15.75">
      <c r="A12" s="2908"/>
      <c r="B12" s="2904" t="e">
        <f t="shared" ca="1" si="1"/>
        <v>#REF!</v>
      </c>
      <c r="C12" s="2903" t="s">
        <v>2996</v>
      </c>
      <c r="D12" s="2905"/>
      <c r="E12" s="2568" t="e">
        <f t="shared" ca="1" si="0"/>
        <v>#REF!</v>
      </c>
    </row>
    <row r="13" spans="1:5" ht="15.75">
      <c r="A13" s="2908"/>
      <c r="B13" s="2904" t="e">
        <f t="shared" ca="1" si="1"/>
        <v>#REF!</v>
      </c>
      <c r="C13" s="2903" t="s">
        <v>2996</v>
      </c>
      <c r="D13" s="2905"/>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52" t="s">
        <v>1150</v>
      </c>
      <c r="C1" s="3352"/>
      <c r="D1" s="3352"/>
      <c r="E1" s="3352"/>
      <c r="F1" s="3352"/>
      <c r="G1" s="3348" t="s">
        <v>1151</v>
      </c>
      <c r="H1" s="3348"/>
      <c r="I1" s="3348"/>
      <c r="J1" s="3348"/>
      <c r="K1" s="3348"/>
      <c r="L1" s="3348"/>
      <c r="N1" s="3348" t="s">
        <v>1152</v>
      </c>
      <c r="O1" s="3348"/>
      <c r="P1" s="3348"/>
      <c r="Q1" s="3348"/>
      <c r="R1" s="1442"/>
      <c r="S1" s="3348" t="s">
        <v>1153</v>
      </c>
      <c r="T1" s="3348"/>
      <c r="U1" s="3348"/>
      <c r="V1" s="3348"/>
      <c r="X1" s="3347" t="s">
        <v>1154</v>
      </c>
      <c r="Y1" s="3348"/>
      <c r="Z1" s="3348"/>
      <c r="AA1" s="3348"/>
      <c r="AB1" s="3348"/>
      <c r="AD1" s="3347" t="s">
        <v>1155</v>
      </c>
      <c r="AE1" s="3348"/>
      <c r="AF1" s="3348"/>
      <c r="AG1" s="3348"/>
      <c r="AH1" s="3348"/>
    </row>
    <row r="2" spans="1:34" s="1443" customFormat="1" ht="14.25" thickBot="1">
      <c r="B2" s="1444" t="s">
        <v>1156</v>
      </c>
      <c r="C2" s="1444" t="s">
        <v>1157</v>
      </c>
      <c r="D2" s="1445" t="s">
        <v>1158</v>
      </c>
      <c r="E2" s="1445" t="s">
        <v>1159</v>
      </c>
      <c r="F2" s="1444" t="s">
        <v>1160</v>
      </c>
      <c r="G2" s="1446"/>
      <c r="H2" s="1447"/>
      <c r="I2" s="1444" t="s">
        <v>1156</v>
      </c>
      <c r="J2" s="1445" t="s">
        <v>1385</v>
      </c>
      <c r="K2" s="1445" t="s">
        <v>751</v>
      </c>
      <c r="L2" s="1444" t="s">
        <v>1160</v>
      </c>
      <c r="N2" s="1444" t="s">
        <v>1156</v>
      </c>
      <c r="O2" s="1445" t="s">
        <v>1385</v>
      </c>
      <c r="P2" s="1445" t="s">
        <v>751</v>
      </c>
      <c r="Q2" s="1444" t="s">
        <v>1160</v>
      </c>
      <c r="R2" s="1448"/>
      <c r="S2" s="1444" t="s">
        <v>1156</v>
      </c>
      <c r="T2" s="1445" t="s">
        <v>1385</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2" customFormat="1" ht="14.25">
      <c r="A3" s="2931" t="s">
        <v>3042</v>
      </c>
      <c r="B3" s="2923"/>
      <c r="C3" s="2923"/>
      <c r="D3" s="2924"/>
      <c r="E3" s="2924"/>
      <c r="F3" s="2923"/>
      <c r="G3" s="2925"/>
      <c r="H3" s="2926"/>
      <c r="I3" s="2927">
        <f>ROUND(AVERAGE($I6:$I21),2)</f>
        <v>2.4500000000000002</v>
      </c>
      <c r="J3" s="2927">
        <f>ROUND(AVERAGE($J6:$J21),2)</f>
        <v>1.65</v>
      </c>
      <c r="K3" s="2927">
        <f>ROUND(AVERAGE($K6:$K21),2)</f>
        <v>2.71</v>
      </c>
      <c r="L3" s="2927">
        <f>ROUND(AVERAGE($L6:$L21),2)</f>
        <v>1.39</v>
      </c>
      <c r="N3" s="2925"/>
      <c r="O3" s="2928"/>
      <c r="P3" s="2928"/>
      <c r="Q3" s="2928"/>
      <c r="R3" s="2928"/>
      <c r="S3" s="2925"/>
      <c r="T3" s="2928"/>
      <c r="U3" s="2928"/>
      <c r="V3" s="2928"/>
      <c r="W3" s="2920"/>
      <c r="X3" s="2929">
        <f>ROUND(SUMPRODUCT(PRODUCT(1+N3:N$20)),4)</f>
        <v>1.4274</v>
      </c>
      <c r="Y3" s="2929">
        <f>ROUND(SUMPRODUCT(PRODUCT(1+O3:O$20)),4)</f>
        <v>1.2685</v>
      </c>
      <c r="Z3" s="2929">
        <f t="shared" ref="Z3:Z18" si="0">Y3</f>
        <v>1.2685</v>
      </c>
      <c r="AA3" s="2929">
        <f>ROUND(SUMPRODUCT(PRODUCT(1+P3:P$20)),4)</f>
        <v>1.4825999999999999</v>
      </c>
      <c r="AB3" s="2929">
        <f>ROUND(SUMPRODUCT(PRODUCT(1+Q3:Q$20)),4)</f>
        <v>1.2309000000000001</v>
      </c>
      <c r="AD3" s="2930">
        <f>ROUND(AVERAGE(I3:I$21)/100,4)</f>
        <v>2.3099999999999999E-2</v>
      </c>
      <c r="AE3" s="2930">
        <f>ROUND(AVERAGE(J3:J$21)/100,4)</f>
        <v>1.5599999999999999E-2</v>
      </c>
      <c r="AF3" s="2930">
        <f t="shared" ref="AF3:AF19" si="1">AE3</f>
        <v>1.5599999999999999E-2</v>
      </c>
      <c r="AG3" s="2930">
        <f>ROUND(AVERAGE(K3:K$21)/100,4)</f>
        <v>2.5600000000000001E-2</v>
      </c>
      <c r="AH3" s="2930">
        <f>ROUND(AVERAGE(L3:L$21)/100,4)</f>
        <v>1.32E-2</v>
      </c>
    </row>
    <row r="4" spans="1:34" s="1449" customFormat="1" ht="14.25">
      <c r="B4" s="1450"/>
      <c r="C4" s="1450"/>
      <c r="D4" s="1451"/>
      <c r="E4" s="1451"/>
      <c r="F4" s="1450"/>
      <c r="G4" s="1452"/>
      <c r="H4" s="1453"/>
      <c r="I4" s="2916"/>
      <c r="J4" s="2916"/>
      <c r="K4" s="2916"/>
      <c r="L4" s="2916"/>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3041</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19">
        <v>2018</v>
      </c>
      <c r="H5" s="1726">
        <v>1</v>
      </c>
      <c r="I5" s="2917">
        <v>0</v>
      </c>
      <c r="J5" s="2917">
        <v>0</v>
      </c>
      <c r="K5" s="2917">
        <v>0</v>
      </c>
      <c r="L5" s="2917">
        <v>0</v>
      </c>
      <c r="N5" s="1463">
        <f t="shared" ref="N5:N10" si="7">I5/100</f>
        <v>0</v>
      </c>
      <c r="O5" s="1463">
        <f t="shared" ref="O5" si="8">J5/100</f>
        <v>0</v>
      </c>
      <c r="P5" s="1463">
        <f t="shared" ref="P5" si="9">K5/100</f>
        <v>0</v>
      </c>
      <c r="Q5" s="1463">
        <f t="shared" ref="Q5" si="10">L5/100</f>
        <v>0</v>
      </c>
      <c r="R5" s="1728"/>
      <c r="S5" s="1729"/>
      <c r="T5" s="1728"/>
      <c r="U5" s="1728"/>
      <c r="V5" s="1728"/>
      <c r="W5" s="2921" t="s">
        <v>3043</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3038</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19">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3039</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15"/>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1386</v>
      </c>
      <c r="B8" s="1473">
        <f t="shared" si="21"/>
        <v>419.31181600000002</v>
      </c>
      <c r="C8" s="1473">
        <f t="shared" si="22"/>
        <v>313.95436800000004</v>
      </c>
      <c r="D8" s="1473">
        <f t="shared" si="23"/>
        <v>313.95436800000004</v>
      </c>
      <c r="E8" s="1473">
        <f t="shared" si="24"/>
        <v>596.63028431999999</v>
      </c>
      <c r="F8" s="1473">
        <f t="shared" si="25"/>
        <v>274.74220703999998</v>
      </c>
      <c r="G8" s="2914"/>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1161</v>
      </c>
      <c r="B9" s="1473">
        <f>B10*(1+N9)</f>
        <v>405.524</v>
      </c>
      <c r="C9" s="1473">
        <f>C10*(1+O9)</f>
        <v>307.79840000000002</v>
      </c>
      <c r="D9" s="1473">
        <f>C9</f>
        <v>307.79840000000002</v>
      </c>
      <c r="E9" s="1473">
        <f>E10*(1+P9)</f>
        <v>574.67759999999998</v>
      </c>
      <c r="F9" s="1473">
        <f>F10*(1+Q9)</f>
        <v>270.20280000000002</v>
      </c>
      <c r="G9" s="2915"/>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353">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350"/>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350"/>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351"/>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349">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350"/>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350"/>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351"/>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349">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350"/>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350"/>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351"/>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1162</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1163</v>
      </c>
      <c r="B22" s="1465">
        <v>299</v>
      </c>
      <c r="C22" s="1465">
        <v>252</v>
      </c>
      <c r="D22" s="1465">
        <f t="shared" si="35"/>
        <v>252</v>
      </c>
      <c r="E22" s="1465">
        <v>409</v>
      </c>
      <c r="F22" s="1466">
        <v>227</v>
      </c>
      <c r="G22" s="3354">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1164</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355"/>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1165</v>
      </c>
      <c r="B24" s="1473">
        <f t="shared" si="44"/>
        <v>288.2649053828776</v>
      </c>
      <c r="C24" s="1473">
        <f t="shared" si="44"/>
        <v>243.64564425013293</v>
      </c>
      <c r="D24" s="1473">
        <f t="shared" si="35"/>
        <v>243.64564425013293</v>
      </c>
      <c r="E24" s="1473">
        <f t="shared" si="45"/>
        <v>393.31080825986544</v>
      </c>
      <c r="F24" s="1473">
        <f t="shared" si="45"/>
        <v>223.07903790551154</v>
      </c>
      <c r="G24" s="3355"/>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1166</v>
      </c>
      <c r="B25" s="1473">
        <f t="shared" si="44"/>
        <v>282.50186729015837</v>
      </c>
      <c r="C25" s="1473">
        <f t="shared" si="44"/>
        <v>238.09796174155468</v>
      </c>
      <c r="D25" s="1473">
        <f t="shared" si="35"/>
        <v>238.09796174155468</v>
      </c>
      <c r="E25" s="1473">
        <f t="shared" si="45"/>
        <v>385.33438646014054</v>
      </c>
      <c r="F25" s="1473">
        <f t="shared" si="45"/>
        <v>221.55034055567739</v>
      </c>
      <c r="G25" s="3356"/>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1167</v>
      </c>
      <c r="B26" s="1507">
        <v>278</v>
      </c>
      <c r="C26" s="1507">
        <v>234</v>
      </c>
      <c r="D26" s="1507">
        <f t="shared" si="35"/>
        <v>234</v>
      </c>
      <c r="E26" s="1507">
        <v>379</v>
      </c>
      <c r="F26" s="1508">
        <v>220</v>
      </c>
      <c r="G26" s="3349">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1168</v>
      </c>
      <c r="B27" s="1473">
        <f>B26/(1+N26)</f>
        <v>275.49301357645425</v>
      </c>
      <c r="C27" s="1473">
        <f>C26/(1+O26)</f>
        <v>232.41954707985698</v>
      </c>
      <c r="D27" s="1473">
        <f t="shared" si="35"/>
        <v>232.41954707985698</v>
      </c>
      <c r="E27" s="1473">
        <f t="shared" ref="E27:F29" si="46">E26/(1+P26)</f>
        <v>375.32184591008121</v>
      </c>
      <c r="F27" s="1473">
        <f t="shared" si="46"/>
        <v>218.03766105054513</v>
      </c>
      <c r="G27" s="3350"/>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1169</v>
      </c>
      <c r="B28" s="1473">
        <f>B27/(1+N27)</f>
        <v>275.24529281292263</v>
      </c>
      <c r="C28" s="1473">
        <f>C27/(1+O27)</f>
        <v>231.74747938962707</v>
      </c>
      <c r="D28" s="1473">
        <f t="shared" si="35"/>
        <v>231.74747938962707</v>
      </c>
      <c r="E28" s="1473">
        <f t="shared" si="46"/>
        <v>375.35938184826603</v>
      </c>
      <c r="F28" s="1473">
        <f t="shared" si="46"/>
        <v>216.78033510692495</v>
      </c>
      <c r="G28" s="3350"/>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1170</v>
      </c>
      <c r="B29" s="1473">
        <f>B28/(1+N28)</f>
        <v>275.19025476197027</v>
      </c>
      <c r="C29" s="1509">
        <v>232</v>
      </c>
      <c r="D29" s="1509">
        <f t="shared" si="35"/>
        <v>232</v>
      </c>
      <c r="E29" s="1473">
        <f t="shared" si="46"/>
        <v>375.65990977608692</v>
      </c>
      <c r="F29" s="1473">
        <f t="shared" si="46"/>
        <v>214.12518283971252</v>
      </c>
      <c r="G29" s="3351"/>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1171</v>
      </c>
      <c r="B30" s="1465">
        <v>275</v>
      </c>
      <c r="C30" s="1465">
        <v>232</v>
      </c>
      <c r="D30" s="1465">
        <f t="shared" si="35"/>
        <v>232</v>
      </c>
      <c r="E30" s="1465">
        <v>376</v>
      </c>
      <c r="F30" s="1466">
        <v>213</v>
      </c>
      <c r="G30" s="3349">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1172</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350">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1173</v>
      </c>
      <c r="B32" s="1473">
        <f t="shared" si="47"/>
        <v>275.19335084830601</v>
      </c>
      <c r="C32" s="1473">
        <f t="shared" si="47"/>
        <v>230.18088050139744</v>
      </c>
      <c r="D32" s="1473">
        <f t="shared" si="35"/>
        <v>230.18088050139744</v>
      </c>
      <c r="E32" s="1473">
        <f t="shared" si="48"/>
        <v>377.58482925212331</v>
      </c>
      <c r="F32" s="1473">
        <f t="shared" si="48"/>
        <v>210.90687997847917</v>
      </c>
      <c r="G32" s="3350">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1174</v>
      </c>
      <c r="B33" s="1473">
        <f t="shared" si="47"/>
        <v>276.29854502841971</v>
      </c>
      <c r="C33" s="1473">
        <f t="shared" si="47"/>
        <v>229.79023709833027</v>
      </c>
      <c r="D33" s="1473">
        <f t="shared" si="35"/>
        <v>229.79023709833027</v>
      </c>
      <c r="E33" s="1473">
        <f t="shared" si="48"/>
        <v>379.78759731655936</v>
      </c>
      <c r="F33" s="1473">
        <f t="shared" si="48"/>
        <v>211.32953905659235</v>
      </c>
      <c r="G33" s="3351">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1175</v>
      </c>
      <c r="B34" s="1465">
        <v>269</v>
      </c>
      <c r="C34" s="1465">
        <v>221</v>
      </c>
      <c r="D34" s="1465">
        <f t="shared" si="35"/>
        <v>221</v>
      </c>
      <c r="E34" s="1465">
        <v>373</v>
      </c>
      <c r="F34" s="1466">
        <v>196</v>
      </c>
      <c r="G34" s="3349">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1176</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350">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1177</v>
      </c>
      <c r="B36" s="1473">
        <f t="shared" si="49"/>
        <v>242.95398227588385</v>
      </c>
      <c r="C36" s="1473">
        <f t="shared" si="49"/>
        <v>199.59137053614126</v>
      </c>
      <c r="D36" s="1473">
        <f t="shared" si="35"/>
        <v>199.59137053614126</v>
      </c>
      <c r="E36" s="1473">
        <f t="shared" si="50"/>
        <v>335.92189522342125</v>
      </c>
      <c r="F36" s="1473">
        <f t="shared" si="50"/>
        <v>183.10139991109489</v>
      </c>
      <c r="G36" s="3350">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1178</v>
      </c>
      <c r="B37" s="1473">
        <f t="shared" si="49"/>
        <v>232.06990378821649</v>
      </c>
      <c r="C37" s="1473">
        <f t="shared" si="49"/>
        <v>192.74878854286936</v>
      </c>
      <c r="D37" s="1473">
        <f t="shared" si="35"/>
        <v>192.74878854286936</v>
      </c>
      <c r="E37" s="1473">
        <f t="shared" si="50"/>
        <v>319.71247284992984</v>
      </c>
      <c r="F37" s="1473">
        <f t="shared" si="50"/>
        <v>175.67053622862409</v>
      </c>
      <c r="G37" s="3351">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1179</v>
      </c>
      <c r="B38" s="1465">
        <v>220</v>
      </c>
      <c r="C38" s="1465">
        <v>187</v>
      </c>
      <c r="D38" s="1465">
        <f t="shared" si="35"/>
        <v>187</v>
      </c>
      <c r="E38" s="1465">
        <v>301</v>
      </c>
      <c r="F38" s="1466">
        <v>168</v>
      </c>
      <c r="G38" s="3349">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1180</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350">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1181</v>
      </c>
      <c r="B40" s="1473">
        <f t="shared" si="51"/>
        <v>210.630522469011</v>
      </c>
      <c r="C40" s="1473">
        <f t="shared" si="51"/>
        <v>181.69567812247232</v>
      </c>
      <c r="D40" s="1473">
        <f t="shared" si="35"/>
        <v>181.69567812247232</v>
      </c>
      <c r="E40" s="1473">
        <f t="shared" si="52"/>
        <v>286.13517466736738</v>
      </c>
      <c r="F40" s="1473">
        <f t="shared" si="52"/>
        <v>165.47535084591149</v>
      </c>
      <c r="G40" s="3350">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1182</v>
      </c>
      <c r="B41" s="1473">
        <f t="shared" si="51"/>
        <v>208.83454537875372</v>
      </c>
      <c r="C41" s="1473">
        <f t="shared" si="51"/>
        <v>183.77230517090351</v>
      </c>
      <c r="D41" s="1473">
        <f t="shared" si="35"/>
        <v>183.77230517090351</v>
      </c>
      <c r="E41" s="1473">
        <f t="shared" si="52"/>
        <v>281.10342338870947</v>
      </c>
      <c r="F41" s="1473">
        <f t="shared" si="52"/>
        <v>168.97309388942256</v>
      </c>
      <c r="G41" s="3351">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1183</v>
      </c>
      <c r="B42" s="1507">
        <v>214</v>
      </c>
      <c r="C42" s="1507">
        <v>188</v>
      </c>
      <c r="D42" s="1507">
        <f t="shared" si="35"/>
        <v>188</v>
      </c>
      <c r="E42" s="1507">
        <v>289</v>
      </c>
      <c r="F42" s="1508">
        <v>166</v>
      </c>
      <c r="G42" s="3349">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1184</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350">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1185</v>
      </c>
      <c r="B44" s="1473">
        <f t="shared" si="53"/>
        <v>206.31694671589116</v>
      </c>
      <c r="C44" s="1473">
        <f t="shared" si="53"/>
        <v>183.61041121036101</v>
      </c>
      <c r="D44" s="1473">
        <f t="shared" si="35"/>
        <v>183.61041121036101</v>
      </c>
      <c r="E44" s="1473">
        <f t="shared" si="54"/>
        <v>276.66850301795557</v>
      </c>
      <c r="F44" s="1473">
        <f t="shared" si="54"/>
        <v>165.1360938278614</v>
      </c>
      <c r="G44" s="3350">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1186</v>
      </c>
      <c r="B45" s="1510">
        <f t="shared" si="53"/>
        <v>196.62341248059772</v>
      </c>
      <c r="C45" s="1510">
        <f t="shared" si="53"/>
        <v>170.99125648199012</v>
      </c>
      <c r="D45" s="1510">
        <f t="shared" si="35"/>
        <v>170.99125648199012</v>
      </c>
      <c r="E45" s="1510">
        <f t="shared" si="54"/>
        <v>266.07857570490052</v>
      </c>
      <c r="F45" s="1510">
        <f t="shared" si="54"/>
        <v>154.53499328828505</v>
      </c>
      <c r="G45" s="3351">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1187</v>
      </c>
      <c r="B46" s="1465">
        <v>188</v>
      </c>
      <c r="C46" s="1465">
        <v>165</v>
      </c>
      <c r="D46" s="1465">
        <f t="shared" si="35"/>
        <v>165</v>
      </c>
      <c r="E46" s="1465">
        <v>254</v>
      </c>
      <c r="F46" s="1466">
        <v>148</v>
      </c>
      <c r="G46" s="3349">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1188</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350">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1189</v>
      </c>
      <c r="B48" s="1473">
        <f t="shared" si="57"/>
        <v>168.82017748715555</v>
      </c>
      <c r="C48" s="1473">
        <f t="shared" si="57"/>
        <v>148.06267029972753</v>
      </c>
      <c r="D48" s="1473">
        <f t="shared" si="35"/>
        <v>148.06267029972753</v>
      </c>
      <c r="E48" s="1473">
        <f t="shared" si="58"/>
        <v>216.46288379323747</v>
      </c>
      <c r="F48" s="1473">
        <f t="shared" si="58"/>
        <v>134.23529411764704</v>
      </c>
      <c r="G48" s="3350">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1190</v>
      </c>
      <c r="B49" s="1473">
        <f t="shared" si="57"/>
        <v>163.84913591779542</v>
      </c>
      <c r="C49" s="1473">
        <f t="shared" si="57"/>
        <v>145.0283378746594</v>
      </c>
      <c r="D49" s="1473">
        <f t="shared" si="35"/>
        <v>145.0283378746594</v>
      </c>
      <c r="E49" s="1473">
        <f t="shared" si="58"/>
        <v>204.95180722891567</v>
      </c>
      <c r="F49" s="1473">
        <f t="shared" si="58"/>
        <v>125.95920303605313</v>
      </c>
      <c r="G49" s="3351">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1191</v>
      </c>
      <c r="B50" s="1486">
        <v>159</v>
      </c>
      <c r="C50" s="1486">
        <v>141</v>
      </c>
      <c r="D50" s="1486">
        <f t="shared" si="35"/>
        <v>141</v>
      </c>
      <c r="E50" s="1486">
        <v>195</v>
      </c>
      <c r="F50" s="1487">
        <v>122</v>
      </c>
      <c r="G50" s="3349">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1192</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350">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1193</v>
      </c>
      <c r="B52" s="1473">
        <f t="shared" si="61"/>
        <v>146.57412060301507</v>
      </c>
      <c r="C52" s="1473">
        <f t="shared" si="61"/>
        <v>136.46831955922866</v>
      </c>
      <c r="D52" s="1473">
        <f t="shared" si="35"/>
        <v>136.46831955922866</v>
      </c>
      <c r="E52" s="1473">
        <f t="shared" si="62"/>
        <v>166.73864894795128</v>
      </c>
      <c r="F52" s="1473">
        <f t="shared" si="62"/>
        <v>115.05882352941177</v>
      </c>
      <c r="G52" s="3350">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1194</v>
      </c>
      <c r="B53" s="1473">
        <f t="shared" si="61"/>
        <v>144.04145728643215</v>
      </c>
      <c r="C53" s="1473">
        <f t="shared" si="61"/>
        <v>136.12396694214877</v>
      </c>
      <c r="D53" s="1473">
        <f t="shared" si="35"/>
        <v>136.12396694214877</v>
      </c>
      <c r="E53" s="1473">
        <f t="shared" si="62"/>
        <v>158.32225913621264</v>
      </c>
      <c r="F53" s="1473">
        <f t="shared" si="62"/>
        <v>114.04278074866311</v>
      </c>
      <c r="G53" s="3351">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1195</v>
      </c>
      <c r="B54" s="1486">
        <v>138</v>
      </c>
      <c r="C54" s="1486">
        <v>131</v>
      </c>
      <c r="D54" s="1486">
        <f t="shared" si="35"/>
        <v>131</v>
      </c>
      <c r="E54" s="1486">
        <v>155</v>
      </c>
      <c r="F54" s="1487">
        <v>114</v>
      </c>
      <c r="G54" s="3349">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1196</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350">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1197</v>
      </c>
      <c r="B56" s="1473">
        <f t="shared" si="65"/>
        <v>124.29032258064517</v>
      </c>
      <c r="C56" s="1473">
        <f t="shared" si="65"/>
        <v>123.8968609865471</v>
      </c>
      <c r="D56" s="1473">
        <f t="shared" si="35"/>
        <v>123.8968609865471</v>
      </c>
      <c r="E56" s="1473">
        <f t="shared" si="66"/>
        <v>138.00507614213197</v>
      </c>
      <c r="F56" s="1473">
        <f t="shared" si="66"/>
        <v>107.96106557377048</v>
      </c>
      <c r="G56" s="3350">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1198</v>
      </c>
      <c r="B57" s="1473">
        <f t="shared" si="65"/>
        <v>122.57204301075269</v>
      </c>
      <c r="C57" s="1473">
        <f t="shared" si="65"/>
        <v>123.4932735426009</v>
      </c>
      <c r="D57" s="1473">
        <f t="shared" si="35"/>
        <v>123.4932735426009</v>
      </c>
      <c r="E57" s="1473">
        <f t="shared" si="66"/>
        <v>129.82233502538071</v>
      </c>
      <c r="F57" s="1473">
        <f t="shared" si="66"/>
        <v>107.39446721311475</v>
      </c>
      <c r="G57" s="3351">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1199</v>
      </c>
      <c r="B58" s="1507">
        <v>121</v>
      </c>
      <c r="C58" s="1507">
        <v>122</v>
      </c>
      <c r="D58" s="1507">
        <f t="shared" si="35"/>
        <v>122</v>
      </c>
      <c r="E58" s="1507">
        <v>124</v>
      </c>
      <c r="F58" s="1508">
        <v>107</v>
      </c>
      <c r="G58" s="3349">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1200</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350">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1201</v>
      </c>
      <c r="B60" s="1473">
        <f t="shared" si="69"/>
        <v>116.99099099099099</v>
      </c>
      <c r="C60" s="1473">
        <f t="shared" si="69"/>
        <v>118.84848484848486</v>
      </c>
      <c r="D60" s="1473">
        <f t="shared" si="35"/>
        <v>118.84848484848486</v>
      </c>
      <c r="E60" s="1473">
        <f t="shared" si="70"/>
        <v>117.60960960960961</v>
      </c>
      <c r="F60" s="1473">
        <f t="shared" si="70"/>
        <v>104</v>
      </c>
      <c r="G60" s="3350">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1202</v>
      </c>
      <c r="B61" s="1510">
        <f t="shared" si="69"/>
        <v>112.48648648648648</v>
      </c>
      <c r="C61" s="1510">
        <f t="shared" si="69"/>
        <v>115.21212121212122</v>
      </c>
      <c r="D61" s="1510">
        <f t="shared" si="35"/>
        <v>115.21212121212122</v>
      </c>
      <c r="E61" s="1510">
        <f t="shared" si="70"/>
        <v>110.4024024024024</v>
      </c>
      <c r="F61" s="1510">
        <f t="shared" si="70"/>
        <v>104</v>
      </c>
      <c r="G61" s="3351">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1203</v>
      </c>
      <c r="B62" s="1528">
        <v>111</v>
      </c>
      <c r="C62" s="1528">
        <v>114</v>
      </c>
      <c r="D62" s="1528">
        <f t="shared" si="35"/>
        <v>114</v>
      </c>
      <c r="E62" s="1528">
        <v>108</v>
      </c>
      <c r="F62" s="1529">
        <v>104</v>
      </c>
      <c r="G62" s="3349">
        <v>2003</v>
      </c>
      <c r="H62" s="1518">
        <v>4</v>
      </c>
      <c r="I62" s="1530"/>
      <c r="J62" s="1530"/>
      <c r="K62" s="1530"/>
      <c r="L62" s="1530"/>
      <c r="N62" s="1531"/>
      <c r="O62" s="1530"/>
      <c r="P62" s="1530"/>
      <c r="Q62" s="1530"/>
      <c r="S62" s="1531"/>
      <c r="T62" s="1530"/>
      <c r="U62" s="1530"/>
      <c r="V62" s="1530"/>
      <c r="X62" s="1522"/>
      <c r="Y62" s="1522"/>
      <c r="Z62" s="1522"/>
    </row>
    <row r="63" spans="1:26">
      <c r="A63" s="1457" t="s">
        <v>1204</v>
      </c>
      <c r="B63" s="1532">
        <f t="shared" ref="B63:C65" si="71">B64+(B$62-B$66)/4</f>
        <v>109.75</v>
      </c>
      <c r="C63" s="1532">
        <f t="shared" si="71"/>
        <v>112.25</v>
      </c>
      <c r="D63" s="1532">
        <f t="shared" si="35"/>
        <v>112.25</v>
      </c>
      <c r="E63" s="1532">
        <f t="shared" ref="E63:F65" si="72">E64+(E$62-E$66)/4</f>
        <v>107.25</v>
      </c>
      <c r="F63" s="1532">
        <f t="shared" si="72"/>
        <v>103.5</v>
      </c>
      <c r="G63" s="3350">
        <v>2003</v>
      </c>
      <c r="H63" s="1483">
        <v>3</v>
      </c>
      <c r="I63" s="1530"/>
      <c r="J63" s="1530"/>
      <c r="K63" s="1530"/>
      <c r="L63" s="1530"/>
      <c r="X63" s="1522"/>
      <c r="Y63" s="1522"/>
      <c r="Z63" s="1522"/>
    </row>
    <row r="64" spans="1:26">
      <c r="A64" s="1457" t="s">
        <v>1205</v>
      </c>
      <c r="B64" s="1532">
        <f t="shared" si="71"/>
        <v>108.5</v>
      </c>
      <c r="C64" s="1532">
        <f t="shared" si="71"/>
        <v>110.5</v>
      </c>
      <c r="D64" s="1532">
        <f t="shared" si="35"/>
        <v>110.5</v>
      </c>
      <c r="E64" s="1532">
        <f t="shared" si="72"/>
        <v>106.5</v>
      </c>
      <c r="F64" s="1532">
        <f t="shared" si="72"/>
        <v>103</v>
      </c>
      <c r="G64" s="3350">
        <v>2003</v>
      </c>
      <c r="H64" s="1461">
        <v>2</v>
      </c>
      <c r="I64" s="1530"/>
      <c r="J64" s="1530"/>
      <c r="K64" s="1530"/>
      <c r="L64" s="1530"/>
      <c r="X64" s="1522"/>
      <c r="Y64" s="1522"/>
      <c r="Z64" s="1522"/>
    </row>
    <row r="65" spans="1:26" ht="13.5" thickBot="1">
      <c r="A65" s="1457" t="s">
        <v>1206</v>
      </c>
      <c r="B65" s="1532">
        <f t="shared" si="71"/>
        <v>107.25</v>
      </c>
      <c r="C65" s="1532">
        <f t="shared" si="71"/>
        <v>108.75</v>
      </c>
      <c r="D65" s="1532">
        <f t="shared" si="35"/>
        <v>108.75</v>
      </c>
      <c r="E65" s="1532">
        <f t="shared" si="72"/>
        <v>105.75</v>
      </c>
      <c r="F65" s="1532">
        <f t="shared" si="72"/>
        <v>102.5</v>
      </c>
      <c r="G65" s="3351">
        <v>2003</v>
      </c>
      <c r="H65" s="1533">
        <v>1</v>
      </c>
      <c r="I65" s="1530"/>
      <c r="J65" s="1530"/>
      <c r="K65" s="1530"/>
      <c r="L65" s="1530"/>
      <c r="S65" s="1468"/>
      <c r="T65" s="1469"/>
      <c r="U65" s="1469"/>
      <c r="X65" s="1522"/>
      <c r="Y65" s="1522"/>
      <c r="Z65" s="1522"/>
    </row>
    <row r="66" spans="1:26" ht="13.5" thickBot="1">
      <c r="A66" s="1457" t="s">
        <v>1207</v>
      </c>
      <c r="B66" s="1534">
        <v>106</v>
      </c>
      <c r="C66" s="1534">
        <v>107</v>
      </c>
      <c r="D66" s="1534">
        <f t="shared" si="35"/>
        <v>107</v>
      </c>
      <c r="E66" s="1534">
        <v>105</v>
      </c>
      <c r="F66" s="1535">
        <v>102</v>
      </c>
      <c r="G66" s="3349">
        <v>2002</v>
      </c>
      <c r="H66" s="1478">
        <v>4</v>
      </c>
      <c r="I66" s="1530"/>
      <c r="J66" s="1530"/>
      <c r="K66" s="1530"/>
      <c r="L66" s="1530"/>
      <c r="N66" s="1531"/>
      <c r="O66" s="1530"/>
      <c r="P66" s="1530"/>
      <c r="Q66" s="1530"/>
      <c r="S66" s="1531"/>
      <c r="T66" s="1530"/>
      <c r="U66" s="1530"/>
      <c r="V66" s="1530"/>
      <c r="X66" s="1522"/>
      <c r="Y66" s="1522"/>
      <c r="Z66" s="1522"/>
    </row>
    <row r="67" spans="1:26">
      <c r="A67" s="1457" t="s">
        <v>1208</v>
      </c>
      <c r="B67" s="1532">
        <f t="shared" ref="B67:C69" si="73">B68+(B$66-B$70)/4</f>
        <v>105</v>
      </c>
      <c r="C67" s="1532">
        <f t="shared" si="73"/>
        <v>106</v>
      </c>
      <c r="D67" s="1532">
        <f t="shared" si="35"/>
        <v>106</v>
      </c>
      <c r="E67" s="1532">
        <f t="shared" ref="E67:F69" si="74">E68+(E$66-E$70)/4</f>
        <v>104.5</v>
      </c>
      <c r="F67" s="1532">
        <f t="shared" si="74"/>
        <v>101.5</v>
      </c>
      <c r="G67" s="3350">
        <v>2002</v>
      </c>
      <c r="H67" s="1483">
        <v>3</v>
      </c>
      <c r="I67" s="1530"/>
      <c r="J67" s="1530"/>
      <c r="K67" s="1530"/>
      <c r="L67" s="1530"/>
      <c r="X67" s="1522"/>
      <c r="Y67" s="1522"/>
      <c r="Z67" s="1522"/>
    </row>
    <row r="68" spans="1:26">
      <c r="A68" s="1457" t="s">
        <v>1209</v>
      </c>
      <c r="B68" s="1532">
        <f t="shared" si="73"/>
        <v>104</v>
      </c>
      <c r="C68" s="1532">
        <f t="shared" si="73"/>
        <v>105</v>
      </c>
      <c r="D68" s="1532">
        <f t="shared" si="35"/>
        <v>105</v>
      </c>
      <c r="E68" s="1532">
        <f t="shared" si="74"/>
        <v>104</v>
      </c>
      <c r="F68" s="1532">
        <f t="shared" si="74"/>
        <v>101</v>
      </c>
      <c r="G68" s="3350">
        <v>2002</v>
      </c>
      <c r="H68" s="1461">
        <v>2</v>
      </c>
      <c r="I68" s="1530"/>
      <c r="J68" s="1530"/>
      <c r="K68" s="1530"/>
      <c r="L68" s="1530"/>
      <c r="X68" s="1522"/>
      <c r="Y68" s="1522"/>
      <c r="Z68" s="1522"/>
    </row>
    <row r="69" spans="1:26" s="1494" customFormat="1" ht="13.5" thickBot="1">
      <c r="A69" s="1490" t="s">
        <v>1210</v>
      </c>
      <c r="B69" s="1536">
        <f t="shared" si="73"/>
        <v>103</v>
      </c>
      <c r="C69" s="1536">
        <f t="shared" si="73"/>
        <v>104</v>
      </c>
      <c r="D69" s="1536">
        <f t="shared" si="35"/>
        <v>104</v>
      </c>
      <c r="E69" s="1536">
        <f t="shared" si="74"/>
        <v>103.5</v>
      </c>
      <c r="F69" s="1536">
        <f t="shared" si="74"/>
        <v>100.5</v>
      </c>
      <c r="G69" s="3351">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1211</v>
      </c>
      <c r="G72" s="1546"/>
      <c r="N72" s="1546"/>
      <c r="S72" s="1546"/>
    </row>
    <row r="73" spans="1:26" s="1545" customFormat="1">
      <c r="A73" s="1545" t="s">
        <v>1212</v>
      </c>
      <c r="G73" s="1546"/>
      <c r="N73" s="1546"/>
      <c r="S73" s="1546"/>
    </row>
    <row r="74" spans="1:26" s="1545" customFormat="1">
      <c r="A74" s="1545" t="s">
        <v>1213</v>
      </c>
      <c r="G74" s="1546"/>
      <c r="I74" s="1547"/>
      <c r="J74" s="1547"/>
      <c r="K74" s="1547"/>
      <c r="L74" s="1547"/>
      <c r="N74" s="1548"/>
      <c r="O74" s="1547"/>
      <c r="P74" s="1547"/>
      <c r="Q74" s="1547"/>
      <c r="S74" s="1548"/>
      <c r="T74" s="1547"/>
      <c r="U74" s="1547"/>
      <c r="V74" s="1547"/>
    </row>
    <row r="75" spans="1:26" s="1545" customFormat="1">
      <c r="A75" s="1545" t="s">
        <v>1214</v>
      </c>
      <c r="G75" s="1546"/>
      <c r="N75" s="1546"/>
      <c r="S75" s="1546"/>
    </row>
    <row r="82" spans="7:22" ht="13.5" thickBot="1"/>
    <row r="83" spans="7:22">
      <c r="G83" s="1467"/>
      <c r="S83" s="1549" t="s">
        <v>1215</v>
      </c>
      <c r="T83" s="1550" t="s">
        <v>1216</v>
      </c>
      <c r="U83" s="1550" t="s">
        <v>1217</v>
      </c>
      <c r="V83" s="1550" t="s">
        <v>1218</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0" t="s">
        <v>3005</v>
      </c>
      <c r="C1" s="3358" t="s">
        <v>3006</v>
      </c>
      <c r="D1" s="3359"/>
      <c r="E1" s="3359"/>
      <c r="F1" s="3359"/>
      <c r="G1" s="3359"/>
      <c r="H1" s="3359"/>
      <c r="I1" s="3359"/>
      <c r="J1" s="3359"/>
      <c r="K1" s="3359"/>
      <c r="L1" s="3359"/>
      <c r="M1" s="3359"/>
      <c r="N1" s="3359"/>
      <c r="O1" s="3359"/>
      <c r="P1" s="3359"/>
      <c r="Q1" s="3359"/>
      <c r="R1" s="3359"/>
      <c r="S1" s="3360"/>
      <c r="T1" s="1200" t="s">
        <v>3007</v>
      </c>
    </row>
    <row r="2" spans="1:45" s="706" customFormat="1">
      <c r="A2" s="1201"/>
      <c r="B2" s="702" t="s">
        <v>3008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3"/>
      <c r="B3" s="707"/>
      <c r="C3" s="708"/>
      <c r="D3" s="709"/>
      <c r="E3" s="709"/>
      <c r="F3" s="1700"/>
      <c r="G3" s="1700"/>
      <c r="H3" s="1700"/>
      <c r="I3" s="1700"/>
      <c r="J3" s="1700"/>
      <c r="K3" s="1700"/>
      <c r="L3" s="1701"/>
      <c r="M3" s="1702"/>
      <c r="N3" s="1702"/>
      <c r="O3" s="1700"/>
      <c r="P3" s="1700"/>
      <c r="Q3" s="1700"/>
      <c r="R3" s="1700"/>
      <c r="S3" s="1703"/>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1"/>
      <c r="B5" s="1765" t="s">
        <v>3009</v>
      </c>
      <c r="C5" s="1212"/>
      <c r="D5" s="1213"/>
      <c r="E5" s="1213"/>
      <c r="F5" s="1707"/>
      <c r="G5" s="1707"/>
      <c r="H5" s="1707"/>
      <c r="I5" s="1707"/>
      <c r="J5" s="1707"/>
      <c r="K5" s="1707"/>
      <c r="L5" s="1708"/>
      <c r="M5" s="1709"/>
      <c r="N5" s="1709"/>
      <c r="O5" s="1707"/>
      <c r="P5" s="1707"/>
      <c r="Q5" s="1707"/>
      <c r="R5" s="1707"/>
      <c r="S5" s="1710"/>
      <c r="T5" s="1215"/>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1"/>
      <c r="B7" s="1766" t="s">
        <v>3010</v>
      </c>
      <c r="C7" s="1117"/>
      <c r="D7" s="1111"/>
      <c r="E7" s="1111"/>
      <c r="F7" s="1712"/>
      <c r="G7" s="1712"/>
      <c r="H7" s="1712"/>
      <c r="I7" s="1712"/>
      <c r="J7" s="1712"/>
      <c r="K7" s="1712"/>
      <c r="L7" s="1712"/>
      <c r="M7" s="1713"/>
      <c r="N7" s="1714"/>
      <c r="O7" s="1715"/>
      <c r="P7" s="1716"/>
      <c r="Q7" s="1717"/>
      <c r="R7" s="1718"/>
      <c r="S7" s="1719"/>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1"/>
      <c r="B9" s="1766" t="s">
        <v>3011</v>
      </c>
      <c r="C9" s="1117"/>
      <c r="D9" s="1111"/>
      <c r="E9" s="1111"/>
      <c r="F9" s="1712"/>
      <c r="G9" s="1712"/>
      <c r="H9" s="1712"/>
      <c r="I9" s="1712"/>
      <c r="J9" s="1712"/>
      <c r="K9" s="1712"/>
      <c r="L9" s="1720"/>
      <c r="M9" s="1713"/>
      <c r="N9" s="1714"/>
      <c r="O9" s="1715"/>
      <c r="P9" s="1716"/>
      <c r="Q9" s="1717"/>
      <c r="R9" s="1718"/>
      <c r="S9" s="1719"/>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1"/>
      <c r="B11" s="1765" t="s">
        <v>3012</v>
      </c>
      <c r="C11" s="1212"/>
      <c r="D11" s="1213"/>
      <c r="E11" s="1213"/>
      <c r="F11" s="1213"/>
      <c r="G11" s="1213"/>
      <c r="H11" s="1213"/>
      <c r="I11" s="1213"/>
      <c r="J11" s="1213"/>
      <c r="K11" s="1213"/>
      <c r="L11" s="1213"/>
      <c r="M11" s="1214"/>
      <c r="N11" s="1218"/>
      <c r="O11" s="1219"/>
      <c r="P11" s="1220"/>
      <c r="Q11" s="1221"/>
      <c r="R11" s="1222"/>
      <c r="S11" s="1223"/>
      <c r="T11" s="1215"/>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1"/>
      <c r="B13" s="1765" t="s">
        <v>3013</v>
      </c>
      <c r="C13" s="1212"/>
      <c r="D13" s="1213"/>
      <c r="E13" s="1213"/>
      <c r="F13" s="1213"/>
      <c r="G13" s="1213"/>
      <c r="H13" s="1213"/>
      <c r="I13" s="1213"/>
      <c r="J13" s="1213"/>
      <c r="K13" s="1213"/>
      <c r="L13" s="1213"/>
      <c r="M13" s="1214"/>
      <c r="N13" s="1218"/>
      <c r="O13" s="1219"/>
      <c r="P13" s="1220"/>
      <c r="Q13" s="1221"/>
      <c r="R13" s="1222"/>
      <c r="S13" s="1223"/>
      <c r="T13" s="1224"/>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1"/>
      <c r="B15" s="1765" t="s">
        <v>3014</v>
      </c>
      <c r="C15" s="1212"/>
      <c r="D15" s="1213"/>
      <c r="E15" s="1213"/>
      <c r="F15" s="1213"/>
      <c r="G15" s="1213"/>
      <c r="H15" s="1213"/>
      <c r="I15" s="1213"/>
      <c r="J15" s="1213"/>
      <c r="K15" s="1213"/>
      <c r="L15" s="1213"/>
      <c r="M15" s="1214"/>
      <c r="N15" s="1218"/>
      <c r="O15" s="1219"/>
      <c r="P15" s="1220"/>
      <c r="Q15" s="1221"/>
      <c r="R15" s="1222"/>
      <c r="S15" s="1223"/>
      <c r="T15" s="1224"/>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9" t="s">
        <v>3015</v>
      </c>
      <c r="B17" s="2910" t="s">
        <v>3016</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5"/>
      <c r="AS17" s="795"/>
    </row>
    <row r="18" spans="1:45" s="706"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5"/>
      <c r="AS18" s="795"/>
    </row>
    <row r="19" spans="1:45">
      <c r="A19" s="137"/>
      <c r="B19" s="167"/>
      <c r="C19" s="167"/>
      <c r="D19" s="2911" t="s">
        <v>3017</v>
      </c>
      <c r="E19" s="1788"/>
      <c r="F19" s="1788"/>
      <c r="G19" s="1788"/>
      <c r="H19" s="1276"/>
      <c r="I19" s="167"/>
      <c r="J19" s="167"/>
      <c r="K19" s="167"/>
      <c r="L19" s="167"/>
      <c r="M19" s="167"/>
      <c r="N19" s="167"/>
      <c r="O19" s="167"/>
      <c r="P19" s="167"/>
      <c r="Q19" s="167"/>
      <c r="R19" s="787"/>
      <c r="S19" s="137"/>
    </row>
    <row r="20" spans="1:45" ht="16.5" thickBot="1">
      <c r="A20" s="714" t="s">
        <v>3018</v>
      </c>
      <c r="B20" s="337" t="e">
        <f ca="1">IF(D20="——",S22,S22-F20)</f>
        <v>#REF!</v>
      </c>
      <c r="C20" s="167"/>
      <c r="D20" s="2912" t="s">
        <v>3019</v>
      </c>
      <c r="E20" s="1789"/>
      <c r="F20" s="1200" t="e">
        <f ca="1">SUMIF(INDIRECT("'"&amp;H20&amp;"'"&amp;"!A:A"),"承租人权益价值",INDIRECT("'"&amp;H20&amp;"'"&amp;"!c:c"))</f>
        <v>#REF!</v>
      </c>
      <c r="G20" s="1200" t="s">
        <v>3020</v>
      </c>
      <c r="H20" s="2913"/>
      <c r="I20" s="167"/>
      <c r="J20" s="167"/>
      <c r="K20" s="167"/>
      <c r="L20" s="167"/>
      <c r="M20" s="167"/>
      <c r="N20" s="167"/>
      <c r="O20" s="167"/>
      <c r="P20" s="167"/>
      <c r="Q20" s="167"/>
      <c r="R20" s="787"/>
      <c r="S20" s="137"/>
    </row>
    <row r="21" spans="1:45" ht="15.75">
      <c r="A21" s="714" t="s">
        <v>3021</v>
      </c>
      <c r="B21" s="337">
        <f>R22</f>
        <v>10000</v>
      </c>
      <c r="C21" s="167"/>
      <c r="D21" s="167"/>
      <c r="E21" s="167"/>
      <c r="F21" s="167"/>
      <c r="G21" s="167"/>
      <c r="H21" s="167"/>
      <c r="I21" s="167"/>
      <c r="J21" s="167"/>
      <c r="K21" s="167"/>
      <c r="L21" s="167"/>
      <c r="M21" s="167"/>
      <c r="N21" s="167"/>
      <c r="O21" s="167"/>
      <c r="P21" s="167"/>
      <c r="Q21" s="167"/>
      <c r="R21" s="787"/>
      <c r="S21" s="137"/>
    </row>
    <row r="22" spans="1:45">
      <c r="A22" s="360" t="s">
        <v>3022</v>
      </c>
      <c r="B22" s="23">
        <f>SUM(B24:B10000)</f>
        <v>100</v>
      </c>
      <c r="C22" s="3139" t="s">
        <v>33</v>
      </c>
      <c r="D22" s="3140"/>
      <c r="E22" s="3140"/>
      <c r="F22" s="3140"/>
      <c r="G22" s="3140"/>
      <c r="H22" s="3140"/>
      <c r="I22" s="3140"/>
      <c r="J22" s="3140"/>
      <c r="K22" s="3140"/>
      <c r="L22" s="3140"/>
      <c r="M22" s="3140"/>
      <c r="N22" s="3140"/>
      <c r="O22" s="3140"/>
      <c r="P22" s="3140"/>
      <c r="Q22" s="3357"/>
      <c r="R22" s="715">
        <f>ROUND(S22*10000/B22,0)</f>
        <v>10000</v>
      </c>
      <c r="S22" s="23">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8"/>
  <sheetViews>
    <sheetView tabSelected="1" topLeftCell="B786" workbookViewId="0">
      <selection activeCell="B2" sqref="A2:F823"/>
    </sheetView>
  </sheetViews>
  <sheetFormatPr defaultRowHeight="13.5"/>
  <cols>
    <col min="1" max="1" width="17.25" style="1631" customWidth="1"/>
    <col min="2" max="2" width="17.75" style="1631" customWidth="1"/>
    <col min="3" max="3" width="14.75" style="1631" customWidth="1"/>
    <col min="4" max="4" width="18" style="1631" customWidth="1"/>
    <col min="5" max="16384" width="9" style="1631"/>
  </cols>
  <sheetData>
    <row r="1" spans="1:12">
      <c r="A1" s="3362" t="s">
        <v>3071</v>
      </c>
      <c r="B1" s="3362"/>
      <c r="C1" s="3362"/>
      <c r="D1" s="3362"/>
    </row>
    <row r="2" spans="1:12">
      <c r="A2" s="2938" t="s">
        <v>3072</v>
      </c>
      <c r="B2" s="2938" t="s">
        <v>3073</v>
      </c>
      <c r="C2" s="2938" t="s">
        <v>3074</v>
      </c>
      <c r="D2" s="2938" t="s">
        <v>1375</v>
      </c>
      <c r="E2" s="3382" t="s">
        <v>3582</v>
      </c>
      <c r="F2" s="3382" t="s">
        <v>3583</v>
      </c>
    </row>
    <row r="3" spans="1:12" s="2966" customFormat="1">
      <c r="A3" s="3375" t="s">
        <v>3075</v>
      </c>
      <c r="B3" s="2965">
        <v>101</v>
      </c>
      <c r="C3" s="2941">
        <v>25.95</v>
      </c>
      <c r="D3" s="2960" t="s">
        <v>27</v>
      </c>
      <c r="E3" s="3383">
        <f ca="1">'结果表（办公）'!G20</f>
        <v>43657</v>
      </c>
      <c r="F3" s="3383">
        <f ca="1">ROUND(C3*E3/10000,0)</f>
        <v>113</v>
      </c>
      <c r="I3" s="2967" t="s">
        <v>3323</v>
      </c>
      <c r="J3" s="2967" t="s">
        <v>3324</v>
      </c>
      <c r="K3" s="2967" t="s">
        <v>3325</v>
      </c>
      <c r="L3" s="2967" t="s">
        <v>3321</v>
      </c>
    </row>
    <row r="4" spans="1:12">
      <c r="A4" s="3376"/>
      <c r="B4" s="2940">
        <v>102</v>
      </c>
      <c r="C4" s="2941">
        <v>41.24</v>
      </c>
      <c r="D4" s="2939" t="s">
        <v>27</v>
      </c>
      <c r="E4" s="3384">
        <f ca="1">E3</f>
        <v>43657</v>
      </c>
      <c r="F4" s="3383">
        <f t="shared" ref="F4:F25" ca="1" si="0">ROUND(C4*E4/10000,0)</f>
        <v>180</v>
      </c>
      <c r="H4" s="2968" t="s">
        <v>3322</v>
      </c>
      <c r="I4" s="1631">
        <f>C26+C68+C97+C373+C416+C478+C534+C579</f>
        <v>36555.58</v>
      </c>
      <c r="J4" s="1631">
        <f>C115+C670+C769+C583</f>
        <v>3150.28</v>
      </c>
      <c r="K4" s="1631">
        <f>C298+C665+C764+C822</f>
        <v>8479.4599999999919</v>
      </c>
      <c r="L4" s="1631">
        <v>408</v>
      </c>
    </row>
    <row r="5" spans="1:12">
      <c r="A5" s="3376"/>
      <c r="B5" s="2939">
        <v>103</v>
      </c>
      <c r="C5" s="2941">
        <v>84.2</v>
      </c>
      <c r="D5" s="2939" t="s">
        <v>27</v>
      </c>
      <c r="E5" s="3384">
        <f t="shared" ref="E5:E25" ca="1" si="1">E4</f>
        <v>43657</v>
      </c>
      <c r="F5" s="3383">
        <f t="shared" ca="1" si="0"/>
        <v>368</v>
      </c>
    </row>
    <row r="6" spans="1:12">
      <c r="A6" s="3376"/>
      <c r="B6" s="2939">
        <v>104</v>
      </c>
      <c r="C6" s="2941">
        <v>46.99</v>
      </c>
      <c r="D6" s="2939" t="s">
        <v>27</v>
      </c>
      <c r="E6" s="3384">
        <f t="shared" ca="1" si="1"/>
        <v>43657</v>
      </c>
      <c r="F6" s="3383">
        <f t="shared" ca="1" si="0"/>
        <v>205</v>
      </c>
    </row>
    <row r="7" spans="1:12">
      <c r="A7" s="3376"/>
      <c r="B7" s="2939">
        <v>105</v>
      </c>
      <c r="C7" s="2941">
        <v>46.99</v>
      </c>
      <c r="D7" s="2939" t="s">
        <v>27</v>
      </c>
      <c r="E7" s="3384">
        <f t="shared" ca="1" si="1"/>
        <v>43657</v>
      </c>
      <c r="F7" s="3383">
        <f t="shared" ca="1" si="0"/>
        <v>205</v>
      </c>
      <c r="I7" s="2968" t="s">
        <v>3578</v>
      </c>
      <c r="J7" s="2968" t="s">
        <v>3579</v>
      </c>
      <c r="L7" s="2968"/>
    </row>
    <row r="8" spans="1:12">
      <c r="A8" s="3376"/>
      <c r="B8" s="2939">
        <v>106</v>
      </c>
      <c r="C8" s="2941">
        <v>47.07</v>
      </c>
      <c r="D8" s="2939" t="s">
        <v>27</v>
      </c>
      <c r="E8" s="3384">
        <f t="shared" ca="1" si="1"/>
        <v>43657</v>
      </c>
      <c r="F8" s="3383">
        <f t="shared" ca="1" si="0"/>
        <v>205</v>
      </c>
      <c r="I8" s="1631">
        <f>K4-J8</f>
        <v>6766.8499999999913</v>
      </c>
      <c r="J8" s="1631">
        <f>F828</f>
        <v>1712.6100000000001</v>
      </c>
    </row>
    <row r="9" spans="1:12">
      <c r="A9" s="3376"/>
      <c r="B9" s="2939">
        <v>107</v>
      </c>
      <c r="C9" s="2941">
        <v>59.02</v>
      </c>
      <c r="D9" s="2939" t="s">
        <v>27</v>
      </c>
      <c r="E9" s="3384">
        <f t="shared" ca="1" si="1"/>
        <v>43657</v>
      </c>
      <c r="F9" s="3383">
        <f t="shared" ca="1" si="0"/>
        <v>258</v>
      </c>
      <c r="H9" s="2968" t="s">
        <v>3580</v>
      </c>
      <c r="I9" s="1631">
        <v>1.5</v>
      </c>
      <c r="J9" s="1631">
        <f>ROUND(I9*1.5,1)</f>
        <v>2.2999999999999998</v>
      </c>
    </row>
    <row r="10" spans="1:12">
      <c r="A10" s="3376"/>
      <c r="B10" s="2939">
        <v>108</v>
      </c>
      <c r="C10" s="2941">
        <v>58.94</v>
      </c>
      <c r="D10" s="2939" t="s">
        <v>27</v>
      </c>
      <c r="E10" s="3384">
        <f t="shared" ca="1" si="1"/>
        <v>43657</v>
      </c>
      <c r="F10" s="3383">
        <f t="shared" ca="1" si="0"/>
        <v>257</v>
      </c>
    </row>
    <row r="11" spans="1:12">
      <c r="A11" s="3376"/>
      <c r="B11" s="2939">
        <v>109</v>
      </c>
      <c r="C11" s="2941">
        <v>58.94</v>
      </c>
      <c r="D11" s="2939" t="s">
        <v>27</v>
      </c>
      <c r="E11" s="3384">
        <f t="shared" ca="1" si="1"/>
        <v>43657</v>
      </c>
      <c r="F11" s="3383">
        <f t="shared" ca="1" si="0"/>
        <v>257</v>
      </c>
      <c r="I11" s="1631">
        <f>ROUND((I8*I9+J8*J9)/K4,1)</f>
        <v>1.7</v>
      </c>
    </row>
    <row r="12" spans="1:12">
      <c r="A12" s="3376"/>
      <c r="B12" s="2939">
        <v>110</v>
      </c>
      <c r="C12" s="2941">
        <v>92.53</v>
      </c>
      <c r="D12" s="2939" t="s">
        <v>27</v>
      </c>
      <c r="E12" s="3384">
        <f t="shared" ca="1" si="1"/>
        <v>43657</v>
      </c>
      <c r="F12" s="3383">
        <f t="shared" ca="1" si="0"/>
        <v>404</v>
      </c>
    </row>
    <row r="13" spans="1:12">
      <c r="A13" s="3376"/>
      <c r="B13" s="2939">
        <v>111</v>
      </c>
      <c r="C13" s="2941">
        <v>41.18</v>
      </c>
      <c r="D13" s="2939" t="s">
        <v>27</v>
      </c>
      <c r="E13" s="3384">
        <f t="shared" ca="1" si="1"/>
        <v>43657</v>
      </c>
      <c r="F13" s="3383">
        <f t="shared" ca="1" si="0"/>
        <v>180</v>
      </c>
    </row>
    <row r="14" spans="1:12">
      <c r="A14" s="3376"/>
      <c r="B14" s="2939">
        <v>112</v>
      </c>
      <c r="C14" s="2941">
        <v>40.869999999999997</v>
      </c>
      <c r="D14" s="2939" t="s">
        <v>27</v>
      </c>
      <c r="E14" s="3384">
        <f t="shared" ca="1" si="1"/>
        <v>43657</v>
      </c>
      <c r="F14" s="3383">
        <f t="shared" ca="1" si="0"/>
        <v>178</v>
      </c>
    </row>
    <row r="15" spans="1:12">
      <c r="A15" s="3376"/>
      <c r="B15" s="2939">
        <v>113</v>
      </c>
      <c r="C15" s="2941">
        <v>40.869999999999997</v>
      </c>
      <c r="D15" s="2939" t="s">
        <v>27</v>
      </c>
      <c r="E15" s="3384">
        <f t="shared" ca="1" si="1"/>
        <v>43657</v>
      </c>
      <c r="F15" s="3383">
        <f t="shared" ca="1" si="0"/>
        <v>178</v>
      </c>
    </row>
    <row r="16" spans="1:12">
      <c r="A16" s="3376"/>
      <c r="B16" s="2939">
        <v>114</v>
      </c>
      <c r="C16" s="2941">
        <v>41.18</v>
      </c>
      <c r="D16" s="2939" t="s">
        <v>27</v>
      </c>
      <c r="E16" s="3384">
        <f t="shared" ca="1" si="1"/>
        <v>43657</v>
      </c>
      <c r="F16" s="3383">
        <f t="shared" ca="1" si="0"/>
        <v>180</v>
      </c>
    </row>
    <row r="17" spans="1:14">
      <c r="A17" s="3376"/>
      <c r="B17" s="2939">
        <v>115</v>
      </c>
      <c r="C17" s="2941">
        <v>25.95</v>
      </c>
      <c r="D17" s="2939" t="s">
        <v>27</v>
      </c>
      <c r="E17" s="3384">
        <f t="shared" ca="1" si="1"/>
        <v>43657</v>
      </c>
      <c r="F17" s="3383">
        <f t="shared" ca="1" si="0"/>
        <v>113</v>
      </c>
    </row>
    <row r="18" spans="1:14">
      <c r="A18" s="3376"/>
      <c r="B18" s="2939">
        <v>212</v>
      </c>
      <c r="C18" s="2941">
        <v>91.58</v>
      </c>
      <c r="D18" s="2939" t="s">
        <v>27</v>
      </c>
      <c r="E18" s="3384">
        <f t="shared" ca="1" si="1"/>
        <v>43657</v>
      </c>
      <c r="F18" s="3383">
        <f t="shared" ca="1" si="0"/>
        <v>400</v>
      </c>
    </row>
    <row r="19" spans="1:14">
      <c r="A19" s="3376"/>
      <c r="B19" s="2939">
        <v>214</v>
      </c>
      <c r="C19" s="2941">
        <v>52.79</v>
      </c>
      <c r="D19" s="2939" t="s">
        <v>27</v>
      </c>
      <c r="E19" s="3384">
        <f t="shared" ca="1" si="1"/>
        <v>43657</v>
      </c>
      <c r="F19" s="3383">
        <f t="shared" ca="1" si="0"/>
        <v>230</v>
      </c>
    </row>
    <row r="20" spans="1:14">
      <c r="A20" s="3376"/>
      <c r="B20" s="2939">
        <v>312</v>
      </c>
      <c r="C20" s="2941">
        <v>91.58</v>
      </c>
      <c r="D20" s="2939" t="s">
        <v>27</v>
      </c>
      <c r="E20" s="3384">
        <f t="shared" ca="1" si="1"/>
        <v>43657</v>
      </c>
      <c r="F20" s="3383">
        <f t="shared" ca="1" si="0"/>
        <v>400</v>
      </c>
    </row>
    <row r="21" spans="1:14">
      <c r="A21" s="3376"/>
      <c r="B21" s="2939">
        <v>503</v>
      </c>
      <c r="C21" s="2941">
        <v>84.01</v>
      </c>
      <c r="D21" s="2939" t="s">
        <v>27</v>
      </c>
      <c r="E21" s="3384">
        <f t="shared" ca="1" si="1"/>
        <v>43657</v>
      </c>
      <c r="F21" s="3383">
        <f t="shared" ca="1" si="0"/>
        <v>367</v>
      </c>
    </row>
    <row r="22" spans="1:14">
      <c r="A22" s="3376"/>
      <c r="B22" s="2939">
        <v>510</v>
      </c>
      <c r="C22" s="2941">
        <v>58.57</v>
      </c>
      <c r="D22" s="2939" t="s">
        <v>27</v>
      </c>
      <c r="E22" s="3384">
        <f t="shared" ca="1" si="1"/>
        <v>43657</v>
      </c>
      <c r="F22" s="3383">
        <f t="shared" ca="1" si="0"/>
        <v>256</v>
      </c>
    </row>
    <row r="23" spans="1:14">
      <c r="A23" s="3376"/>
      <c r="B23" s="2939">
        <v>1206</v>
      </c>
      <c r="C23" s="2941">
        <v>46.81</v>
      </c>
      <c r="D23" s="2939" t="s">
        <v>27</v>
      </c>
      <c r="E23" s="3384">
        <f t="shared" ca="1" si="1"/>
        <v>43657</v>
      </c>
      <c r="F23" s="3383">
        <f t="shared" ca="1" si="0"/>
        <v>204</v>
      </c>
      <c r="J23" s="2968"/>
    </row>
    <row r="24" spans="1:14">
      <c r="A24" s="3376"/>
      <c r="B24" s="2939">
        <v>1405</v>
      </c>
      <c r="C24" s="2941">
        <v>46.81</v>
      </c>
      <c r="D24" s="2939" t="s">
        <v>27</v>
      </c>
      <c r="E24" s="3384">
        <f t="shared" ca="1" si="1"/>
        <v>43657</v>
      </c>
      <c r="F24" s="3383">
        <f t="shared" ca="1" si="0"/>
        <v>204</v>
      </c>
      <c r="L24" s="2968" t="s">
        <v>3588</v>
      </c>
      <c r="M24" s="2968" t="s">
        <v>3589</v>
      </c>
      <c r="N24" s="2968" t="s">
        <v>3590</v>
      </c>
    </row>
    <row r="25" spans="1:14">
      <c r="A25" s="3377"/>
      <c r="B25" s="2939">
        <v>1417</v>
      </c>
      <c r="C25" s="2941">
        <v>33.619999999999997</v>
      </c>
      <c r="D25" s="2939" t="s">
        <v>27</v>
      </c>
      <c r="E25" s="3384">
        <f t="shared" ca="1" si="1"/>
        <v>43657</v>
      </c>
      <c r="F25" s="3383">
        <f t="shared" ca="1" si="0"/>
        <v>147</v>
      </c>
      <c r="K25" s="2968" t="s">
        <v>3587</v>
      </c>
      <c r="L25" s="1631">
        <f ca="1">F26+F68+F97+F373+F416+F478+F534+F579-F578</f>
        <v>159335</v>
      </c>
      <c r="M25" s="1631">
        <f ca="1">F115+F583+F670+F769-F768</f>
        <v>4516</v>
      </c>
      <c r="N25" s="1631">
        <f ca="1">F298+F665+F764+F822-F821</f>
        <v>6981</v>
      </c>
    </row>
    <row r="26" spans="1:14">
      <c r="A26" s="3363" t="s">
        <v>40</v>
      </c>
      <c r="B26" s="3364"/>
      <c r="C26" s="2942">
        <f>SUM(C3:C25)</f>
        <v>1257.6899999999998</v>
      </c>
      <c r="D26" s="2942" t="s">
        <v>27</v>
      </c>
      <c r="E26" s="3385" t="s">
        <v>3584</v>
      </c>
      <c r="F26" s="3383">
        <f ca="1">SUM(F3:F25)</f>
        <v>5489</v>
      </c>
    </row>
    <row r="27" spans="1:14">
      <c r="A27" s="3378" t="s">
        <v>3076</v>
      </c>
      <c r="B27" s="2939">
        <v>102</v>
      </c>
      <c r="C27" s="2941">
        <v>191.5</v>
      </c>
      <c r="D27" s="2939" t="s">
        <v>27</v>
      </c>
      <c r="E27" s="3385">
        <f ca="1">E3</f>
        <v>43657</v>
      </c>
      <c r="F27" s="3383">
        <f ca="1">ROUND(C27*E27/10000,0)</f>
        <v>836</v>
      </c>
    </row>
    <row r="28" spans="1:14">
      <c r="A28" s="3376"/>
      <c r="B28" s="2939">
        <v>103</v>
      </c>
      <c r="C28" s="2941">
        <v>116.55</v>
      </c>
      <c r="D28" s="2939" t="s">
        <v>27</v>
      </c>
      <c r="E28" s="3385">
        <f ca="1">E27</f>
        <v>43657</v>
      </c>
      <c r="F28" s="3383">
        <f t="shared" ref="F28:F91" ca="1" si="2">ROUND(C28*E28/10000,0)</f>
        <v>509</v>
      </c>
      <c r="J28" s="2968" t="s">
        <v>3592</v>
      </c>
    </row>
    <row r="29" spans="1:14">
      <c r="A29" s="3376"/>
      <c r="B29" s="2939">
        <v>104</v>
      </c>
      <c r="C29" s="2941">
        <v>117.12</v>
      </c>
      <c r="D29" s="2939" t="s">
        <v>27</v>
      </c>
      <c r="E29" s="3385">
        <f t="shared" ref="E29:E67" ca="1" si="3">E28</f>
        <v>43657</v>
      </c>
      <c r="F29" s="3383">
        <f t="shared" ca="1" si="2"/>
        <v>511</v>
      </c>
      <c r="K29" s="3386"/>
      <c r="L29" s="3386" t="s">
        <v>27</v>
      </c>
      <c r="M29" s="3386" t="s">
        <v>1377</v>
      </c>
      <c r="N29" s="3386" t="s">
        <v>3070</v>
      </c>
    </row>
    <row r="30" spans="1:14">
      <c r="A30" s="3376"/>
      <c r="B30" s="2939">
        <v>105</v>
      </c>
      <c r="C30" s="2941">
        <v>117.12</v>
      </c>
      <c r="D30" s="2939" t="s">
        <v>27</v>
      </c>
      <c r="E30" s="3385">
        <f t="shared" ca="1" si="3"/>
        <v>43657</v>
      </c>
      <c r="F30" s="3383">
        <f t="shared" ca="1" si="2"/>
        <v>511</v>
      </c>
      <c r="K30" s="3386" t="s">
        <v>3586</v>
      </c>
      <c r="L30" s="3386">
        <v>159335</v>
      </c>
      <c r="M30" s="3386">
        <v>4516</v>
      </c>
      <c r="N30" s="3386">
        <v>6981</v>
      </c>
    </row>
    <row r="31" spans="1:14">
      <c r="A31" s="3376"/>
      <c r="B31" s="2939">
        <v>106</v>
      </c>
      <c r="C31" s="2941">
        <v>117.12</v>
      </c>
      <c r="D31" s="2939" t="s">
        <v>27</v>
      </c>
      <c r="E31" s="3385">
        <f t="shared" ca="1" si="3"/>
        <v>43657</v>
      </c>
      <c r="F31" s="3383">
        <f t="shared" ca="1" si="2"/>
        <v>511</v>
      </c>
    </row>
    <row r="32" spans="1:14">
      <c r="A32" s="3376"/>
      <c r="B32" s="2939">
        <v>107</v>
      </c>
      <c r="C32" s="2941">
        <v>128.72999999999999</v>
      </c>
      <c r="D32" s="2939" t="s">
        <v>27</v>
      </c>
      <c r="E32" s="3385">
        <f t="shared" ca="1" si="3"/>
        <v>43657</v>
      </c>
      <c r="F32" s="3383">
        <f t="shared" ca="1" si="2"/>
        <v>562</v>
      </c>
    </row>
    <row r="33" spans="1:14">
      <c r="A33" s="3376"/>
      <c r="B33" s="2939">
        <v>201</v>
      </c>
      <c r="C33" s="2941">
        <v>46.13</v>
      </c>
      <c r="D33" s="2939" t="s">
        <v>27</v>
      </c>
      <c r="E33" s="3385">
        <f t="shared" ca="1" si="3"/>
        <v>43657</v>
      </c>
      <c r="F33" s="3383">
        <f t="shared" ca="1" si="2"/>
        <v>201</v>
      </c>
      <c r="J33" s="2968" t="s">
        <v>3591</v>
      </c>
    </row>
    <row r="34" spans="1:14">
      <c r="A34" s="3376"/>
      <c r="B34" s="2939">
        <v>202</v>
      </c>
      <c r="C34" s="2941">
        <v>57.78</v>
      </c>
      <c r="D34" s="2939" t="s">
        <v>27</v>
      </c>
      <c r="E34" s="3385">
        <f t="shared" ca="1" si="3"/>
        <v>43657</v>
      </c>
      <c r="F34" s="3383">
        <f t="shared" ca="1" si="2"/>
        <v>252</v>
      </c>
      <c r="K34" s="3386"/>
      <c r="L34" s="3386" t="s">
        <v>27</v>
      </c>
      <c r="M34" s="3386" t="s">
        <v>1377</v>
      </c>
      <c r="N34" s="3386" t="s">
        <v>3070</v>
      </c>
    </row>
    <row r="35" spans="1:14">
      <c r="A35" s="3376"/>
      <c r="B35" s="2939">
        <v>203</v>
      </c>
      <c r="C35" s="2941">
        <v>57.78</v>
      </c>
      <c r="D35" s="2939" t="s">
        <v>27</v>
      </c>
      <c r="E35" s="3385">
        <f t="shared" ca="1" si="3"/>
        <v>43657</v>
      </c>
      <c r="F35" s="3383">
        <f t="shared" ca="1" si="2"/>
        <v>252</v>
      </c>
      <c r="K35" s="3386" t="s">
        <v>3586</v>
      </c>
      <c r="L35" s="3386">
        <f ca="1">'结果表（办公）'!G19</f>
        <v>159589</v>
      </c>
      <c r="M35" s="3386">
        <f ca="1">'结果表（商业）'!G19</f>
        <v>4824</v>
      </c>
      <c r="N35" s="3386">
        <f ca="1">'结果表（地下车库）'!G19</f>
        <v>7124</v>
      </c>
    </row>
    <row r="36" spans="1:14">
      <c r="A36" s="3376"/>
      <c r="B36" s="2939">
        <v>204</v>
      </c>
      <c r="C36" s="2941">
        <v>46.12</v>
      </c>
      <c r="D36" s="2939" t="s">
        <v>27</v>
      </c>
      <c r="E36" s="3385">
        <f t="shared" ca="1" si="3"/>
        <v>43657</v>
      </c>
      <c r="F36" s="3383">
        <f t="shared" ca="1" si="2"/>
        <v>201</v>
      </c>
    </row>
    <row r="37" spans="1:14">
      <c r="A37" s="3376"/>
      <c r="B37" s="2939">
        <v>301</v>
      </c>
      <c r="C37" s="2941">
        <v>92.92</v>
      </c>
      <c r="D37" s="2939" t="s">
        <v>27</v>
      </c>
      <c r="E37" s="3385">
        <f t="shared" ca="1" si="3"/>
        <v>43657</v>
      </c>
      <c r="F37" s="3383">
        <f t="shared" ca="1" si="2"/>
        <v>406</v>
      </c>
    </row>
    <row r="38" spans="1:14">
      <c r="A38" s="3376"/>
      <c r="B38" s="2939">
        <v>304</v>
      </c>
      <c r="C38" s="2941">
        <v>116.34</v>
      </c>
      <c r="D38" s="2939" t="s">
        <v>27</v>
      </c>
      <c r="E38" s="3385">
        <f t="shared" ca="1" si="3"/>
        <v>43657</v>
      </c>
      <c r="F38" s="3383">
        <f t="shared" ca="1" si="2"/>
        <v>508</v>
      </c>
    </row>
    <row r="39" spans="1:14">
      <c r="A39" s="3376"/>
      <c r="B39" s="2939">
        <v>305</v>
      </c>
      <c r="C39" s="2941">
        <v>116.34</v>
      </c>
      <c r="D39" s="2939" t="s">
        <v>27</v>
      </c>
      <c r="E39" s="3385">
        <f t="shared" ca="1" si="3"/>
        <v>43657</v>
      </c>
      <c r="F39" s="3383">
        <f t="shared" ca="1" si="2"/>
        <v>508</v>
      </c>
    </row>
    <row r="40" spans="1:14">
      <c r="A40" s="3376"/>
      <c r="B40" s="2939">
        <v>306</v>
      </c>
      <c r="C40" s="2941">
        <v>116.34</v>
      </c>
      <c r="D40" s="2939" t="s">
        <v>27</v>
      </c>
      <c r="E40" s="3385">
        <f t="shared" ca="1" si="3"/>
        <v>43657</v>
      </c>
      <c r="F40" s="3383">
        <f t="shared" ca="1" si="2"/>
        <v>508</v>
      </c>
    </row>
    <row r="41" spans="1:14">
      <c r="A41" s="3376"/>
      <c r="B41" s="2939">
        <v>307</v>
      </c>
      <c r="C41" s="2941">
        <v>116.34</v>
      </c>
      <c r="D41" s="2939" t="s">
        <v>27</v>
      </c>
      <c r="E41" s="3385">
        <f t="shared" ca="1" si="3"/>
        <v>43657</v>
      </c>
      <c r="F41" s="3383">
        <f t="shared" ca="1" si="2"/>
        <v>508</v>
      </c>
    </row>
    <row r="42" spans="1:14">
      <c r="A42" s="3376"/>
      <c r="B42" s="2939">
        <v>308</v>
      </c>
      <c r="C42" s="2941">
        <v>116.34</v>
      </c>
      <c r="D42" s="2939" t="s">
        <v>27</v>
      </c>
      <c r="E42" s="3385">
        <f t="shared" ca="1" si="3"/>
        <v>43657</v>
      </c>
      <c r="F42" s="3383">
        <f t="shared" ca="1" si="2"/>
        <v>508</v>
      </c>
    </row>
    <row r="43" spans="1:14">
      <c r="A43" s="3376"/>
      <c r="B43" s="2939">
        <v>311</v>
      </c>
      <c r="C43" s="2941">
        <v>93.24</v>
      </c>
      <c r="D43" s="2939" t="s">
        <v>27</v>
      </c>
      <c r="E43" s="3385">
        <f t="shared" ca="1" si="3"/>
        <v>43657</v>
      </c>
      <c r="F43" s="3383">
        <f t="shared" ca="1" si="2"/>
        <v>407</v>
      </c>
    </row>
    <row r="44" spans="1:14">
      <c r="A44" s="3376"/>
      <c r="B44" s="2939">
        <v>312</v>
      </c>
      <c r="C44" s="2941">
        <v>93.24</v>
      </c>
      <c r="D44" s="2939" t="s">
        <v>27</v>
      </c>
      <c r="E44" s="3385">
        <f t="shared" ca="1" si="3"/>
        <v>43657</v>
      </c>
      <c r="F44" s="3383">
        <f t="shared" ca="1" si="2"/>
        <v>407</v>
      </c>
    </row>
    <row r="45" spans="1:14">
      <c r="A45" s="3376"/>
      <c r="B45" s="2939">
        <v>501</v>
      </c>
      <c r="C45" s="2941">
        <v>94.12</v>
      </c>
      <c r="D45" s="2939" t="s">
        <v>27</v>
      </c>
      <c r="E45" s="3385">
        <f t="shared" ca="1" si="3"/>
        <v>43657</v>
      </c>
      <c r="F45" s="3383">
        <f t="shared" ca="1" si="2"/>
        <v>411</v>
      </c>
    </row>
    <row r="46" spans="1:14">
      <c r="A46" s="3376"/>
      <c r="B46" s="2939">
        <v>503</v>
      </c>
      <c r="C46" s="2941">
        <v>117.07</v>
      </c>
      <c r="D46" s="2939" t="s">
        <v>27</v>
      </c>
      <c r="E46" s="3385">
        <f t="shared" ca="1" si="3"/>
        <v>43657</v>
      </c>
      <c r="F46" s="3383">
        <f t="shared" ca="1" si="2"/>
        <v>511</v>
      </c>
    </row>
    <row r="47" spans="1:14">
      <c r="A47" s="3376"/>
      <c r="B47" s="2939">
        <v>505</v>
      </c>
      <c r="C47" s="2941">
        <v>117.18</v>
      </c>
      <c r="D47" s="2939" t="s">
        <v>27</v>
      </c>
      <c r="E47" s="3385">
        <f t="shared" ca="1" si="3"/>
        <v>43657</v>
      </c>
      <c r="F47" s="3383">
        <f t="shared" ca="1" si="2"/>
        <v>512</v>
      </c>
    </row>
    <row r="48" spans="1:14">
      <c r="A48" s="3376"/>
      <c r="B48" s="2939">
        <v>507</v>
      </c>
      <c r="C48" s="2941">
        <v>117.18</v>
      </c>
      <c r="D48" s="2939" t="s">
        <v>27</v>
      </c>
      <c r="E48" s="3385">
        <f t="shared" ca="1" si="3"/>
        <v>43657</v>
      </c>
      <c r="F48" s="3383">
        <f t="shared" ca="1" si="2"/>
        <v>512</v>
      </c>
    </row>
    <row r="49" spans="1:6">
      <c r="A49" s="3376"/>
      <c r="B49" s="2939">
        <v>508</v>
      </c>
      <c r="C49" s="2941">
        <v>117.18</v>
      </c>
      <c r="D49" s="2939" t="s">
        <v>27</v>
      </c>
      <c r="E49" s="3385">
        <f t="shared" ca="1" si="3"/>
        <v>43657</v>
      </c>
      <c r="F49" s="3383">
        <f t="shared" ca="1" si="2"/>
        <v>512</v>
      </c>
    </row>
    <row r="50" spans="1:6">
      <c r="A50" s="3376"/>
      <c r="B50" s="2939">
        <v>511</v>
      </c>
      <c r="C50" s="2941">
        <v>94.04</v>
      </c>
      <c r="D50" s="2939" t="s">
        <v>27</v>
      </c>
      <c r="E50" s="3385">
        <f t="shared" ca="1" si="3"/>
        <v>43657</v>
      </c>
      <c r="F50" s="3383">
        <f t="shared" ca="1" si="2"/>
        <v>411</v>
      </c>
    </row>
    <row r="51" spans="1:6">
      <c r="A51" s="3376"/>
      <c r="B51" s="2939">
        <v>512</v>
      </c>
      <c r="C51" s="2941">
        <v>94.02</v>
      </c>
      <c r="D51" s="2939" t="s">
        <v>27</v>
      </c>
      <c r="E51" s="3385">
        <f t="shared" ca="1" si="3"/>
        <v>43657</v>
      </c>
      <c r="F51" s="3383">
        <f t="shared" ca="1" si="2"/>
        <v>410</v>
      </c>
    </row>
    <row r="52" spans="1:6">
      <c r="A52" s="3376"/>
      <c r="B52" s="2939">
        <v>701</v>
      </c>
      <c r="C52" s="2941">
        <v>94.12</v>
      </c>
      <c r="D52" s="2939" t="s">
        <v>27</v>
      </c>
      <c r="E52" s="3385">
        <f t="shared" ca="1" si="3"/>
        <v>43657</v>
      </c>
      <c r="F52" s="3383">
        <f t="shared" ca="1" si="2"/>
        <v>411</v>
      </c>
    </row>
    <row r="53" spans="1:6">
      <c r="A53" s="3376"/>
      <c r="B53" s="2939">
        <v>706</v>
      </c>
      <c r="C53" s="2941">
        <v>117.18</v>
      </c>
      <c r="D53" s="2939" t="s">
        <v>27</v>
      </c>
      <c r="E53" s="3385">
        <f t="shared" ca="1" si="3"/>
        <v>43657</v>
      </c>
      <c r="F53" s="3383">
        <f t="shared" ca="1" si="2"/>
        <v>512</v>
      </c>
    </row>
    <row r="54" spans="1:6">
      <c r="A54" s="3376"/>
      <c r="B54" s="2939">
        <v>707</v>
      </c>
      <c r="C54" s="2941">
        <v>117.18</v>
      </c>
      <c r="D54" s="2939" t="s">
        <v>27</v>
      </c>
      <c r="E54" s="3385">
        <f t="shared" ca="1" si="3"/>
        <v>43657</v>
      </c>
      <c r="F54" s="3383">
        <f t="shared" ca="1" si="2"/>
        <v>512</v>
      </c>
    </row>
    <row r="55" spans="1:6">
      <c r="A55" s="3376"/>
      <c r="B55" s="2939">
        <v>708</v>
      </c>
      <c r="C55" s="2941">
        <v>117.18</v>
      </c>
      <c r="D55" s="2939" t="s">
        <v>27</v>
      </c>
      <c r="E55" s="3385">
        <f t="shared" ca="1" si="3"/>
        <v>43657</v>
      </c>
      <c r="F55" s="3383">
        <f t="shared" ca="1" si="2"/>
        <v>512</v>
      </c>
    </row>
    <row r="56" spans="1:6">
      <c r="A56" s="3376"/>
      <c r="B56" s="2939">
        <v>711</v>
      </c>
      <c r="C56" s="2941">
        <v>94.04</v>
      </c>
      <c r="D56" s="2939" t="s">
        <v>27</v>
      </c>
      <c r="E56" s="3385">
        <f t="shared" ca="1" si="3"/>
        <v>43657</v>
      </c>
      <c r="F56" s="3383">
        <f t="shared" ca="1" si="2"/>
        <v>411</v>
      </c>
    </row>
    <row r="57" spans="1:6">
      <c r="A57" s="3376"/>
      <c r="B57" s="2939">
        <v>902</v>
      </c>
      <c r="C57" s="2941">
        <v>190.76</v>
      </c>
      <c r="D57" s="2939" t="s">
        <v>27</v>
      </c>
      <c r="E57" s="3385">
        <f t="shared" ca="1" si="3"/>
        <v>43657</v>
      </c>
      <c r="F57" s="3383">
        <f t="shared" ca="1" si="2"/>
        <v>833</v>
      </c>
    </row>
    <row r="58" spans="1:6">
      <c r="A58" s="3376"/>
      <c r="B58" s="2939">
        <v>908</v>
      </c>
      <c r="C58" s="2941">
        <v>117.18</v>
      </c>
      <c r="D58" s="2939" t="s">
        <v>27</v>
      </c>
      <c r="E58" s="3385">
        <f t="shared" ca="1" si="3"/>
        <v>43657</v>
      </c>
      <c r="F58" s="3383">
        <f t="shared" ca="1" si="2"/>
        <v>512</v>
      </c>
    </row>
    <row r="59" spans="1:6">
      <c r="A59" s="3376"/>
      <c r="B59" s="2939">
        <v>910</v>
      </c>
      <c r="C59" s="2941">
        <v>94.12</v>
      </c>
      <c r="D59" s="2939" t="s">
        <v>27</v>
      </c>
      <c r="E59" s="3385">
        <f t="shared" ca="1" si="3"/>
        <v>43657</v>
      </c>
      <c r="F59" s="3383">
        <f t="shared" ca="1" si="2"/>
        <v>411</v>
      </c>
    </row>
    <row r="60" spans="1:6">
      <c r="A60" s="3376"/>
      <c r="B60" s="2939">
        <v>911</v>
      </c>
      <c r="C60" s="2941">
        <v>94.04</v>
      </c>
      <c r="D60" s="2939" t="s">
        <v>27</v>
      </c>
      <c r="E60" s="3385">
        <f t="shared" ca="1" si="3"/>
        <v>43657</v>
      </c>
      <c r="F60" s="3383">
        <f t="shared" ca="1" si="2"/>
        <v>411</v>
      </c>
    </row>
    <row r="61" spans="1:6">
      <c r="A61" s="3376"/>
      <c r="B61" s="2939">
        <v>912</v>
      </c>
      <c r="C61" s="2941">
        <v>94.02</v>
      </c>
      <c r="D61" s="2939" t="s">
        <v>27</v>
      </c>
      <c r="E61" s="3385">
        <f t="shared" ca="1" si="3"/>
        <v>43657</v>
      </c>
      <c r="F61" s="3383">
        <f t="shared" ca="1" si="2"/>
        <v>410</v>
      </c>
    </row>
    <row r="62" spans="1:6">
      <c r="A62" s="3376"/>
      <c r="B62" s="2939">
        <v>1101</v>
      </c>
      <c r="C62" s="2941">
        <v>94.12</v>
      </c>
      <c r="D62" s="2939" t="s">
        <v>27</v>
      </c>
      <c r="E62" s="3385">
        <f t="shared" ca="1" si="3"/>
        <v>43657</v>
      </c>
      <c r="F62" s="3383">
        <f t="shared" ca="1" si="2"/>
        <v>411</v>
      </c>
    </row>
    <row r="63" spans="1:6">
      <c r="A63" s="3376"/>
      <c r="B63" s="2939">
        <v>1301</v>
      </c>
      <c r="C63" s="2941">
        <v>94.12</v>
      </c>
      <c r="D63" s="2939" t="s">
        <v>27</v>
      </c>
      <c r="E63" s="3385">
        <f t="shared" ca="1" si="3"/>
        <v>43657</v>
      </c>
      <c r="F63" s="3383">
        <f t="shared" ca="1" si="2"/>
        <v>411</v>
      </c>
    </row>
    <row r="64" spans="1:6">
      <c r="A64" s="3376"/>
      <c r="B64" s="2939">
        <v>1307</v>
      </c>
      <c r="C64" s="2941">
        <v>117.18</v>
      </c>
      <c r="D64" s="2939" t="s">
        <v>27</v>
      </c>
      <c r="E64" s="3385">
        <f t="shared" ca="1" si="3"/>
        <v>43657</v>
      </c>
      <c r="F64" s="3383">
        <f t="shared" ca="1" si="2"/>
        <v>512</v>
      </c>
    </row>
    <row r="65" spans="1:6">
      <c r="A65" s="3376"/>
      <c r="B65" s="2939">
        <v>1308</v>
      </c>
      <c r="C65" s="2941">
        <v>117.18</v>
      </c>
      <c r="D65" s="2939" t="s">
        <v>27</v>
      </c>
      <c r="E65" s="3385">
        <f t="shared" ca="1" si="3"/>
        <v>43657</v>
      </c>
      <c r="F65" s="3383">
        <f t="shared" ca="1" si="2"/>
        <v>512</v>
      </c>
    </row>
    <row r="66" spans="1:6">
      <c r="A66" s="3376"/>
      <c r="B66" s="2939">
        <v>1311</v>
      </c>
      <c r="C66" s="2941">
        <v>94.04</v>
      </c>
      <c r="D66" s="2939" t="s">
        <v>27</v>
      </c>
      <c r="E66" s="3385">
        <f t="shared" ca="1" si="3"/>
        <v>43657</v>
      </c>
      <c r="F66" s="3383">
        <f t="shared" ca="1" si="2"/>
        <v>411</v>
      </c>
    </row>
    <row r="67" spans="1:6">
      <c r="A67" s="3377"/>
      <c r="B67" s="2939">
        <v>1312</v>
      </c>
      <c r="C67" s="2941">
        <v>94.02</v>
      </c>
      <c r="D67" s="2939" t="s">
        <v>27</v>
      </c>
      <c r="E67" s="3385">
        <f t="shared" ca="1" si="3"/>
        <v>43657</v>
      </c>
      <c r="F67" s="3383">
        <f t="shared" ca="1" si="2"/>
        <v>410</v>
      </c>
    </row>
    <row r="68" spans="1:6">
      <c r="A68" s="3363" t="s">
        <v>40</v>
      </c>
      <c r="B68" s="3364"/>
      <c r="C68" s="2942">
        <f>SUM(C27:C67)</f>
        <v>4348.3199999999979</v>
      </c>
      <c r="D68" s="2942" t="s">
        <v>27</v>
      </c>
      <c r="E68" s="3384"/>
      <c r="F68" s="3383">
        <f ca="1">SUM(F27:F67)</f>
        <v>18987</v>
      </c>
    </row>
    <row r="69" spans="1:6">
      <c r="A69" s="3378" t="s">
        <v>3077</v>
      </c>
      <c r="B69" s="2939">
        <v>101</v>
      </c>
      <c r="C69" s="2941">
        <v>64.38</v>
      </c>
      <c r="D69" s="2939" t="s">
        <v>27</v>
      </c>
      <c r="E69" s="3384">
        <f ca="1">E3</f>
        <v>43657</v>
      </c>
      <c r="F69" s="3383">
        <f t="shared" ca="1" si="2"/>
        <v>281</v>
      </c>
    </row>
    <row r="70" spans="1:6">
      <c r="A70" s="3376"/>
      <c r="B70" s="2939">
        <v>102</v>
      </c>
      <c r="C70" s="2941">
        <v>47.31</v>
      </c>
      <c r="D70" s="2939" t="s">
        <v>27</v>
      </c>
      <c r="E70" s="3384">
        <f ca="1">E69</f>
        <v>43657</v>
      </c>
      <c r="F70" s="3383">
        <f t="shared" ca="1" si="2"/>
        <v>207</v>
      </c>
    </row>
    <row r="71" spans="1:6">
      <c r="A71" s="3376"/>
      <c r="B71" s="2939">
        <v>103</v>
      </c>
      <c r="C71" s="2941">
        <v>30.08</v>
      </c>
      <c r="D71" s="2939" t="s">
        <v>27</v>
      </c>
      <c r="E71" s="3384">
        <f t="shared" ref="E71:E96" ca="1" si="4">E70</f>
        <v>43657</v>
      </c>
      <c r="F71" s="3383">
        <f t="shared" ca="1" si="2"/>
        <v>131</v>
      </c>
    </row>
    <row r="72" spans="1:6">
      <c r="A72" s="3376"/>
      <c r="B72" s="2939">
        <v>104</v>
      </c>
      <c r="C72" s="2941">
        <v>31.77</v>
      </c>
      <c r="D72" s="2939" t="s">
        <v>27</v>
      </c>
      <c r="E72" s="3384">
        <f t="shared" ca="1" si="4"/>
        <v>43657</v>
      </c>
      <c r="F72" s="3383">
        <f t="shared" ca="1" si="2"/>
        <v>139</v>
      </c>
    </row>
    <row r="73" spans="1:6">
      <c r="A73" s="3376"/>
      <c r="B73" s="2939">
        <v>111</v>
      </c>
      <c r="C73" s="2941">
        <v>64.52</v>
      </c>
      <c r="D73" s="2939" t="s">
        <v>27</v>
      </c>
      <c r="E73" s="3384">
        <f t="shared" ca="1" si="4"/>
        <v>43657</v>
      </c>
      <c r="F73" s="3383">
        <f t="shared" ca="1" si="2"/>
        <v>282</v>
      </c>
    </row>
    <row r="74" spans="1:6">
      <c r="A74" s="3376"/>
      <c r="B74" s="2939">
        <v>112</v>
      </c>
      <c r="C74" s="2941">
        <v>40.909999999999997</v>
      </c>
      <c r="D74" s="2939" t="s">
        <v>27</v>
      </c>
      <c r="E74" s="3384">
        <f t="shared" ca="1" si="4"/>
        <v>43657</v>
      </c>
      <c r="F74" s="3383">
        <f t="shared" ca="1" si="2"/>
        <v>179</v>
      </c>
    </row>
    <row r="75" spans="1:6">
      <c r="A75" s="3376"/>
      <c r="B75" s="2939">
        <v>113</v>
      </c>
      <c r="C75" s="2941">
        <v>41.11</v>
      </c>
      <c r="D75" s="2939" t="s">
        <v>27</v>
      </c>
      <c r="E75" s="3384">
        <f t="shared" ca="1" si="4"/>
        <v>43657</v>
      </c>
      <c r="F75" s="3383">
        <f t="shared" ca="1" si="2"/>
        <v>179</v>
      </c>
    </row>
    <row r="76" spans="1:6">
      <c r="A76" s="3376"/>
      <c r="B76" s="2939">
        <v>204</v>
      </c>
      <c r="C76" s="2941">
        <v>21.43</v>
      </c>
      <c r="D76" s="2939" t="s">
        <v>27</v>
      </c>
      <c r="E76" s="3384">
        <f t="shared" ca="1" si="4"/>
        <v>43657</v>
      </c>
      <c r="F76" s="3383">
        <f t="shared" ca="1" si="2"/>
        <v>94</v>
      </c>
    </row>
    <row r="77" spans="1:6">
      <c r="A77" s="3376"/>
      <c r="B77" s="2939">
        <v>205</v>
      </c>
      <c r="C77" s="2941">
        <v>21.43</v>
      </c>
      <c r="D77" s="2939" t="s">
        <v>27</v>
      </c>
      <c r="E77" s="3384">
        <f t="shared" ca="1" si="4"/>
        <v>43657</v>
      </c>
      <c r="F77" s="3383">
        <f t="shared" ca="1" si="2"/>
        <v>94</v>
      </c>
    </row>
    <row r="78" spans="1:6">
      <c r="A78" s="3376"/>
      <c r="B78" s="2939">
        <v>410</v>
      </c>
      <c r="C78" s="2941">
        <v>21.5</v>
      </c>
      <c r="D78" s="2939" t="s">
        <v>27</v>
      </c>
      <c r="E78" s="3384">
        <f t="shared" ca="1" si="4"/>
        <v>43657</v>
      </c>
      <c r="F78" s="3383">
        <f t="shared" ca="1" si="2"/>
        <v>94</v>
      </c>
    </row>
    <row r="79" spans="1:6">
      <c r="A79" s="3376"/>
      <c r="B79" s="2939">
        <v>415</v>
      </c>
      <c r="C79" s="2941">
        <v>40.56</v>
      </c>
      <c r="D79" s="2939" t="s">
        <v>27</v>
      </c>
      <c r="E79" s="3384">
        <f t="shared" ca="1" si="4"/>
        <v>43657</v>
      </c>
      <c r="F79" s="3383">
        <f t="shared" ca="1" si="2"/>
        <v>177</v>
      </c>
    </row>
    <row r="80" spans="1:6">
      <c r="A80" s="3376"/>
      <c r="B80" s="2939">
        <v>513</v>
      </c>
      <c r="C80" s="2941">
        <v>21.5</v>
      </c>
      <c r="D80" s="2939" t="s">
        <v>27</v>
      </c>
      <c r="E80" s="3384">
        <f t="shared" ca="1" si="4"/>
        <v>43657</v>
      </c>
      <c r="F80" s="3383">
        <f t="shared" ca="1" si="2"/>
        <v>94</v>
      </c>
    </row>
    <row r="81" spans="1:6">
      <c r="A81" s="3376"/>
      <c r="B81" s="2939">
        <v>514</v>
      </c>
      <c r="C81" s="2941">
        <v>21.36</v>
      </c>
      <c r="D81" s="2939" t="s">
        <v>27</v>
      </c>
      <c r="E81" s="3384">
        <f t="shared" ca="1" si="4"/>
        <v>43657</v>
      </c>
      <c r="F81" s="3383">
        <f t="shared" ca="1" si="2"/>
        <v>93</v>
      </c>
    </row>
    <row r="82" spans="1:6">
      <c r="A82" s="3376"/>
      <c r="B82" s="2939">
        <v>702</v>
      </c>
      <c r="C82" s="2941">
        <v>64.34</v>
      </c>
      <c r="D82" s="2939" t="s">
        <v>27</v>
      </c>
      <c r="E82" s="3384">
        <f t="shared" ca="1" si="4"/>
        <v>43657</v>
      </c>
      <c r="F82" s="3383">
        <f t="shared" ca="1" si="2"/>
        <v>281</v>
      </c>
    </row>
    <row r="83" spans="1:6">
      <c r="A83" s="3376"/>
      <c r="B83" s="2939">
        <v>710</v>
      </c>
      <c r="C83" s="2941">
        <v>21.5</v>
      </c>
      <c r="D83" s="2939" t="s">
        <v>27</v>
      </c>
      <c r="E83" s="3384">
        <f t="shared" ca="1" si="4"/>
        <v>43657</v>
      </c>
      <c r="F83" s="3383">
        <f t="shared" ca="1" si="2"/>
        <v>94</v>
      </c>
    </row>
    <row r="84" spans="1:6">
      <c r="A84" s="3376"/>
      <c r="B84" s="2939">
        <v>814</v>
      </c>
      <c r="C84" s="2941">
        <v>21.36</v>
      </c>
      <c r="D84" s="2939" t="s">
        <v>27</v>
      </c>
      <c r="E84" s="3384">
        <f t="shared" ca="1" si="4"/>
        <v>43657</v>
      </c>
      <c r="F84" s="3383">
        <f t="shared" ca="1" si="2"/>
        <v>93</v>
      </c>
    </row>
    <row r="85" spans="1:6">
      <c r="A85" s="3376"/>
      <c r="B85" s="2939">
        <v>911</v>
      </c>
      <c r="C85" s="2941">
        <v>64.44</v>
      </c>
      <c r="D85" s="2939" t="s">
        <v>27</v>
      </c>
      <c r="E85" s="3384">
        <f t="shared" ca="1" si="4"/>
        <v>43657</v>
      </c>
      <c r="F85" s="3383">
        <f t="shared" ca="1" si="2"/>
        <v>281</v>
      </c>
    </row>
    <row r="86" spans="1:6">
      <c r="A86" s="3376"/>
      <c r="B86" s="2939">
        <v>918</v>
      </c>
      <c r="C86" s="2941">
        <v>21.36</v>
      </c>
      <c r="D86" s="2939" t="s">
        <v>27</v>
      </c>
      <c r="E86" s="3384">
        <f t="shared" ca="1" si="4"/>
        <v>43657</v>
      </c>
      <c r="F86" s="3383">
        <f t="shared" ca="1" si="2"/>
        <v>93</v>
      </c>
    </row>
    <row r="87" spans="1:6">
      <c r="A87" s="3376"/>
      <c r="B87" s="2939">
        <v>1017</v>
      </c>
      <c r="C87" s="2941">
        <v>21.5</v>
      </c>
      <c r="D87" s="2939" t="s">
        <v>27</v>
      </c>
      <c r="E87" s="3384">
        <f t="shared" ca="1" si="4"/>
        <v>43657</v>
      </c>
      <c r="F87" s="3383">
        <f t="shared" ca="1" si="2"/>
        <v>94</v>
      </c>
    </row>
    <row r="88" spans="1:6">
      <c r="A88" s="3376"/>
      <c r="B88" s="2939">
        <v>1111</v>
      </c>
      <c r="C88" s="2941">
        <v>64.44</v>
      </c>
      <c r="D88" s="2939" t="s">
        <v>27</v>
      </c>
      <c r="E88" s="3384">
        <f t="shared" ca="1" si="4"/>
        <v>43657</v>
      </c>
      <c r="F88" s="3383">
        <f t="shared" ca="1" si="2"/>
        <v>281</v>
      </c>
    </row>
    <row r="89" spans="1:6">
      <c r="A89" s="3376"/>
      <c r="B89" s="2939">
        <v>1112</v>
      </c>
      <c r="C89" s="2941">
        <v>64.44</v>
      </c>
      <c r="D89" s="2939" t="s">
        <v>27</v>
      </c>
      <c r="E89" s="3384">
        <f t="shared" ca="1" si="4"/>
        <v>43657</v>
      </c>
      <c r="F89" s="3383">
        <f t="shared" ca="1" si="2"/>
        <v>281</v>
      </c>
    </row>
    <row r="90" spans="1:6">
      <c r="A90" s="3376"/>
      <c r="B90" s="2939">
        <v>1114</v>
      </c>
      <c r="C90" s="2941">
        <v>21.36</v>
      </c>
      <c r="D90" s="2939" t="s">
        <v>27</v>
      </c>
      <c r="E90" s="3384">
        <f t="shared" ca="1" si="4"/>
        <v>43657</v>
      </c>
      <c r="F90" s="3383">
        <f t="shared" ca="1" si="2"/>
        <v>93</v>
      </c>
    </row>
    <row r="91" spans="1:6">
      <c r="A91" s="3376"/>
      <c r="B91" s="2939">
        <v>1202</v>
      </c>
      <c r="C91" s="2941">
        <v>64.34</v>
      </c>
      <c r="D91" s="2939" t="s">
        <v>27</v>
      </c>
      <c r="E91" s="3384">
        <f t="shared" ca="1" si="4"/>
        <v>43657</v>
      </c>
      <c r="F91" s="3383">
        <f t="shared" ca="1" si="2"/>
        <v>281</v>
      </c>
    </row>
    <row r="92" spans="1:6">
      <c r="A92" s="3376"/>
      <c r="B92" s="2939">
        <v>1302</v>
      </c>
      <c r="C92" s="2941">
        <v>64.34</v>
      </c>
      <c r="D92" s="2939" t="s">
        <v>27</v>
      </c>
      <c r="E92" s="3384">
        <f t="shared" ca="1" si="4"/>
        <v>43657</v>
      </c>
      <c r="F92" s="3383">
        <f t="shared" ref="F92:F155" ca="1" si="5">ROUND(C92*E92/10000,0)</f>
        <v>281</v>
      </c>
    </row>
    <row r="93" spans="1:6">
      <c r="A93" s="3376"/>
      <c r="B93" s="2939">
        <v>1311</v>
      </c>
      <c r="C93" s="2941">
        <v>64.44</v>
      </c>
      <c r="D93" s="2939" t="s">
        <v>27</v>
      </c>
      <c r="E93" s="3384">
        <f t="shared" ca="1" si="4"/>
        <v>43657</v>
      </c>
      <c r="F93" s="3383">
        <f t="shared" ca="1" si="5"/>
        <v>281</v>
      </c>
    </row>
    <row r="94" spans="1:6">
      <c r="A94" s="3376"/>
      <c r="B94" s="2939">
        <v>1313</v>
      </c>
      <c r="C94" s="2941">
        <v>21.5</v>
      </c>
      <c r="D94" s="2939" t="s">
        <v>27</v>
      </c>
      <c r="E94" s="3384">
        <f t="shared" ca="1" si="4"/>
        <v>43657</v>
      </c>
      <c r="F94" s="3383">
        <f t="shared" ca="1" si="5"/>
        <v>94</v>
      </c>
    </row>
    <row r="95" spans="1:6">
      <c r="A95" s="3376"/>
      <c r="B95" s="2939">
        <v>1314</v>
      </c>
      <c r="C95" s="2941">
        <v>21.36</v>
      </c>
      <c r="D95" s="2939" t="s">
        <v>27</v>
      </c>
      <c r="E95" s="3384">
        <f t="shared" ca="1" si="4"/>
        <v>43657</v>
      </c>
      <c r="F95" s="3383">
        <f t="shared" ca="1" si="5"/>
        <v>93</v>
      </c>
    </row>
    <row r="96" spans="1:6">
      <c r="A96" s="3377"/>
      <c r="B96" s="2939">
        <v>1417</v>
      </c>
      <c r="C96" s="2941">
        <v>21.5</v>
      </c>
      <c r="D96" s="2939" t="s">
        <v>27</v>
      </c>
      <c r="E96" s="3384">
        <f t="shared" ca="1" si="4"/>
        <v>43657</v>
      </c>
      <c r="F96" s="3383">
        <f t="shared" ca="1" si="5"/>
        <v>94</v>
      </c>
    </row>
    <row r="97" spans="1:6">
      <c r="A97" s="3365" t="s">
        <v>40</v>
      </c>
      <c r="B97" s="3365"/>
      <c r="C97" s="2942">
        <f>SUM(C69:C96)</f>
        <v>1090.08</v>
      </c>
      <c r="D97" s="2942" t="s">
        <v>27</v>
      </c>
      <c r="E97" s="3385" t="s">
        <v>3584</v>
      </c>
      <c r="F97" s="3383">
        <f ca="1">SUM(F69:F96)</f>
        <v>4759</v>
      </c>
    </row>
    <row r="98" spans="1:6">
      <c r="A98" s="3378" t="s">
        <v>3078</v>
      </c>
      <c r="B98" s="2939">
        <v>-103</v>
      </c>
      <c r="C98" s="2941">
        <v>98.89</v>
      </c>
      <c r="D98" s="2939" t="s">
        <v>1377</v>
      </c>
      <c r="E98" s="3385">
        <f ca="1">'结果表（商业）'!I118</f>
        <v>15313</v>
      </c>
      <c r="F98" s="3383">
        <f t="shared" ca="1" si="5"/>
        <v>151</v>
      </c>
    </row>
    <row r="99" spans="1:6">
      <c r="A99" s="3376"/>
      <c r="B99" s="2939">
        <v>-104</v>
      </c>
      <c r="C99" s="2941">
        <v>96.29</v>
      </c>
      <c r="D99" s="2939" t="s">
        <v>1377</v>
      </c>
      <c r="E99" s="3384">
        <f ca="1">E98</f>
        <v>15313</v>
      </c>
      <c r="F99" s="3383">
        <f t="shared" ca="1" si="5"/>
        <v>147</v>
      </c>
    </row>
    <row r="100" spans="1:6">
      <c r="A100" s="3376"/>
      <c r="B100" s="2939">
        <v>-105</v>
      </c>
      <c r="C100" s="2941">
        <v>83.21</v>
      </c>
      <c r="D100" s="2939" t="s">
        <v>1377</v>
      </c>
      <c r="E100" s="3384">
        <f t="shared" ref="E100:E114" ca="1" si="6">E99</f>
        <v>15313</v>
      </c>
      <c r="F100" s="3383">
        <f t="shared" ca="1" si="5"/>
        <v>127</v>
      </c>
    </row>
    <row r="101" spans="1:6">
      <c r="A101" s="3376"/>
      <c r="B101" s="2939">
        <v>-106</v>
      </c>
      <c r="C101" s="2941">
        <v>104.61</v>
      </c>
      <c r="D101" s="2939" t="s">
        <v>1377</v>
      </c>
      <c r="E101" s="3384">
        <f t="shared" ca="1" si="6"/>
        <v>15313</v>
      </c>
      <c r="F101" s="3383">
        <f t="shared" ca="1" si="5"/>
        <v>160</v>
      </c>
    </row>
    <row r="102" spans="1:6">
      <c r="A102" s="3376"/>
      <c r="B102" s="2939">
        <v>-107</v>
      </c>
      <c r="C102" s="2941">
        <v>160.46</v>
      </c>
      <c r="D102" s="2939" t="s">
        <v>1377</v>
      </c>
      <c r="E102" s="3384">
        <f t="shared" ca="1" si="6"/>
        <v>15313</v>
      </c>
      <c r="F102" s="3383">
        <f t="shared" ca="1" si="5"/>
        <v>246</v>
      </c>
    </row>
    <row r="103" spans="1:6">
      <c r="A103" s="3376"/>
      <c r="B103" s="2939">
        <v>-109</v>
      </c>
      <c r="C103" s="2941">
        <v>89.81</v>
      </c>
      <c r="D103" s="2939" t="s">
        <v>1377</v>
      </c>
      <c r="E103" s="3384">
        <f t="shared" ca="1" si="6"/>
        <v>15313</v>
      </c>
      <c r="F103" s="3383">
        <f t="shared" ca="1" si="5"/>
        <v>138</v>
      </c>
    </row>
    <row r="104" spans="1:6">
      <c r="A104" s="3376"/>
      <c r="B104" s="2939">
        <v>-110</v>
      </c>
      <c r="C104" s="2941">
        <v>85</v>
      </c>
      <c r="D104" s="2939" t="s">
        <v>1377</v>
      </c>
      <c r="E104" s="3384">
        <f t="shared" ca="1" si="6"/>
        <v>15313</v>
      </c>
      <c r="F104" s="3383">
        <f t="shared" ca="1" si="5"/>
        <v>130</v>
      </c>
    </row>
    <row r="105" spans="1:6">
      <c r="A105" s="3376"/>
      <c r="B105" s="2939">
        <v>-111</v>
      </c>
      <c r="C105" s="2941">
        <v>85</v>
      </c>
      <c r="D105" s="2939" t="s">
        <v>1377</v>
      </c>
      <c r="E105" s="3384">
        <f t="shared" ca="1" si="6"/>
        <v>15313</v>
      </c>
      <c r="F105" s="3383">
        <f t="shared" ca="1" si="5"/>
        <v>130</v>
      </c>
    </row>
    <row r="106" spans="1:6">
      <c r="A106" s="3376"/>
      <c r="B106" s="2939">
        <v>-112</v>
      </c>
      <c r="C106" s="2941">
        <v>110.36</v>
      </c>
      <c r="D106" s="2939" t="s">
        <v>1377</v>
      </c>
      <c r="E106" s="3384">
        <f t="shared" ca="1" si="6"/>
        <v>15313</v>
      </c>
      <c r="F106" s="3383">
        <f t="shared" ca="1" si="5"/>
        <v>169</v>
      </c>
    </row>
    <row r="107" spans="1:6">
      <c r="A107" s="3376"/>
      <c r="B107" s="2939">
        <v>-114</v>
      </c>
      <c r="C107" s="2941">
        <v>149.11000000000001</v>
      </c>
      <c r="D107" s="2939" t="s">
        <v>1377</v>
      </c>
      <c r="E107" s="3384">
        <f t="shared" ca="1" si="6"/>
        <v>15313</v>
      </c>
      <c r="F107" s="3383">
        <f t="shared" ca="1" si="5"/>
        <v>228</v>
      </c>
    </row>
    <row r="108" spans="1:6">
      <c r="A108" s="3376"/>
      <c r="B108" s="2939">
        <v>-116</v>
      </c>
      <c r="C108" s="2941">
        <v>201.68</v>
      </c>
      <c r="D108" s="2939" t="s">
        <v>1377</v>
      </c>
      <c r="E108" s="3384">
        <f t="shared" ca="1" si="6"/>
        <v>15313</v>
      </c>
      <c r="F108" s="3383">
        <f t="shared" ca="1" si="5"/>
        <v>309</v>
      </c>
    </row>
    <row r="109" spans="1:6">
      <c r="A109" s="3376"/>
      <c r="B109" s="2939">
        <v>-117</v>
      </c>
      <c r="C109" s="2941">
        <v>201.68</v>
      </c>
      <c r="D109" s="2939" t="s">
        <v>1377</v>
      </c>
      <c r="E109" s="3384">
        <f t="shared" ca="1" si="6"/>
        <v>15313</v>
      </c>
      <c r="F109" s="3383">
        <f t="shared" ca="1" si="5"/>
        <v>309</v>
      </c>
    </row>
    <row r="110" spans="1:6">
      <c r="A110" s="3376"/>
      <c r="B110" s="2939">
        <v>-119</v>
      </c>
      <c r="C110" s="2941">
        <v>201.68</v>
      </c>
      <c r="D110" s="2939" t="s">
        <v>1377</v>
      </c>
      <c r="E110" s="3384">
        <f t="shared" ca="1" si="6"/>
        <v>15313</v>
      </c>
      <c r="F110" s="3383">
        <f t="shared" ca="1" si="5"/>
        <v>309</v>
      </c>
    </row>
    <row r="111" spans="1:6">
      <c r="A111" s="3376"/>
      <c r="B111" s="2939">
        <v>-121</v>
      </c>
      <c r="C111" s="2941">
        <v>201.68</v>
      </c>
      <c r="D111" s="2939" t="s">
        <v>1377</v>
      </c>
      <c r="E111" s="3384">
        <f t="shared" ca="1" si="6"/>
        <v>15313</v>
      </c>
      <c r="F111" s="3383">
        <f t="shared" ca="1" si="5"/>
        <v>309</v>
      </c>
    </row>
    <row r="112" spans="1:6">
      <c r="A112" s="3376"/>
      <c r="B112" s="2939">
        <v>-122</v>
      </c>
      <c r="C112" s="2941">
        <v>177.69</v>
      </c>
      <c r="D112" s="2939" t="s">
        <v>1377</v>
      </c>
      <c r="E112" s="3384">
        <f t="shared" ca="1" si="6"/>
        <v>15313</v>
      </c>
      <c r="F112" s="3383">
        <f t="shared" ca="1" si="5"/>
        <v>272</v>
      </c>
    </row>
    <row r="113" spans="1:6">
      <c r="A113" s="3376"/>
      <c r="B113" s="2939">
        <v>-123</v>
      </c>
      <c r="C113" s="2941">
        <v>80.36</v>
      </c>
      <c r="D113" s="2939" t="s">
        <v>1377</v>
      </c>
      <c r="E113" s="3384">
        <f t="shared" ca="1" si="6"/>
        <v>15313</v>
      </c>
      <c r="F113" s="3383">
        <f t="shared" ca="1" si="5"/>
        <v>123</v>
      </c>
    </row>
    <row r="114" spans="1:6">
      <c r="A114" s="3377"/>
      <c r="B114" s="2939">
        <v>-128</v>
      </c>
      <c r="C114" s="2941">
        <v>152.86000000000001</v>
      </c>
      <c r="D114" s="2939" t="s">
        <v>1377</v>
      </c>
      <c r="E114" s="3384">
        <f t="shared" ca="1" si="6"/>
        <v>15313</v>
      </c>
      <c r="F114" s="3383">
        <f t="shared" ca="1" si="5"/>
        <v>234</v>
      </c>
    </row>
    <row r="115" spans="1:6">
      <c r="A115" s="3365" t="s">
        <v>40</v>
      </c>
      <c r="B115" s="3365"/>
      <c r="C115" s="2942">
        <f>SUM(C98:C114)</f>
        <v>2280.3700000000003</v>
      </c>
      <c r="D115" s="2942" t="s">
        <v>1377</v>
      </c>
      <c r="E115" s="3385" t="s">
        <v>3585</v>
      </c>
      <c r="F115" s="3383">
        <f ca="1">SUM(F98:F114)</f>
        <v>3491</v>
      </c>
    </row>
    <row r="116" spans="1:6">
      <c r="A116" s="3361" t="s">
        <v>3078</v>
      </c>
      <c r="B116" s="2943" t="s">
        <v>3079</v>
      </c>
      <c r="C116" s="2941">
        <v>18.72</v>
      </c>
      <c r="D116" s="2944" t="s">
        <v>48</v>
      </c>
      <c r="E116" s="3385">
        <f ca="1">'结果表（地下车库）'!I118</f>
        <v>8401</v>
      </c>
      <c r="F116" s="3383">
        <f t="shared" ca="1" si="5"/>
        <v>16</v>
      </c>
    </row>
    <row r="117" spans="1:6">
      <c r="A117" s="3361"/>
      <c r="B117" s="2943" t="s">
        <v>3080</v>
      </c>
      <c r="C117" s="2941">
        <v>18.72</v>
      </c>
      <c r="D117" s="2944" t="s">
        <v>48</v>
      </c>
      <c r="E117" s="3384">
        <f ca="1">E116</f>
        <v>8401</v>
      </c>
      <c r="F117" s="3383">
        <f t="shared" ca="1" si="5"/>
        <v>16</v>
      </c>
    </row>
    <row r="118" spans="1:6">
      <c r="A118" s="3361"/>
      <c r="B118" s="2943" t="s">
        <v>3081</v>
      </c>
      <c r="C118" s="2941">
        <v>56.16</v>
      </c>
      <c r="D118" s="2944" t="s">
        <v>48</v>
      </c>
      <c r="E118" s="3384">
        <f t="shared" ref="E118:E181" ca="1" si="7">E117</f>
        <v>8401</v>
      </c>
      <c r="F118" s="3383">
        <f t="shared" ca="1" si="5"/>
        <v>47</v>
      </c>
    </row>
    <row r="119" spans="1:6">
      <c r="A119" s="3361"/>
      <c r="B119" s="2943" t="s">
        <v>3082</v>
      </c>
      <c r="C119" s="2941">
        <v>18.72</v>
      </c>
      <c r="D119" s="2944" t="s">
        <v>48</v>
      </c>
      <c r="E119" s="3384">
        <f t="shared" ca="1" si="7"/>
        <v>8401</v>
      </c>
      <c r="F119" s="3383">
        <f t="shared" ca="1" si="5"/>
        <v>16</v>
      </c>
    </row>
    <row r="120" spans="1:6">
      <c r="A120" s="3361"/>
      <c r="B120" s="2943" t="s">
        <v>3083</v>
      </c>
      <c r="C120" s="2941">
        <v>18.72</v>
      </c>
      <c r="D120" s="2944" t="s">
        <v>48</v>
      </c>
      <c r="E120" s="3384">
        <f t="shared" ca="1" si="7"/>
        <v>8401</v>
      </c>
      <c r="F120" s="3383">
        <f t="shared" ca="1" si="5"/>
        <v>16</v>
      </c>
    </row>
    <row r="121" spans="1:6">
      <c r="A121" s="3361"/>
      <c r="B121" s="2943" t="s">
        <v>3084</v>
      </c>
      <c r="C121" s="2941">
        <v>18.72</v>
      </c>
      <c r="D121" s="2944" t="s">
        <v>48</v>
      </c>
      <c r="E121" s="3384">
        <f t="shared" ca="1" si="7"/>
        <v>8401</v>
      </c>
      <c r="F121" s="3383">
        <f t="shared" ca="1" si="5"/>
        <v>16</v>
      </c>
    </row>
    <row r="122" spans="1:6">
      <c r="A122" s="3361"/>
      <c r="B122" s="2943" t="s">
        <v>3085</v>
      </c>
      <c r="C122" s="2941">
        <v>18.72</v>
      </c>
      <c r="D122" s="2944" t="s">
        <v>48</v>
      </c>
      <c r="E122" s="3384">
        <f t="shared" ca="1" si="7"/>
        <v>8401</v>
      </c>
      <c r="F122" s="3383">
        <f t="shared" ca="1" si="5"/>
        <v>16</v>
      </c>
    </row>
    <row r="123" spans="1:6">
      <c r="A123" s="3361"/>
      <c r="B123" s="2943" t="s">
        <v>3086</v>
      </c>
      <c r="C123" s="2941">
        <v>18.72</v>
      </c>
      <c r="D123" s="2944" t="s">
        <v>48</v>
      </c>
      <c r="E123" s="3384">
        <f t="shared" ca="1" si="7"/>
        <v>8401</v>
      </c>
      <c r="F123" s="3383">
        <f t="shared" ca="1" si="5"/>
        <v>16</v>
      </c>
    </row>
    <row r="124" spans="1:6">
      <c r="A124" s="3361"/>
      <c r="B124" s="2943" t="s">
        <v>3087</v>
      </c>
      <c r="C124" s="2941">
        <v>18.72</v>
      </c>
      <c r="D124" s="2944" t="s">
        <v>48</v>
      </c>
      <c r="E124" s="3384">
        <f t="shared" ca="1" si="7"/>
        <v>8401</v>
      </c>
      <c r="F124" s="3383">
        <f t="shared" ca="1" si="5"/>
        <v>16</v>
      </c>
    </row>
    <row r="125" spans="1:6">
      <c r="A125" s="3361"/>
      <c r="B125" s="2943" t="s">
        <v>3088</v>
      </c>
      <c r="C125" s="2941">
        <v>18.72</v>
      </c>
      <c r="D125" s="2944" t="s">
        <v>48</v>
      </c>
      <c r="E125" s="3384">
        <f t="shared" ca="1" si="7"/>
        <v>8401</v>
      </c>
      <c r="F125" s="3383">
        <f t="shared" ca="1" si="5"/>
        <v>16</v>
      </c>
    </row>
    <row r="126" spans="1:6">
      <c r="A126" s="3361"/>
      <c r="B126" s="2943" t="s">
        <v>3089</v>
      </c>
      <c r="C126" s="2941">
        <v>13.31</v>
      </c>
      <c r="D126" s="2944" t="s">
        <v>48</v>
      </c>
      <c r="E126" s="3384">
        <f t="shared" ca="1" si="7"/>
        <v>8401</v>
      </c>
      <c r="F126" s="3383">
        <f t="shared" ca="1" si="5"/>
        <v>11</v>
      </c>
    </row>
    <row r="127" spans="1:6">
      <c r="A127" s="3361"/>
      <c r="B127" s="2943" t="s">
        <v>3090</v>
      </c>
      <c r="C127" s="2941">
        <v>13.31</v>
      </c>
      <c r="D127" s="2944" t="s">
        <v>48</v>
      </c>
      <c r="E127" s="3384">
        <f t="shared" ca="1" si="7"/>
        <v>8401</v>
      </c>
      <c r="F127" s="3383">
        <f t="shared" ca="1" si="5"/>
        <v>11</v>
      </c>
    </row>
    <row r="128" spans="1:6">
      <c r="A128" s="3361"/>
      <c r="B128" s="2943" t="s">
        <v>3091</v>
      </c>
      <c r="C128" s="2941">
        <v>13.31</v>
      </c>
      <c r="D128" s="2944" t="s">
        <v>48</v>
      </c>
      <c r="E128" s="3384">
        <f t="shared" ca="1" si="7"/>
        <v>8401</v>
      </c>
      <c r="F128" s="3383">
        <f t="shared" ca="1" si="5"/>
        <v>11</v>
      </c>
    </row>
    <row r="129" spans="1:6">
      <c r="A129" s="3361"/>
      <c r="B129" s="2943" t="s">
        <v>3092</v>
      </c>
      <c r="C129" s="2941">
        <v>18.72</v>
      </c>
      <c r="D129" s="2944" t="s">
        <v>48</v>
      </c>
      <c r="E129" s="3384">
        <f t="shared" ca="1" si="7"/>
        <v>8401</v>
      </c>
      <c r="F129" s="3383">
        <f t="shared" ca="1" si="5"/>
        <v>16</v>
      </c>
    </row>
    <row r="130" spans="1:6">
      <c r="A130" s="3361"/>
      <c r="B130" s="2943" t="s">
        <v>3093</v>
      </c>
      <c r="C130" s="2941">
        <v>18.72</v>
      </c>
      <c r="D130" s="2944" t="s">
        <v>48</v>
      </c>
      <c r="E130" s="3384">
        <f t="shared" ca="1" si="7"/>
        <v>8401</v>
      </c>
      <c r="F130" s="3383">
        <f t="shared" ca="1" si="5"/>
        <v>16</v>
      </c>
    </row>
    <row r="131" spans="1:6">
      <c r="A131" s="3361"/>
      <c r="B131" s="2943" t="s">
        <v>3094</v>
      </c>
      <c r="C131" s="2941">
        <v>18.72</v>
      </c>
      <c r="D131" s="2944" t="s">
        <v>48</v>
      </c>
      <c r="E131" s="3384">
        <f t="shared" ca="1" si="7"/>
        <v>8401</v>
      </c>
      <c r="F131" s="3383">
        <f t="shared" ca="1" si="5"/>
        <v>16</v>
      </c>
    </row>
    <row r="132" spans="1:6">
      <c r="A132" s="3361"/>
      <c r="B132" s="2943" t="s">
        <v>3095</v>
      </c>
      <c r="C132" s="2941">
        <v>18.72</v>
      </c>
      <c r="D132" s="2944" t="s">
        <v>48</v>
      </c>
      <c r="E132" s="3384">
        <f t="shared" ca="1" si="7"/>
        <v>8401</v>
      </c>
      <c r="F132" s="3383">
        <f t="shared" ca="1" si="5"/>
        <v>16</v>
      </c>
    </row>
    <row r="133" spans="1:6">
      <c r="A133" s="3361"/>
      <c r="B133" s="2943" t="s">
        <v>3096</v>
      </c>
      <c r="C133" s="2941">
        <v>18.72</v>
      </c>
      <c r="D133" s="2944" t="s">
        <v>48</v>
      </c>
      <c r="E133" s="3384">
        <f t="shared" ca="1" si="7"/>
        <v>8401</v>
      </c>
      <c r="F133" s="3383">
        <f t="shared" ca="1" si="5"/>
        <v>16</v>
      </c>
    </row>
    <row r="134" spans="1:6">
      <c r="A134" s="3361"/>
      <c r="B134" s="2943" t="s">
        <v>3097</v>
      </c>
      <c r="C134" s="2941">
        <v>18.72</v>
      </c>
      <c r="D134" s="2944" t="s">
        <v>48</v>
      </c>
      <c r="E134" s="3384">
        <f t="shared" ca="1" si="7"/>
        <v>8401</v>
      </c>
      <c r="F134" s="3383">
        <f t="shared" ca="1" si="5"/>
        <v>16</v>
      </c>
    </row>
    <row r="135" spans="1:6">
      <c r="A135" s="3361"/>
      <c r="B135" s="2943" t="s">
        <v>3098</v>
      </c>
      <c r="C135" s="2941">
        <v>18.72</v>
      </c>
      <c r="D135" s="2944" t="s">
        <v>48</v>
      </c>
      <c r="E135" s="3384">
        <f t="shared" ca="1" si="7"/>
        <v>8401</v>
      </c>
      <c r="F135" s="3383">
        <f t="shared" ca="1" si="5"/>
        <v>16</v>
      </c>
    </row>
    <row r="136" spans="1:6">
      <c r="A136" s="3361"/>
      <c r="B136" s="2943" t="s">
        <v>3099</v>
      </c>
      <c r="C136" s="2941">
        <v>18.72</v>
      </c>
      <c r="D136" s="2944" t="s">
        <v>48</v>
      </c>
      <c r="E136" s="3384">
        <f t="shared" ca="1" si="7"/>
        <v>8401</v>
      </c>
      <c r="F136" s="3383">
        <f t="shared" ca="1" si="5"/>
        <v>16</v>
      </c>
    </row>
    <row r="137" spans="1:6">
      <c r="A137" s="3361"/>
      <c r="B137" s="2943" t="s">
        <v>3100</v>
      </c>
      <c r="C137" s="2941">
        <v>18.72</v>
      </c>
      <c r="D137" s="2944" t="s">
        <v>48</v>
      </c>
      <c r="E137" s="3384">
        <f t="shared" ca="1" si="7"/>
        <v>8401</v>
      </c>
      <c r="F137" s="3383">
        <f t="shared" ca="1" si="5"/>
        <v>16</v>
      </c>
    </row>
    <row r="138" spans="1:6">
      <c r="A138" s="3361"/>
      <c r="B138" s="2943" t="s">
        <v>3101</v>
      </c>
      <c r="C138" s="2941">
        <v>18.72</v>
      </c>
      <c r="D138" s="2944" t="s">
        <v>48</v>
      </c>
      <c r="E138" s="3384">
        <f t="shared" ca="1" si="7"/>
        <v>8401</v>
      </c>
      <c r="F138" s="3383">
        <f t="shared" ca="1" si="5"/>
        <v>16</v>
      </c>
    </row>
    <row r="139" spans="1:6">
      <c r="A139" s="3361"/>
      <c r="B139" s="2943" t="s">
        <v>3102</v>
      </c>
      <c r="C139" s="2941">
        <v>18.72</v>
      </c>
      <c r="D139" s="2944" t="s">
        <v>48</v>
      </c>
      <c r="E139" s="3384">
        <f t="shared" ca="1" si="7"/>
        <v>8401</v>
      </c>
      <c r="F139" s="3383">
        <f t="shared" ca="1" si="5"/>
        <v>16</v>
      </c>
    </row>
    <row r="140" spans="1:6">
      <c r="A140" s="3361"/>
      <c r="B140" s="2943" t="s">
        <v>3103</v>
      </c>
      <c r="C140" s="2941">
        <v>18.72</v>
      </c>
      <c r="D140" s="2944" t="s">
        <v>48</v>
      </c>
      <c r="E140" s="3384">
        <f t="shared" ca="1" si="7"/>
        <v>8401</v>
      </c>
      <c r="F140" s="3383">
        <f t="shared" ca="1" si="5"/>
        <v>16</v>
      </c>
    </row>
    <row r="141" spans="1:6">
      <c r="A141" s="3361"/>
      <c r="B141" s="2943" t="s">
        <v>3104</v>
      </c>
      <c r="C141" s="2941">
        <v>18.72</v>
      </c>
      <c r="D141" s="2944" t="s">
        <v>48</v>
      </c>
      <c r="E141" s="3384">
        <f t="shared" ca="1" si="7"/>
        <v>8401</v>
      </c>
      <c r="F141" s="3383">
        <f t="shared" ca="1" si="5"/>
        <v>16</v>
      </c>
    </row>
    <row r="142" spans="1:6">
      <c r="A142" s="3361"/>
      <c r="B142" s="2943" t="s">
        <v>3105</v>
      </c>
      <c r="C142" s="2941">
        <v>18.72</v>
      </c>
      <c r="D142" s="2944" t="s">
        <v>48</v>
      </c>
      <c r="E142" s="3384">
        <f t="shared" ca="1" si="7"/>
        <v>8401</v>
      </c>
      <c r="F142" s="3383">
        <f t="shared" ca="1" si="5"/>
        <v>16</v>
      </c>
    </row>
    <row r="143" spans="1:6">
      <c r="A143" s="3361"/>
      <c r="B143" s="2943" t="s">
        <v>3106</v>
      </c>
      <c r="C143" s="2941">
        <v>18.72</v>
      </c>
      <c r="D143" s="2944" t="s">
        <v>48</v>
      </c>
      <c r="E143" s="3384">
        <f t="shared" ca="1" si="7"/>
        <v>8401</v>
      </c>
      <c r="F143" s="3383">
        <f t="shared" ca="1" si="5"/>
        <v>16</v>
      </c>
    </row>
    <row r="144" spans="1:6">
      <c r="A144" s="3361"/>
      <c r="B144" s="2943" t="s">
        <v>3107</v>
      </c>
      <c r="C144" s="2941">
        <v>13.31</v>
      </c>
      <c r="D144" s="2944" t="s">
        <v>48</v>
      </c>
      <c r="E144" s="3384">
        <f t="shared" ca="1" si="7"/>
        <v>8401</v>
      </c>
      <c r="F144" s="3383">
        <f t="shared" ca="1" si="5"/>
        <v>11</v>
      </c>
    </row>
    <row r="145" spans="1:6">
      <c r="A145" s="3361"/>
      <c r="B145" s="2943" t="s">
        <v>3108</v>
      </c>
      <c r="C145" s="2941">
        <v>13.31</v>
      </c>
      <c r="D145" s="2944" t="s">
        <v>48</v>
      </c>
      <c r="E145" s="3384">
        <f t="shared" ca="1" si="7"/>
        <v>8401</v>
      </c>
      <c r="F145" s="3383">
        <f t="shared" ca="1" si="5"/>
        <v>11</v>
      </c>
    </row>
    <row r="146" spans="1:6">
      <c r="A146" s="3361"/>
      <c r="B146" s="2943" t="s">
        <v>3109</v>
      </c>
      <c r="C146" s="2941">
        <v>13.31</v>
      </c>
      <c r="D146" s="2944" t="s">
        <v>48</v>
      </c>
      <c r="E146" s="3384">
        <f t="shared" ca="1" si="7"/>
        <v>8401</v>
      </c>
      <c r="F146" s="3383">
        <f t="shared" ca="1" si="5"/>
        <v>11</v>
      </c>
    </row>
    <row r="147" spans="1:6">
      <c r="A147" s="3361"/>
      <c r="B147" s="2943" t="s">
        <v>3110</v>
      </c>
      <c r="C147" s="2941">
        <v>13.31</v>
      </c>
      <c r="D147" s="2944" t="s">
        <v>48</v>
      </c>
      <c r="E147" s="3384">
        <f t="shared" ca="1" si="7"/>
        <v>8401</v>
      </c>
      <c r="F147" s="3383">
        <f t="shared" ca="1" si="5"/>
        <v>11</v>
      </c>
    </row>
    <row r="148" spans="1:6">
      <c r="A148" s="3361"/>
      <c r="B148" s="2943" t="s">
        <v>3111</v>
      </c>
      <c r="C148" s="2941">
        <v>13.31</v>
      </c>
      <c r="D148" s="2944" t="s">
        <v>48</v>
      </c>
      <c r="E148" s="3384">
        <f t="shared" ca="1" si="7"/>
        <v>8401</v>
      </c>
      <c r="F148" s="3383">
        <f t="shared" ca="1" si="5"/>
        <v>11</v>
      </c>
    </row>
    <row r="149" spans="1:6">
      <c r="A149" s="3361"/>
      <c r="B149" s="2943" t="s">
        <v>3112</v>
      </c>
      <c r="C149" s="2941">
        <v>13.31</v>
      </c>
      <c r="D149" s="2944" t="s">
        <v>48</v>
      </c>
      <c r="E149" s="3384">
        <f t="shared" ca="1" si="7"/>
        <v>8401</v>
      </c>
      <c r="F149" s="3383">
        <f t="shared" ca="1" si="5"/>
        <v>11</v>
      </c>
    </row>
    <row r="150" spans="1:6">
      <c r="A150" s="3361"/>
      <c r="B150" s="2943" t="s">
        <v>3113</v>
      </c>
      <c r="C150" s="2941">
        <v>18.72</v>
      </c>
      <c r="D150" s="2944" t="s">
        <v>48</v>
      </c>
      <c r="E150" s="3384">
        <f t="shared" ca="1" si="7"/>
        <v>8401</v>
      </c>
      <c r="F150" s="3383">
        <f t="shared" ca="1" si="5"/>
        <v>16</v>
      </c>
    </row>
    <row r="151" spans="1:6">
      <c r="A151" s="3361"/>
      <c r="B151" s="2943" t="s">
        <v>3114</v>
      </c>
      <c r="C151" s="2941">
        <v>18.72</v>
      </c>
      <c r="D151" s="2944" t="s">
        <v>48</v>
      </c>
      <c r="E151" s="3384">
        <f t="shared" ca="1" si="7"/>
        <v>8401</v>
      </c>
      <c r="F151" s="3383">
        <f t="shared" ca="1" si="5"/>
        <v>16</v>
      </c>
    </row>
    <row r="152" spans="1:6">
      <c r="A152" s="3361"/>
      <c r="B152" s="2943" t="s">
        <v>3115</v>
      </c>
      <c r="C152" s="2941">
        <v>18.72</v>
      </c>
      <c r="D152" s="2944" t="s">
        <v>48</v>
      </c>
      <c r="E152" s="3384">
        <f t="shared" ca="1" si="7"/>
        <v>8401</v>
      </c>
      <c r="F152" s="3383">
        <f t="shared" ca="1" si="5"/>
        <v>16</v>
      </c>
    </row>
    <row r="153" spans="1:6">
      <c r="A153" s="3361"/>
      <c r="B153" s="2943" t="s">
        <v>3116</v>
      </c>
      <c r="C153" s="2941">
        <v>18.72</v>
      </c>
      <c r="D153" s="2944" t="s">
        <v>48</v>
      </c>
      <c r="E153" s="3384">
        <f t="shared" ca="1" si="7"/>
        <v>8401</v>
      </c>
      <c r="F153" s="3383">
        <f t="shared" ca="1" si="5"/>
        <v>16</v>
      </c>
    </row>
    <row r="154" spans="1:6">
      <c r="A154" s="3361"/>
      <c r="B154" s="2943" t="s">
        <v>3117</v>
      </c>
      <c r="C154" s="2941">
        <v>18.72</v>
      </c>
      <c r="D154" s="2944" t="s">
        <v>48</v>
      </c>
      <c r="E154" s="3384">
        <f t="shared" ca="1" si="7"/>
        <v>8401</v>
      </c>
      <c r="F154" s="3383">
        <f t="shared" ca="1" si="5"/>
        <v>16</v>
      </c>
    </row>
    <row r="155" spans="1:6">
      <c r="A155" s="3361"/>
      <c r="B155" s="2943" t="s">
        <v>3118</v>
      </c>
      <c r="C155" s="2941">
        <v>18.72</v>
      </c>
      <c r="D155" s="2944" t="s">
        <v>48</v>
      </c>
      <c r="E155" s="3384">
        <f t="shared" ca="1" si="7"/>
        <v>8401</v>
      </c>
      <c r="F155" s="3383">
        <f t="shared" ca="1" si="5"/>
        <v>16</v>
      </c>
    </row>
    <row r="156" spans="1:6">
      <c r="A156" s="3361"/>
      <c r="B156" s="2943" t="s">
        <v>3119</v>
      </c>
      <c r="C156" s="2941">
        <v>13.31</v>
      </c>
      <c r="D156" s="2944" t="s">
        <v>48</v>
      </c>
      <c r="E156" s="3384">
        <f t="shared" ca="1" si="7"/>
        <v>8401</v>
      </c>
      <c r="F156" s="3383">
        <f t="shared" ref="F156:F219" ca="1" si="8">ROUND(C156*E156/10000,0)</f>
        <v>11</v>
      </c>
    </row>
    <row r="157" spans="1:6">
      <c r="A157" s="3361"/>
      <c r="B157" s="2943" t="s">
        <v>3120</v>
      </c>
      <c r="C157" s="2941">
        <v>18.72</v>
      </c>
      <c r="D157" s="2944" t="s">
        <v>48</v>
      </c>
      <c r="E157" s="3384">
        <f t="shared" ca="1" si="7"/>
        <v>8401</v>
      </c>
      <c r="F157" s="3383">
        <f t="shared" ca="1" si="8"/>
        <v>16</v>
      </c>
    </row>
    <row r="158" spans="1:6">
      <c r="A158" s="3361"/>
      <c r="B158" s="2943" t="s">
        <v>3121</v>
      </c>
      <c r="C158" s="2941">
        <v>18.72</v>
      </c>
      <c r="D158" s="2944" t="s">
        <v>48</v>
      </c>
      <c r="E158" s="3384">
        <f t="shared" ca="1" si="7"/>
        <v>8401</v>
      </c>
      <c r="F158" s="3383">
        <f t="shared" ca="1" si="8"/>
        <v>16</v>
      </c>
    </row>
    <row r="159" spans="1:6">
      <c r="A159" s="3361"/>
      <c r="B159" s="2943" t="s">
        <v>3122</v>
      </c>
      <c r="C159" s="2941">
        <v>18.72</v>
      </c>
      <c r="D159" s="2944" t="s">
        <v>48</v>
      </c>
      <c r="E159" s="3384">
        <f t="shared" ca="1" si="7"/>
        <v>8401</v>
      </c>
      <c r="F159" s="3383">
        <f t="shared" ca="1" si="8"/>
        <v>16</v>
      </c>
    </row>
    <row r="160" spans="1:6">
      <c r="A160" s="3361"/>
      <c r="B160" s="2943" t="s">
        <v>3123</v>
      </c>
      <c r="C160" s="2941">
        <v>18.72</v>
      </c>
      <c r="D160" s="2944" t="s">
        <v>48</v>
      </c>
      <c r="E160" s="3384">
        <f t="shared" ca="1" si="7"/>
        <v>8401</v>
      </c>
      <c r="F160" s="3383">
        <f t="shared" ca="1" si="8"/>
        <v>16</v>
      </c>
    </row>
    <row r="161" spans="1:6">
      <c r="A161" s="3361"/>
      <c r="B161" s="2943" t="s">
        <v>3124</v>
      </c>
      <c r="C161" s="2941">
        <v>18.72</v>
      </c>
      <c r="D161" s="2944" t="s">
        <v>48</v>
      </c>
      <c r="E161" s="3384">
        <f t="shared" ca="1" si="7"/>
        <v>8401</v>
      </c>
      <c r="F161" s="3383">
        <f t="shared" ca="1" si="8"/>
        <v>16</v>
      </c>
    </row>
    <row r="162" spans="1:6">
      <c r="A162" s="3361"/>
      <c r="B162" s="2943" t="s">
        <v>3125</v>
      </c>
      <c r="C162" s="2941">
        <v>18.72</v>
      </c>
      <c r="D162" s="2944" t="s">
        <v>48</v>
      </c>
      <c r="E162" s="3384">
        <f t="shared" ca="1" si="7"/>
        <v>8401</v>
      </c>
      <c r="F162" s="3383">
        <f t="shared" ca="1" si="8"/>
        <v>16</v>
      </c>
    </row>
    <row r="163" spans="1:6">
      <c r="A163" s="3361"/>
      <c r="B163" s="2943" t="s">
        <v>3126</v>
      </c>
      <c r="C163" s="2941">
        <v>18.72</v>
      </c>
      <c r="D163" s="2944" t="s">
        <v>48</v>
      </c>
      <c r="E163" s="3384">
        <f t="shared" ca="1" si="7"/>
        <v>8401</v>
      </c>
      <c r="F163" s="3383">
        <f t="shared" ca="1" si="8"/>
        <v>16</v>
      </c>
    </row>
    <row r="164" spans="1:6">
      <c r="A164" s="3361"/>
      <c r="B164" s="2943" t="s">
        <v>3127</v>
      </c>
      <c r="C164" s="2941">
        <v>18.72</v>
      </c>
      <c r="D164" s="2944" t="s">
        <v>48</v>
      </c>
      <c r="E164" s="3384">
        <f t="shared" ca="1" si="7"/>
        <v>8401</v>
      </c>
      <c r="F164" s="3383">
        <f t="shared" ca="1" si="8"/>
        <v>16</v>
      </c>
    </row>
    <row r="165" spans="1:6">
      <c r="A165" s="3361"/>
      <c r="B165" s="2943" t="s">
        <v>3128</v>
      </c>
      <c r="C165" s="2941">
        <v>18.72</v>
      </c>
      <c r="D165" s="2944" t="s">
        <v>48</v>
      </c>
      <c r="E165" s="3384">
        <f t="shared" ca="1" si="7"/>
        <v>8401</v>
      </c>
      <c r="F165" s="3383">
        <f t="shared" ca="1" si="8"/>
        <v>16</v>
      </c>
    </row>
    <row r="166" spans="1:6">
      <c r="A166" s="3361"/>
      <c r="B166" s="2943" t="s">
        <v>3129</v>
      </c>
      <c r="C166" s="2941">
        <v>18.72</v>
      </c>
      <c r="D166" s="2944" t="s">
        <v>48</v>
      </c>
      <c r="E166" s="3384">
        <f t="shared" ca="1" si="7"/>
        <v>8401</v>
      </c>
      <c r="F166" s="3383">
        <f t="shared" ca="1" si="8"/>
        <v>16</v>
      </c>
    </row>
    <row r="167" spans="1:6">
      <c r="A167" s="3361"/>
      <c r="B167" s="2943" t="s">
        <v>3130</v>
      </c>
      <c r="C167" s="2941">
        <v>18.72</v>
      </c>
      <c r="D167" s="2944" t="s">
        <v>48</v>
      </c>
      <c r="E167" s="3384">
        <f t="shared" ca="1" si="7"/>
        <v>8401</v>
      </c>
      <c r="F167" s="3383">
        <f t="shared" ca="1" si="8"/>
        <v>16</v>
      </c>
    </row>
    <row r="168" spans="1:6">
      <c r="A168" s="3361"/>
      <c r="B168" s="2943" t="s">
        <v>3131</v>
      </c>
      <c r="C168" s="2941">
        <v>18.72</v>
      </c>
      <c r="D168" s="2944" t="s">
        <v>48</v>
      </c>
      <c r="E168" s="3384">
        <f t="shared" ca="1" si="7"/>
        <v>8401</v>
      </c>
      <c r="F168" s="3383">
        <f t="shared" ca="1" si="8"/>
        <v>16</v>
      </c>
    </row>
    <row r="169" spans="1:6">
      <c r="A169" s="3361"/>
      <c r="B169" s="2943" t="s">
        <v>3132</v>
      </c>
      <c r="C169" s="2941">
        <v>18.72</v>
      </c>
      <c r="D169" s="2944" t="s">
        <v>48</v>
      </c>
      <c r="E169" s="3384">
        <f t="shared" ca="1" si="7"/>
        <v>8401</v>
      </c>
      <c r="F169" s="3383">
        <f t="shared" ca="1" si="8"/>
        <v>16</v>
      </c>
    </row>
    <row r="170" spans="1:6">
      <c r="A170" s="3361"/>
      <c r="B170" s="2943" t="s">
        <v>3133</v>
      </c>
      <c r="C170" s="2941">
        <v>18.72</v>
      </c>
      <c r="D170" s="2944" t="s">
        <v>48</v>
      </c>
      <c r="E170" s="3384">
        <f t="shared" ca="1" si="7"/>
        <v>8401</v>
      </c>
      <c r="F170" s="3383">
        <f t="shared" ca="1" si="8"/>
        <v>16</v>
      </c>
    </row>
    <row r="171" spans="1:6">
      <c r="A171" s="3361"/>
      <c r="B171" s="2943" t="s">
        <v>3134</v>
      </c>
      <c r="C171" s="2941">
        <v>18.72</v>
      </c>
      <c r="D171" s="2944" t="s">
        <v>48</v>
      </c>
      <c r="E171" s="3384">
        <f t="shared" ca="1" si="7"/>
        <v>8401</v>
      </c>
      <c r="F171" s="3383">
        <f t="shared" ca="1" si="8"/>
        <v>16</v>
      </c>
    </row>
    <row r="172" spans="1:6">
      <c r="A172" s="3361"/>
      <c r="B172" s="2943" t="s">
        <v>3135</v>
      </c>
      <c r="C172" s="2941">
        <v>18.72</v>
      </c>
      <c r="D172" s="2944" t="s">
        <v>48</v>
      </c>
      <c r="E172" s="3384">
        <f t="shared" ca="1" si="7"/>
        <v>8401</v>
      </c>
      <c r="F172" s="3383">
        <f t="shared" ca="1" si="8"/>
        <v>16</v>
      </c>
    </row>
    <row r="173" spans="1:6">
      <c r="A173" s="3361"/>
      <c r="B173" s="2943" t="s">
        <v>3136</v>
      </c>
      <c r="C173" s="2941">
        <v>18.72</v>
      </c>
      <c r="D173" s="2944" t="s">
        <v>48</v>
      </c>
      <c r="E173" s="3384">
        <f t="shared" ca="1" si="7"/>
        <v>8401</v>
      </c>
      <c r="F173" s="3383">
        <f t="shared" ca="1" si="8"/>
        <v>16</v>
      </c>
    </row>
    <row r="174" spans="1:6">
      <c r="A174" s="3361"/>
      <c r="B174" s="2943" t="s">
        <v>3137</v>
      </c>
      <c r="C174" s="2941">
        <v>18.72</v>
      </c>
      <c r="D174" s="2944" t="s">
        <v>48</v>
      </c>
      <c r="E174" s="3384">
        <f t="shared" ca="1" si="7"/>
        <v>8401</v>
      </c>
      <c r="F174" s="3383">
        <f t="shared" ca="1" si="8"/>
        <v>16</v>
      </c>
    </row>
    <row r="175" spans="1:6">
      <c r="A175" s="3361"/>
      <c r="B175" s="2943" t="s">
        <v>3138</v>
      </c>
      <c r="C175" s="2941">
        <v>18.72</v>
      </c>
      <c r="D175" s="2944" t="s">
        <v>48</v>
      </c>
      <c r="E175" s="3384">
        <f t="shared" ca="1" si="7"/>
        <v>8401</v>
      </c>
      <c r="F175" s="3383">
        <f t="shared" ca="1" si="8"/>
        <v>16</v>
      </c>
    </row>
    <row r="176" spans="1:6">
      <c r="A176" s="3361"/>
      <c r="B176" s="2943" t="s">
        <v>3139</v>
      </c>
      <c r="C176" s="2941">
        <v>18.72</v>
      </c>
      <c r="D176" s="2944" t="s">
        <v>48</v>
      </c>
      <c r="E176" s="3384">
        <f t="shared" ca="1" si="7"/>
        <v>8401</v>
      </c>
      <c r="F176" s="3383">
        <f t="shared" ca="1" si="8"/>
        <v>16</v>
      </c>
    </row>
    <row r="177" spans="1:6">
      <c r="A177" s="3361"/>
      <c r="B177" s="2943" t="s">
        <v>3140</v>
      </c>
      <c r="C177" s="2941">
        <v>13.31</v>
      </c>
      <c r="D177" s="2944" t="s">
        <v>48</v>
      </c>
      <c r="E177" s="3384">
        <f t="shared" ca="1" si="7"/>
        <v>8401</v>
      </c>
      <c r="F177" s="3383">
        <f t="shared" ca="1" si="8"/>
        <v>11</v>
      </c>
    </row>
    <row r="178" spans="1:6">
      <c r="A178" s="3361"/>
      <c r="B178" s="2943" t="s">
        <v>3141</v>
      </c>
      <c r="C178" s="2941">
        <v>13.31</v>
      </c>
      <c r="D178" s="2944" t="s">
        <v>48</v>
      </c>
      <c r="E178" s="3384">
        <f t="shared" ca="1" si="7"/>
        <v>8401</v>
      </c>
      <c r="F178" s="3383">
        <f t="shared" ca="1" si="8"/>
        <v>11</v>
      </c>
    </row>
    <row r="179" spans="1:6">
      <c r="A179" s="3361"/>
      <c r="B179" s="2943" t="s">
        <v>3142</v>
      </c>
      <c r="C179" s="2941">
        <v>18.72</v>
      </c>
      <c r="D179" s="2944" t="s">
        <v>48</v>
      </c>
      <c r="E179" s="3384">
        <f t="shared" ca="1" si="7"/>
        <v>8401</v>
      </c>
      <c r="F179" s="3383">
        <f t="shared" ca="1" si="8"/>
        <v>16</v>
      </c>
    </row>
    <row r="180" spans="1:6">
      <c r="A180" s="3361"/>
      <c r="B180" s="2943" t="s">
        <v>3143</v>
      </c>
      <c r="C180" s="2941">
        <v>18.72</v>
      </c>
      <c r="D180" s="2944" t="s">
        <v>48</v>
      </c>
      <c r="E180" s="3384">
        <f t="shared" ca="1" si="7"/>
        <v>8401</v>
      </c>
      <c r="F180" s="3383">
        <f t="shared" ca="1" si="8"/>
        <v>16</v>
      </c>
    </row>
    <row r="181" spans="1:6">
      <c r="A181" s="3361"/>
      <c r="B181" s="2943" t="s">
        <v>3144</v>
      </c>
      <c r="C181" s="2941">
        <v>18.72</v>
      </c>
      <c r="D181" s="2944" t="s">
        <v>48</v>
      </c>
      <c r="E181" s="3384">
        <f t="shared" ca="1" si="7"/>
        <v>8401</v>
      </c>
      <c r="F181" s="3383">
        <f t="shared" ca="1" si="8"/>
        <v>16</v>
      </c>
    </row>
    <row r="182" spans="1:6">
      <c r="A182" s="3361"/>
      <c r="B182" s="2943" t="s">
        <v>3145</v>
      </c>
      <c r="C182" s="2941">
        <v>18.72</v>
      </c>
      <c r="D182" s="2944" t="s">
        <v>48</v>
      </c>
      <c r="E182" s="3384">
        <f t="shared" ref="E182:E245" ca="1" si="9">E181</f>
        <v>8401</v>
      </c>
      <c r="F182" s="3383">
        <f t="shared" ca="1" si="8"/>
        <v>16</v>
      </c>
    </row>
    <row r="183" spans="1:6">
      <c r="A183" s="3361"/>
      <c r="B183" s="2943" t="s">
        <v>3146</v>
      </c>
      <c r="C183" s="2941">
        <v>18.72</v>
      </c>
      <c r="D183" s="2944" t="s">
        <v>48</v>
      </c>
      <c r="E183" s="3384">
        <f t="shared" ca="1" si="9"/>
        <v>8401</v>
      </c>
      <c r="F183" s="3383">
        <f t="shared" ca="1" si="8"/>
        <v>16</v>
      </c>
    </row>
    <row r="184" spans="1:6">
      <c r="A184" s="3361"/>
      <c r="B184" s="2943" t="s">
        <v>3147</v>
      </c>
      <c r="C184" s="2941">
        <v>18.72</v>
      </c>
      <c r="D184" s="2944" t="s">
        <v>48</v>
      </c>
      <c r="E184" s="3384">
        <f t="shared" ca="1" si="9"/>
        <v>8401</v>
      </c>
      <c r="F184" s="3383">
        <f t="shared" ca="1" si="8"/>
        <v>16</v>
      </c>
    </row>
    <row r="185" spans="1:6">
      <c r="A185" s="3361"/>
      <c r="B185" s="2943" t="s">
        <v>3148</v>
      </c>
      <c r="C185" s="2941">
        <v>13.31</v>
      </c>
      <c r="D185" s="2944" t="s">
        <v>48</v>
      </c>
      <c r="E185" s="3384">
        <f t="shared" ca="1" si="9"/>
        <v>8401</v>
      </c>
      <c r="F185" s="3383">
        <f t="shared" ca="1" si="8"/>
        <v>11</v>
      </c>
    </row>
    <row r="186" spans="1:6">
      <c r="A186" s="3361"/>
      <c r="B186" s="2943" t="s">
        <v>3149</v>
      </c>
      <c r="C186" s="2941">
        <v>13.31</v>
      </c>
      <c r="D186" s="2944" t="s">
        <v>48</v>
      </c>
      <c r="E186" s="3384">
        <f t="shared" ca="1" si="9"/>
        <v>8401</v>
      </c>
      <c r="F186" s="3383">
        <f t="shared" ca="1" si="8"/>
        <v>11</v>
      </c>
    </row>
    <row r="187" spans="1:6">
      <c r="A187" s="3361"/>
      <c r="B187" s="2943" t="s">
        <v>3150</v>
      </c>
      <c r="C187" s="2941">
        <v>13.31</v>
      </c>
      <c r="D187" s="2944" t="s">
        <v>48</v>
      </c>
      <c r="E187" s="3384">
        <f t="shared" ca="1" si="9"/>
        <v>8401</v>
      </c>
      <c r="F187" s="3383">
        <f t="shared" ca="1" si="8"/>
        <v>11</v>
      </c>
    </row>
    <row r="188" spans="1:6">
      <c r="A188" s="3361"/>
      <c r="B188" s="2943" t="s">
        <v>3151</v>
      </c>
      <c r="C188" s="2941">
        <v>18.72</v>
      </c>
      <c r="D188" s="2944" t="s">
        <v>48</v>
      </c>
      <c r="E188" s="3384">
        <f t="shared" ca="1" si="9"/>
        <v>8401</v>
      </c>
      <c r="F188" s="3383">
        <f t="shared" ca="1" si="8"/>
        <v>16</v>
      </c>
    </row>
    <row r="189" spans="1:6">
      <c r="A189" s="3361"/>
      <c r="B189" s="2943" t="s">
        <v>3152</v>
      </c>
      <c r="C189" s="2941">
        <v>18.72</v>
      </c>
      <c r="D189" s="2944" t="s">
        <v>48</v>
      </c>
      <c r="E189" s="3384">
        <f t="shared" ca="1" si="9"/>
        <v>8401</v>
      </c>
      <c r="F189" s="3383">
        <f t="shared" ca="1" si="8"/>
        <v>16</v>
      </c>
    </row>
    <row r="190" spans="1:6">
      <c r="A190" s="3361"/>
      <c r="B190" s="2943" t="s">
        <v>3153</v>
      </c>
      <c r="C190" s="2941">
        <v>18.72</v>
      </c>
      <c r="D190" s="2944" t="s">
        <v>48</v>
      </c>
      <c r="E190" s="3384">
        <f t="shared" ca="1" si="9"/>
        <v>8401</v>
      </c>
      <c r="F190" s="3383">
        <f t="shared" ca="1" si="8"/>
        <v>16</v>
      </c>
    </row>
    <row r="191" spans="1:6">
      <c r="A191" s="3361"/>
      <c r="B191" s="2943" t="s">
        <v>3154</v>
      </c>
      <c r="C191" s="2941">
        <v>18.72</v>
      </c>
      <c r="D191" s="2944" t="s">
        <v>48</v>
      </c>
      <c r="E191" s="3384">
        <f t="shared" ca="1" si="9"/>
        <v>8401</v>
      </c>
      <c r="F191" s="3383">
        <f t="shared" ca="1" si="8"/>
        <v>16</v>
      </c>
    </row>
    <row r="192" spans="1:6">
      <c r="A192" s="3361"/>
      <c r="B192" s="2943" t="s">
        <v>3155</v>
      </c>
      <c r="C192" s="2941">
        <v>18.72</v>
      </c>
      <c r="D192" s="2944" t="s">
        <v>48</v>
      </c>
      <c r="E192" s="3384">
        <f t="shared" ca="1" si="9"/>
        <v>8401</v>
      </c>
      <c r="F192" s="3383">
        <f t="shared" ca="1" si="8"/>
        <v>16</v>
      </c>
    </row>
    <row r="193" spans="1:6">
      <c r="A193" s="3361"/>
      <c r="B193" s="2943" t="s">
        <v>3156</v>
      </c>
      <c r="C193" s="2941">
        <v>18.72</v>
      </c>
      <c r="D193" s="2944" t="s">
        <v>48</v>
      </c>
      <c r="E193" s="3384">
        <f t="shared" ca="1" si="9"/>
        <v>8401</v>
      </c>
      <c r="F193" s="3383">
        <f t="shared" ca="1" si="8"/>
        <v>16</v>
      </c>
    </row>
    <row r="194" spans="1:6">
      <c r="A194" s="3361"/>
      <c r="B194" s="2943" t="s">
        <v>3157</v>
      </c>
      <c r="C194" s="2941">
        <v>18.72</v>
      </c>
      <c r="D194" s="2944" t="s">
        <v>48</v>
      </c>
      <c r="E194" s="3384">
        <f t="shared" ca="1" si="9"/>
        <v>8401</v>
      </c>
      <c r="F194" s="3383">
        <f t="shared" ca="1" si="8"/>
        <v>16</v>
      </c>
    </row>
    <row r="195" spans="1:6">
      <c r="A195" s="3361"/>
      <c r="B195" s="2943" t="s">
        <v>3158</v>
      </c>
      <c r="C195" s="2941">
        <v>18.72</v>
      </c>
      <c r="D195" s="2944" t="s">
        <v>48</v>
      </c>
      <c r="E195" s="3384">
        <f t="shared" ca="1" si="9"/>
        <v>8401</v>
      </c>
      <c r="F195" s="3383">
        <f t="shared" ca="1" si="8"/>
        <v>16</v>
      </c>
    </row>
    <row r="196" spans="1:6">
      <c r="A196" s="3361"/>
      <c r="B196" s="2943" t="s">
        <v>3159</v>
      </c>
      <c r="C196" s="2941">
        <v>18.72</v>
      </c>
      <c r="D196" s="2944" t="s">
        <v>48</v>
      </c>
      <c r="E196" s="3384">
        <f t="shared" ca="1" si="9"/>
        <v>8401</v>
      </c>
      <c r="F196" s="3383">
        <f t="shared" ca="1" si="8"/>
        <v>16</v>
      </c>
    </row>
    <row r="197" spans="1:6">
      <c r="A197" s="3361"/>
      <c r="B197" s="2943" t="s">
        <v>3160</v>
      </c>
      <c r="C197" s="2941">
        <v>18.72</v>
      </c>
      <c r="D197" s="2944" t="s">
        <v>48</v>
      </c>
      <c r="E197" s="3384">
        <f t="shared" ca="1" si="9"/>
        <v>8401</v>
      </c>
      <c r="F197" s="3383">
        <f t="shared" ca="1" si="8"/>
        <v>16</v>
      </c>
    </row>
    <row r="198" spans="1:6">
      <c r="A198" s="3361"/>
      <c r="B198" s="2943" t="s">
        <v>3161</v>
      </c>
      <c r="C198" s="2941">
        <v>18.72</v>
      </c>
      <c r="D198" s="2944" t="s">
        <v>48</v>
      </c>
      <c r="E198" s="3384">
        <f t="shared" ca="1" si="9"/>
        <v>8401</v>
      </c>
      <c r="F198" s="3383">
        <f t="shared" ca="1" si="8"/>
        <v>16</v>
      </c>
    </row>
    <row r="199" spans="1:6">
      <c r="A199" s="3361"/>
      <c r="B199" s="2943" t="s">
        <v>3162</v>
      </c>
      <c r="C199" s="2941">
        <v>18.72</v>
      </c>
      <c r="D199" s="2944" t="s">
        <v>48</v>
      </c>
      <c r="E199" s="3384">
        <f t="shared" ca="1" si="9"/>
        <v>8401</v>
      </c>
      <c r="F199" s="3383">
        <f t="shared" ca="1" si="8"/>
        <v>16</v>
      </c>
    </row>
    <row r="200" spans="1:6">
      <c r="A200" s="3361"/>
      <c r="B200" s="2943" t="s">
        <v>3163</v>
      </c>
      <c r="C200" s="2941">
        <v>18.72</v>
      </c>
      <c r="D200" s="2944" t="s">
        <v>48</v>
      </c>
      <c r="E200" s="3384">
        <f t="shared" ca="1" si="9"/>
        <v>8401</v>
      </c>
      <c r="F200" s="3383">
        <f t="shared" ca="1" si="8"/>
        <v>16</v>
      </c>
    </row>
    <row r="201" spans="1:6">
      <c r="A201" s="3361"/>
      <c r="B201" s="2943" t="s">
        <v>3164</v>
      </c>
      <c r="C201" s="2941">
        <v>18.72</v>
      </c>
      <c r="D201" s="2944" t="s">
        <v>48</v>
      </c>
      <c r="E201" s="3384">
        <f t="shared" ca="1" si="9"/>
        <v>8401</v>
      </c>
      <c r="F201" s="3383">
        <f t="shared" ca="1" si="8"/>
        <v>16</v>
      </c>
    </row>
    <row r="202" spans="1:6">
      <c r="A202" s="3361"/>
      <c r="B202" s="2943" t="s">
        <v>3165</v>
      </c>
      <c r="C202" s="2941">
        <v>18.72</v>
      </c>
      <c r="D202" s="2944" t="s">
        <v>48</v>
      </c>
      <c r="E202" s="3384">
        <f t="shared" ca="1" si="9"/>
        <v>8401</v>
      </c>
      <c r="F202" s="3383">
        <f t="shared" ca="1" si="8"/>
        <v>16</v>
      </c>
    </row>
    <row r="203" spans="1:6">
      <c r="A203" s="3361"/>
      <c r="B203" s="2943" t="s">
        <v>3166</v>
      </c>
      <c r="C203" s="2941">
        <v>18.72</v>
      </c>
      <c r="D203" s="2944" t="s">
        <v>48</v>
      </c>
      <c r="E203" s="3384">
        <f t="shared" ca="1" si="9"/>
        <v>8401</v>
      </c>
      <c r="F203" s="3383">
        <f t="shared" ca="1" si="8"/>
        <v>16</v>
      </c>
    </row>
    <row r="204" spans="1:6">
      <c r="A204" s="3361"/>
      <c r="B204" s="2943" t="s">
        <v>3167</v>
      </c>
      <c r="C204" s="2941">
        <v>18.72</v>
      </c>
      <c r="D204" s="2944" t="s">
        <v>48</v>
      </c>
      <c r="E204" s="3384">
        <f t="shared" ca="1" si="9"/>
        <v>8401</v>
      </c>
      <c r="F204" s="3383">
        <f t="shared" ca="1" si="8"/>
        <v>16</v>
      </c>
    </row>
    <row r="205" spans="1:6">
      <c r="A205" s="3361"/>
      <c r="B205" s="2943" t="s">
        <v>3168</v>
      </c>
      <c r="C205" s="2941">
        <v>18.72</v>
      </c>
      <c r="D205" s="2944" t="s">
        <v>48</v>
      </c>
      <c r="E205" s="3384">
        <f t="shared" ca="1" si="9"/>
        <v>8401</v>
      </c>
      <c r="F205" s="3383">
        <f t="shared" ca="1" si="8"/>
        <v>16</v>
      </c>
    </row>
    <row r="206" spans="1:6">
      <c r="A206" s="3361"/>
      <c r="B206" s="2943" t="s">
        <v>3169</v>
      </c>
      <c r="C206" s="2941">
        <v>18.72</v>
      </c>
      <c r="D206" s="2944" t="s">
        <v>48</v>
      </c>
      <c r="E206" s="3384">
        <f t="shared" ca="1" si="9"/>
        <v>8401</v>
      </c>
      <c r="F206" s="3383">
        <f t="shared" ca="1" si="8"/>
        <v>16</v>
      </c>
    </row>
    <row r="207" spans="1:6">
      <c r="A207" s="3361"/>
      <c r="B207" s="2943" t="s">
        <v>3170</v>
      </c>
      <c r="C207" s="2941">
        <v>18.72</v>
      </c>
      <c r="D207" s="2944" t="s">
        <v>48</v>
      </c>
      <c r="E207" s="3384">
        <f t="shared" ca="1" si="9"/>
        <v>8401</v>
      </c>
      <c r="F207" s="3383">
        <f t="shared" ca="1" si="8"/>
        <v>16</v>
      </c>
    </row>
    <row r="208" spans="1:6">
      <c r="A208" s="3361"/>
      <c r="B208" s="2943" t="s">
        <v>3171</v>
      </c>
      <c r="C208" s="2941">
        <v>18.72</v>
      </c>
      <c r="D208" s="2944" t="s">
        <v>48</v>
      </c>
      <c r="E208" s="3384">
        <f t="shared" ca="1" si="9"/>
        <v>8401</v>
      </c>
      <c r="F208" s="3383">
        <f t="shared" ca="1" si="8"/>
        <v>16</v>
      </c>
    </row>
    <row r="209" spans="1:6">
      <c r="A209" s="3361"/>
      <c r="B209" s="2943" t="s">
        <v>3172</v>
      </c>
      <c r="C209" s="2941">
        <v>18.72</v>
      </c>
      <c r="D209" s="2944" t="s">
        <v>48</v>
      </c>
      <c r="E209" s="3384">
        <f t="shared" ca="1" si="9"/>
        <v>8401</v>
      </c>
      <c r="F209" s="3383">
        <f t="shared" ca="1" si="8"/>
        <v>16</v>
      </c>
    </row>
    <row r="210" spans="1:6">
      <c r="A210" s="3361"/>
      <c r="B210" s="2943" t="s">
        <v>3173</v>
      </c>
      <c r="C210" s="2941">
        <v>18.72</v>
      </c>
      <c r="D210" s="2944" t="s">
        <v>48</v>
      </c>
      <c r="E210" s="3384">
        <f t="shared" ca="1" si="9"/>
        <v>8401</v>
      </c>
      <c r="F210" s="3383">
        <f t="shared" ca="1" si="8"/>
        <v>16</v>
      </c>
    </row>
    <row r="211" spans="1:6">
      <c r="A211" s="3361"/>
      <c r="B211" s="2943" t="s">
        <v>3174</v>
      </c>
      <c r="C211" s="2941">
        <v>18.72</v>
      </c>
      <c r="D211" s="2944" t="s">
        <v>48</v>
      </c>
      <c r="E211" s="3384">
        <f t="shared" ca="1" si="9"/>
        <v>8401</v>
      </c>
      <c r="F211" s="3383">
        <f t="shared" ca="1" si="8"/>
        <v>16</v>
      </c>
    </row>
    <row r="212" spans="1:6">
      <c r="A212" s="3361"/>
      <c r="B212" s="2943" t="s">
        <v>3175</v>
      </c>
      <c r="C212" s="2941">
        <v>18.72</v>
      </c>
      <c r="D212" s="2944" t="s">
        <v>48</v>
      </c>
      <c r="E212" s="3384">
        <f t="shared" ca="1" si="9"/>
        <v>8401</v>
      </c>
      <c r="F212" s="3383">
        <f t="shared" ca="1" si="8"/>
        <v>16</v>
      </c>
    </row>
    <row r="213" spans="1:6">
      <c r="A213" s="3361"/>
      <c r="B213" s="2943" t="s">
        <v>3176</v>
      </c>
      <c r="C213" s="2941">
        <v>18.72</v>
      </c>
      <c r="D213" s="2944" t="s">
        <v>48</v>
      </c>
      <c r="E213" s="3384">
        <f t="shared" ca="1" si="9"/>
        <v>8401</v>
      </c>
      <c r="F213" s="3383">
        <f t="shared" ca="1" si="8"/>
        <v>16</v>
      </c>
    </row>
    <row r="214" spans="1:6">
      <c r="A214" s="3361"/>
      <c r="B214" s="2943" t="s">
        <v>3177</v>
      </c>
      <c r="C214" s="2941">
        <v>18.72</v>
      </c>
      <c r="D214" s="2944" t="s">
        <v>48</v>
      </c>
      <c r="E214" s="3384">
        <f t="shared" ca="1" si="9"/>
        <v>8401</v>
      </c>
      <c r="F214" s="3383">
        <f t="shared" ca="1" si="8"/>
        <v>16</v>
      </c>
    </row>
    <row r="215" spans="1:6">
      <c r="A215" s="3361"/>
      <c r="B215" s="2943" t="s">
        <v>3178</v>
      </c>
      <c r="C215" s="2941">
        <v>18.72</v>
      </c>
      <c r="D215" s="2944" t="s">
        <v>48</v>
      </c>
      <c r="E215" s="3384">
        <f t="shared" ca="1" si="9"/>
        <v>8401</v>
      </c>
      <c r="F215" s="3383">
        <f t="shared" ca="1" si="8"/>
        <v>16</v>
      </c>
    </row>
    <row r="216" spans="1:6">
      <c r="A216" s="3361"/>
      <c r="B216" s="2943" t="s">
        <v>3179</v>
      </c>
      <c r="C216" s="2941">
        <v>18.72</v>
      </c>
      <c r="D216" s="2944" t="s">
        <v>48</v>
      </c>
      <c r="E216" s="3384">
        <f t="shared" ca="1" si="9"/>
        <v>8401</v>
      </c>
      <c r="F216" s="3383">
        <f t="shared" ca="1" si="8"/>
        <v>16</v>
      </c>
    </row>
    <row r="217" spans="1:6">
      <c r="A217" s="3361"/>
      <c r="B217" s="2943" t="s">
        <v>3180</v>
      </c>
      <c r="C217" s="2941">
        <v>18.72</v>
      </c>
      <c r="D217" s="2944" t="s">
        <v>48</v>
      </c>
      <c r="E217" s="3384">
        <f t="shared" ca="1" si="9"/>
        <v>8401</v>
      </c>
      <c r="F217" s="3383">
        <f t="shared" ca="1" si="8"/>
        <v>16</v>
      </c>
    </row>
    <row r="218" spans="1:6">
      <c r="A218" s="3361"/>
      <c r="B218" s="2943" t="s">
        <v>3181</v>
      </c>
      <c r="C218" s="2941">
        <v>18.72</v>
      </c>
      <c r="D218" s="2944" t="s">
        <v>48</v>
      </c>
      <c r="E218" s="3384">
        <f t="shared" ca="1" si="9"/>
        <v>8401</v>
      </c>
      <c r="F218" s="3383">
        <f t="shared" ca="1" si="8"/>
        <v>16</v>
      </c>
    </row>
    <row r="219" spans="1:6">
      <c r="A219" s="3361"/>
      <c r="B219" s="2943" t="s">
        <v>3182</v>
      </c>
      <c r="C219" s="2941">
        <v>18.72</v>
      </c>
      <c r="D219" s="2944" t="s">
        <v>48</v>
      </c>
      <c r="E219" s="3384">
        <f t="shared" ca="1" si="9"/>
        <v>8401</v>
      </c>
      <c r="F219" s="3383">
        <f t="shared" ca="1" si="8"/>
        <v>16</v>
      </c>
    </row>
    <row r="220" spans="1:6">
      <c r="A220" s="3361"/>
      <c r="B220" s="2943" t="s">
        <v>3183</v>
      </c>
      <c r="C220" s="2941">
        <v>18.72</v>
      </c>
      <c r="D220" s="2944" t="s">
        <v>48</v>
      </c>
      <c r="E220" s="3384">
        <f t="shared" ca="1" si="9"/>
        <v>8401</v>
      </c>
      <c r="F220" s="3383">
        <f t="shared" ref="F220:F283" ca="1" si="10">ROUND(C220*E220/10000,0)</f>
        <v>16</v>
      </c>
    </row>
    <row r="221" spans="1:6">
      <c r="A221" s="3361"/>
      <c r="B221" s="2943" t="s">
        <v>3184</v>
      </c>
      <c r="C221" s="2941">
        <v>18.72</v>
      </c>
      <c r="D221" s="2944" t="s">
        <v>48</v>
      </c>
      <c r="E221" s="3384">
        <f t="shared" ca="1" si="9"/>
        <v>8401</v>
      </c>
      <c r="F221" s="3383">
        <f t="shared" ca="1" si="10"/>
        <v>16</v>
      </c>
    </row>
    <row r="222" spans="1:6">
      <c r="A222" s="3361"/>
      <c r="B222" s="2943" t="s">
        <v>3185</v>
      </c>
      <c r="C222" s="2941">
        <v>18.72</v>
      </c>
      <c r="D222" s="2944" t="s">
        <v>48</v>
      </c>
      <c r="E222" s="3384">
        <f t="shared" ca="1" si="9"/>
        <v>8401</v>
      </c>
      <c r="F222" s="3383">
        <f t="shared" ca="1" si="10"/>
        <v>16</v>
      </c>
    </row>
    <row r="223" spans="1:6">
      <c r="A223" s="3361"/>
      <c r="B223" s="2943" t="s">
        <v>3186</v>
      </c>
      <c r="C223" s="2941">
        <v>18.72</v>
      </c>
      <c r="D223" s="2944" t="s">
        <v>48</v>
      </c>
      <c r="E223" s="3384">
        <f t="shared" ca="1" si="9"/>
        <v>8401</v>
      </c>
      <c r="F223" s="3383">
        <f t="shared" ca="1" si="10"/>
        <v>16</v>
      </c>
    </row>
    <row r="224" spans="1:6">
      <c r="A224" s="3361"/>
      <c r="B224" s="2943" t="s">
        <v>3187</v>
      </c>
      <c r="C224" s="2941">
        <v>18.72</v>
      </c>
      <c r="D224" s="2944" t="s">
        <v>48</v>
      </c>
      <c r="E224" s="3384">
        <f t="shared" ca="1" si="9"/>
        <v>8401</v>
      </c>
      <c r="F224" s="3383">
        <f t="shared" ca="1" si="10"/>
        <v>16</v>
      </c>
    </row>
    <row r="225" spans="1:6">
      <c r="A225" s="3361"/>
      <c r="B225" s="2943" t="s">
        <v>3188</v>
      </c>
      <c r="C225" s="2941">
        <v>18.72</v>
      </c>
      <c r="D225" s="2944" t="s">
        <v>48</v>
      </c>
      <c r="E225" s="3384">
        <f t="shared" ca="1" si="9"/>
        <v>8401</v>
      </c>
      <c r="F225" s="3383">
        <f t="shared" ca="1" si="10"/>
        <v>16</v>
      </c>
    </row>
    <row r="226" spans="1:6">
      <c r="A226" s="3361"/>
      <c r="B226" s="2943" t="s">
        <v>3189</v>
      </c>
      <c r="C226" s="2941">
        <v>18.72</v>
      </c>
      <c r="D226" s="2944" t="s">
        <v>48</v>
      </c>
      <c r="E226" s="3384">
        <f t="shared" ca="1" si="9"/>
        <v>8401</v>
      </c>
      <c r="F226" s="3383">
        <f t="shared" ca="1" si="10"/>
        <v>16</v>
      </c>
    </row>
    <row r="227" spans="1:6">
      <c r="A227" s="3361"/>
      <c r="B227" s="2943" t="s">
        <v>3190</v>
      </c>
      <c r="C227" s="2941">
        <v>18.72</v>
      </c>
      <c r="D227" s="2944" t="s">
        <v>48</v>
      </c>
      <c r="E227" s="3384">
        <f t="shared" ca="1" si="9"/>
        <v>8401</v>
      </c>
      <c r="F227" s="3383">
        <f t="shared" ca="1" si="10"/>
        <v>16</v>
      </c>
    </row>
    <row r="228" spans="1:6">
      <c r="A228" s="3361"/>
      <c r="B228" s="2943" t="s">
        <v>3191</v>
      </c>
      <c r="C228" s="2941">
        <v>18.72</v>
      </c>
      <c r="D228" s="2944" t="s">
        <v>48</v>
      </c>
      <c r="E228" s="3384">
        <f t="shared" ca="1" si="9"/>
        <v>8401</v>
      </c>
      <c r="F228" s="3383">
        <f t="shared" ca="1" si="10"/>
        <v>16</v>
      </c>
    </row>
    <row r="229" spans="1:6">
      <c r="A229" s="3361"/>
      <c r="B229" s="2943" t="s">
        <v>3192</v>
      </c>
      <c r="C229" s="2941">
        <v>18.72</v>
      </c>
      <c r="D229" s="2944" t="s">
        <v>48</v>
      </c>
      <c r="E229" s="3384">
        <f t="shared" ca="1" si="9"/>
        <v>8401</v>
      </c>
      <c r="F229" s="3383">
        <f t="shared" ca="1" si="10"/>
        <v>16</v>
      </c>
    </row>
    <row r="230" spans="1:6">
      <c r="A230" s="3361"/>
      <c r="B230" s="2943" t="s">
        <v>3193</v>
      </c>
      <c r="C230" s="2941">
        <v>18.72</v>
      </c>
      <c r="D230" s="2944" t="s">
        <v>48</v>
      </c>
      <c r="E230" s="3384">
        <f t="shared" ca="1" si="9"/>
        <v>8401</v>
      </c>
      <c r="F230" s="3383">
        <f t="shared" ca="1" si="10"/>
        <v>16</v>
      </c>
    </row>
    <row r="231" spans="1:6">
      <c r="A231" s="3361"/>
      <c r="B231" s="2943" t="s">
        <v>3194</v>
      </c>
      <c r="C231" s="2941">
        <v>18.72</v>
      </c>
      <c r="D231" s="2944" t="s">
        <v>48</v>
      </c>
      <c r="E231" s="3384">
        <f t="shared" ca="1" si="9"/>
        <v>8401</v>
      </c>
      <c r="F231" s="3383">
        <f t="shared" ca="1" si="10"/>
        <v>16</v>
      </c>
    </row>
    <row r="232" spans="1:6">
      <c r="A232" s="3361"/>
      <c r="B232" s="2943" t="s">
        <v>3195</v>
      </c>
      <c r="C232" s="2941">
        <v>18.72</v>
      </c>
      <c r="D232" s="2944" t="s">
        <v>48</v>
      </c>
      <c r="E232" s="3384">
        <f t="shared" ca="1" si="9"/>
        <v>8401</v>
      </c>
      <c r="F232" s="3383">
        <f t="shared" ca="1" si="10"/>
        <v>16</v>
      </c>
    </row>
    <row r="233" spans="1:6">
      <c r="A233" s="3361"/>
      <c r="B233" s="2943" t="s">
        <v>3196</v>
      </c>
      <c r="C233" s="2941">
        <v>18.72</v>
      </c>
      <c r="D233" s="2944" t="s">
        <v>48</v>
      </c>
      <c r="E233" s="3384">
        <f t="shared" ca="1" si="9"/>
        <v>8401</v>
      </c>
      <c r="F233" s="3383">
        <f t="shared" ca="1" si="10"/>
        <v>16</v>
      </c>
    </row>
    <row r="234" spans="1:6">
      <c r="A234" s="3361"/>
      <c r="B234" s="2943" t="s">
        <v>3197</v>
      </c>
      <c r="C234" s="2941">
        <v>18.72</v>
      </c>
      <c r="D234" s="2944" t="s">
        <v>48</v>
      </c>
      <c r="E234" s="3384">
        <f t="shared" ca="1" si="9"/>
        <v>8401</v>
      </c>
      <c r="F234" s="3383">
        <f t="shared" ca="1" si="10"/>
        <v>16</v>
      </c>
    </row>
    <row r="235" spans="1:6">
      <c r="A235" s="3361"/>
      <c r="B235" s="2943" t="s">
        <v>3198</v>
      </c>
      <c r="C235" s="2941">
        <v>18.72</v>
      </c>
      <c r="D235" s="2944" t="s">
        <v>48</v>
      </c>
      <c r="E235" s="3384">
        <f t="shared" ca="1" si="9"/>
        <v>8401</v>
      </c>
      <c r="F235" s="3383">
        <f t="shared" ca="1" si="10"/>
        <v>16</v>
      </c>
    </row>
    <row r="236" spans="1:6">
      <c r="A236" s="3361"/>
      <c r="B236" s="2943" t="s">
        <v>3199</v>
      </c>
      <c r="C236" s="2941">
        <v>18.72</v>
      </c>
      <c r="D236" s="2944" t="s">
        <v>48</v>
      </c>
      <c r="E236" s="3384">
        <f t="shared" ca="1" si="9"/>
        <v>8401</v>
      </c>
      <c r="F236" s="3383">
        <f t="shared" ca="1" si="10"/>
        <v>16</v>
      </c>
    </row>
    <row r="237" spans="1:6">
      <c r="A237" s="3361"/>
      <c r="B237" s="2943" t="s">
        <v>3200</v>
      </c>
      <c r="C237" s="2941">
        <v>18.72</v>
      </c>
      <c r="D237" s="2944" t="s">
        <v>48</v>
      </c>
      <c r="E237" s="3384">
        <f t="shared" ca="1" si="9"/>
        <v>8401</v>
      </c>
      <c r="F237" s="3383">
        <f t="shared" ca="1" si="10"/>
        <v>16</v>
      </c>
    </row>
    <row r="238" spans="1:6">
      <c r="A238" s="3361"/>
      <c r="B238" s="2943" t="s">
        <v>3201</v>
      </c>
      <c r="C238" s="2941">
        <v>18.72</v>
      </c>
      <c r="D238" s="2944" t="s">
        <v>48</v>
      </c>
      <c r="E238" s="3384">
        <f t="shared" ca="1" si="9"/>
        <v>8401</v>
      </c>
      <c r="F238" s="3383">
        <f t="shared" ca="1" si="10"/>
        <v>16</v>
      </c>
    </row>
    <row r="239" spans="1:6">
      <c r="A239" s="3361"/>
      <c r="B239" s="2943" t="s">
        <v>3202</v>
      </c>
      <c r="C239" s="2941">
        <v>18.72</v>
      </c>
      <c r="D239" s="2944" t="s">
        <v>48</v>
      </c>
      <c r="E239" s="3384">
        <f t="shared" ca="1" si="9"/>
        <v>8401</v>
      </c>
      <c r="F239" s="3383">
        <f t="shared" ca="1" si="10"/>
        <v>16</v>
      </c>
    </row>
    <row r="240" spans="1:6">
      <c r="A240" s="3361"/>
      <c r="B240" s="2943" t="s">
        <v>3203</v>
      </c>
      <c r="C240" s="2941">
        <v>18.72</v>
      </c>
      <c r="D240" s="2944" t="s">
        <v>48</v>
      </c>
      <c r="E240" s="3384">
        <f t="shared" ca="1" si="9"/>
        <v>8401</v>
      </c>
      <c r="F240" s="3383">
        <f t="shared" ca="1" si="10"/>
        <v>16</v>
      </c>
    </row>
    <row r="241" spans="1:6">
      <c r="A241" s="3361"/>
      <c r="B241" s="2943" t="s">
        <v>3204</v>
      </c>
      <c r="C241" s="2941">
        <v>18.72</v>
      </c>
      <c r="D241" s="2944" t="s">
        <v>48</v>
      </c>
      <c r="E241" s="3384">
        <f t="shared" ca="1" si="9"/>
        <v>8401</v>
      </c>
      <c r="F241" s="3383">
        <f t="shared" ca="1" si="10"/>
        <v>16</v>
      </c>
    </row>
    <row r="242" spans="1:6">
      <c r="A242" s="3361"/>
      <c r="B242" s="2943" t="s">
        <v>3205</v>
      </c>
      <c r="C242" s="2941">
        <v>18.72</v>
      </c>
      <c r="D242" s="2944" t="s">
        <v>48</v>
      </c>
      <c r="E242" s="3384">
        <f t="shared" ca="1" si="9"/>
        <v>8401</v>
      </c>
      <c r="F242" s="3383">
        <f t="shared" ca="1" si="10"/>
        <v>16</v>
      </c>
    </row>
    <row r="243" spans="1:6">
      <c r="A243" s="3361"/>
      <c r="B243" s="2943" t="s">
        <v>3206</v>
      </c>
      <c r="C243" s="2941">
        <v>18.72</v>
      </c>
      <c r="D243" s="2944" t="s">
        <v>48</v>
      </c>
      <c r="E243" s="3384">
        <f t="shared" ca="1" si="9"/>
        <v>8401</v>
      </c>
      <c r="F243" s="3383">
        <f t="shared" ca="1" si="10"/>
        <v>16</v>
      </c>
    </row>
    <row r="244" spans="1:6">
      <c r="A244" s="3361"/>
      <c r="B244" s="2943" t="s">
        <v>3207</v>
      </c>
      <c r="C244" s="2941">
        <v>18.72</v>
      </c>
      <c r="D244" s="2944" t="s">
        <v>48</v>
      </c>
      <c r="E244" s="3384">
        <f t="shared" ca="1" si="9"/>
        <v>8401</v>
      </c>
      <c r="F244" s="3383">
        <f t="shared" ca="1" si="10"/>
        <v>16</v>
      </c>
    </row>
    <row r="245" spans="1:6">
      <c r="A245" s="3361"/>
      <c r="B245" s="2943" t="s">
        <v>3208</v>
      </c>
      <c r="C245" s="2941">
        <v>18.72</v>
      </c>
      <c r="D245" s="2944" t="s">
        <v>48</v>
      </c>
      <c r="E245" s="3384">
        <f t="shared" ca="1" si="9"/>
        <v>8401</v>
      </c>
      <c r="F245" s="3383">
        <f t="shared" ca="1" si="10"/>
        <v>16</v>
      </c>
    </row>
    <row r="246" spans="1:6">
      <c r="A246" s="3361"/>
      <c r="B246" s="2943" t="s">
        <v>3209</v>
      </c>
      <c r="C246" s="2941">
        <v>18.72</v>
      </c>
      <c r="D246" s="2944" t="s">
        <v>48</v>
      </c>
      <c r="E246" s="3384">
        <f t="shared" ref="E246:E297" ca="1" si="11">E245</f>
        <v>8401</v>
      </c>
      <c r="F246" s="3383">
        <f t="shared" ca="1" si="10"/>
        <v>16</v>
      </c>
    </row>
    <row r="247" spans="1:6">
      <c r="A247" s="3361"/>
      <c r="B247" s="2943" t="s">
        <v>3210</v>
      </c>
      <c r="C247" s="2941">
        <v>18.72</v>
      </c>
      <c r="D247" s="2944" t="s">
        <v>48</v>
      </c>
      <c r="E247" s="3384">
        <f t="shared" ca="1" si="11"/>
        <v>8401</v>
      </c>
      <c r="F247" s="3383">
        <f t="shared" ca="1" si="10"/>
        <v>16</v>
      </c>
    </row>
    <row r="248" spans="1:6">
      <c r="A248" s="3361"/>
      <c r="B248" s="2943" t="s">
        <v>3211</v>
      </c>
      <c r="C248" s="2941">
        <v>18.72</v>
      </c>
      <c r="D248" s="2944" t="s">
        <v>48</v>
      </c>
      <c r="E248" s="3384">
        <f t="shared" ca="1" si="11"/>
        <v>8401</v>
      </c>
      <c r="F248" s="3383">
        <f t="shared" ca="1" si="10"/>
        <v>16</v>
      </c>
    </row>
    <row r="249" spans="1:6">
      <c r="A249" s="3361"/>
      <c r="B249" s="2943" t="s">
        <v>3212</v>
      </c>
      <c r="C249" s="2941">
        <v>18.72</v>
      </c>
      <c r="D249" s="2944" t="s">
        <v>48</v>
      </c>
      <c r="E249" s="3384">
        <f t="shared" ca="1" si="11"/>
        <v>8401</v>
      </c>
      <c r="F249" s="3383">
        <f t="shared" ca="1" si="10"/>
        <v>16</v>
      </c>
    </row>
    <row r="250" spans="1:6">
      <c r="A250" s="3361"/>
      <c r="B250" s="2943" t="s">
        <v>3213</v>
      </c>
      <c r="C250" s="2941">
        <v>18.72</v>
      </c>
      <c r="D250" s="2944" t="s">
        <v>48</v>
      </c>
      <c r="E250" s="3384">
        <f t="shared" ca="1" si="11"/>
        <v>8401</v>
      </c>
      <c r="F250" s="3383">
        <f t="shared" ca="1" si="10"/>
        <v>16</v>
      </c>
    </row>
    <row r="251" spans="1:6">
      <c r="A251" s="3361"/>
      <c r="B251" s="2943" t="s">
        <v>3214</v>
      </c>
      <c r="C251" s="2941">
        <v>18.72</v>
      </c>
      <c r="D251" s="2944" t="s">
        <v>48</v>
      </c>
      <c r="E251" s="3384">
        <f t="shared" ca="1" si="11"/>
        <v>8401</v>
      </c>
      <c r="F251" s="3383">
        <f t="shared" ca="1" si="10"/>
        <v>16</v>
      </c>
    </row>
    <row r="252" spans="1:6">
      <c r="A252" s="3361"/>
      <c r="B252" s="2943" t="s">
        <v>3215</v>
      </c>
      <c r="C252" s="2941">
        <v>13.31</v>
      </c>
      <c r="D252" s="2944" t="s">
        <v>48</v>
      </c>
      <c r="E252" s="3384">
        <f t="shared" ca="1" si="11"/>
        <v>8401</v>
      </c>
      <c r="F252" s="3383">
        <f t="shared" ca="1" si="10"/>
        <v>11</v>
      </c>
    </row>
    <row r="253" spans="1:6">
      <c r="A253" s="3361"/>
      <c r="B253" s="2943" t="s">
        <v>3216</v>
      </c>
      <c r="C253" s="2941">
        <v>13.31</v>
      </c>
      <c r="D253" s="2944" t="s">
        <v>48</v>
      </c>
      <c r="E253" s="3384">
        <f t="shared" ca="1" si="11"/>
        <v>8401</v>
      </c>
      <c r="F253" s="3383">
        <f t="shared" ca="1" si="10"/>
        <v>11</v>
      </c>
    </row>
    <row r="254" spans="1:6">
      <c r="A254" s="3361"/>
      <c r="B254" s="2943" t="s">
        <v>3217</v>
      </c>
      <c r="C254" s="2941">
        <v>13.31</v>
      </c>
      <c r="D254" s="2944" t="s">
        <v>48</v>
      </c>
      <c r="E254" s="3384">
        <f t="shared" ca="1" si="11"/>
        <v>8401</v>
      </c>
      <c r="F254" s="3383">
        <f t="shared" ca="1" si="10"/>
        <v>11</v>
      </c>
    </row>
    <row r="255" spans="1:6">
      <c r="A255" s="3361"/>
      <c r="B255" s="2943" t="s">
        <v>3218</v>
      </c>
      <c r="C255" s="2941">
        <v>18.72</v>
      </c>
      <c r="D255" s="2944" t="s">
        <v>48</v>
      </c>
      <c r="E255" s="3384">
        <f t="shared" ca="1" si="11"/>
        <v>8401</v>
      </c>
      <c r="F255" s="3383">
        <f t="shared" ca="1" si="10"/>
        <v>16</v>
      </c>
    </row>
    <row r="256" spans="1:6">
      <c r="A256" s="3361"/>
      <c r="B256" s="2943" t="s">
        <v>3219</v>
      </c>
      <c r="C256" s="2941">
        <v>18.72</v>
      </c>
      <c r="D256" s="2944" t="s">
        <v>48</v>
      </c>
      <c r="E256" s="3384">
        <f t="shared" ca="1" si="11"/>
        <v>8401</v>
      </c>
      <c r="F256" s="3383">
        <f t="shared" ca="1" si="10"/>
        <v>16</v>
      </c>
    </row>
    <row r="257" spans="1:6">
      <c r="A257" s="3361"/>
      <c r="B257" s="2943" t="s">
        <v>3220</v>
      </c>
      <c r="C257" s="2941">
        <v>18.72</v>
      </c>
      <c r="D257" s="2944" t="s">
        <v>48</v>
      </c>
      <c r="E257" s="3384">
        <f t="shared" ca="1" si="11"/>
        <v>8401</v>
      </c>
      <c r="F257" s="3383">
        <f t="shared" ca="1" si="10"/>
        <v>16</v>
      </c>
    </row>
    <row r="258" spans="1:6">
      <c r="A258" s="3361"/>
      <c r="B258" s="2943" t="s">
        <v>3221</v>
      </c>
      <c r="C258" s="2941">
        <v>18.72</v>
      </c>
      <c r="D258" s="2944" t="s">
        <v>48</v>
      </c>
      <c r="E258" s="3384">
        <f t="shared" ca="1" si="11"/>
        <v>8401</v>
      </c>
      <c r="F258" s="3383">
        <f t="shared" ca="1" si="10"/>
        <v>16</v>
      </c>
    </row>
    <row r="259" spans="1:6">
      <c r="A259" s="3361"/>
      <c r="B259" s="2943" t="s">
        <v>3222</v>
      </c>
      <c r="C259" s="2941">
        <v>18.72</v>
      </c>
      <c r="D259" s="2944" t="s">
        <v>48</v>
      </c>
      <c r="E259" s="3384">
        <f t="shared" ca="1" si="11"/>
        <v>8401</v>
      </c>
      <c r="F259" s="3383">
        <f t="shared" ca="1" si="10"/>
        <v>16</v>
      </c>
    </row>
    <row r="260" spans="1:6">
      <c r="A260" s="3361"/>
      <c r="B260" s="2943" t="s">
        <v>3223</v>
      </c>
      <c r="C260" s="2941">
        <v>18.72</v>
      </c>
      <c r="D260" s="2944" t="s">
        <v>48</v>
      </c>
      <c r="E260" s="3384">
        <f t="shared" ca="1" si="11"/>
        <v>8401</v>
      </c>
      <c r="F260" s="3383">
        <f t="shared" ca="1" si="10"/>
        <v>16</v>
      </c>
    </row>
    <row r="261" spans="1:6">
      <c r="A261" s="3361"/>
      <c r="B261" s="2943" t="s">
        <v>3224</v>
      </c>
      <c r="C261" s="2941">
        <v>18.72</v>
      </c>
      <c r="D261" s="2944" t="s">
        <v>48</v>
      </c>
      <c r="E261" s="3384">
        <f t="shared" ca="1" si="11"/>
        <v>8401</v>
      </c>
      <c r="F261" s="3383">
        <f t="shared" ca="1" si="10"/>
        <v>16</v>
      </c>
    </row>
    <row r="262" spans="1:6">
      <c r="A262" s="3361"/>
      <c r="B262" s="2943" t="s">
        <v>3225</v>
      </c>
      <c r="C262" s="2941">
        <v>18.72</v>
      </c>
      <c r="D262" s="2944" t="s">
        <v>48</v>
      </c>
      <c r="E262" s="3384">
        <f t="shared" ca="1" si="11"/>
        <v>8401</v>
      </c>
      <c r="F262" s="3383">
        <f t="shared" ca="1" si="10"/>
        <v>16</v>
      </c>
    </row>
    <row r="263" spans="1:6">
      <c r="A263" s="3361"/>
      <c r="B263" s="2943" t="s">
        <v>3226</v>
      </c>
      <c r="C263" s="2941">
        <v>18.72</v>
      </c>
      <c r="D263" s="2944" t="s">
        <v>48</v>
      </c>
      <c r="E263" s="3384">
        <f t="shared" ca="1" si="11"/>
        <v>8401</v>
      </c>
      <c r="F263" s="3383">
        <f t="shared" ca="1" si="10"/>
        <v>16</v>
      </c>
    </row>
    <row r="264" spans="1:6">
      <c r="A264" s="3361"/>
      <c r="B264" s="2943" t="s">
        <v>3227</v>
      </c>
      <c r="C264" s="2941">
        <v>18.72</v>
      </c>
      <c r="D264" s="2944" t="s">
        <v>48</v>
      </c>
      <c r="E264" s="3384">
        <f t="shared" ca="1" si="11"/>
        <v>8401</v>
      </c>
      <c r="F264" s="3383">
        <f t="shared" ca="1" si="10"/>
        <v>16</v>
      </c>
    </row>
    <row r="265" spans="1:6">
      <c r="A265" s="3361"/>
      <c r="B265" s="2943" t="s">
        <v>3228</v>
      </c>
      <c r="C265" s="2941">
        <v>18.72</v>
      </c>
      <c r="D265" s="2944" t="s">
        <v>48</v>
      </c>
      <c r="E265" s="3384">
        <f t="shared" ca="1" si="11"/>
        <v>8401</v>
      </c>
      <c r="F265" s="3383">
        <f t="shared" ca="1" si="10"/>
        <v>16</v>
      </c>
    </row>
    <row r="266" spans="1:6">
      <c r="A266" s="3361"/>
      <c r="B266" s="2943" t="s">
        <v>3229</v>
      </c>
      <c r="C266" s="2941">
        <v>18.72</v>
      </c>
      <c r="D266" s="2944" t="s">
        <v>48</v>
      </c>
      <c r="E266" s="3384">
        <f t="shared" ca="1" si="11"/>
        <v>8401</v>
      </c>
      <c r="F266" s="3383">
        <f t="shared" ca="1" si="10"/>
        <v>16</v>
      </c>
    </row>
    <row r="267" spans="1:6">
      <c r="A267" s="3361"/>
      <c r="B267" s="2943" t="s">
        <v>3230</v>
      </c>
      <c r="C267" s="2941">
        <v>18.72</v>
      </c>
      <c r="D267" s="2944" t="s">
        <v>48</v>
      </c>
      <c r="E267" s="3384">
        <f t="shared" ca="1" si="11"/>
        <v>8401</v>
      </c>
      <c r="F267" s="3383">
        <f t="shared" ca="1" si="10"/>
        <v>16</v>
      </c>
    </row>
    <row r="268" spans="1:6">
      <c r="A268" s="3361"/>
      <c r="B268" s="2943" t="s">
        <v>3231</v>
      </c>
      <c r="C268" s="2941">
        <v>18.72</v>
      </c>
      <c r="D268" s="2944" t="s">
        <v>48</v>
      </c>
      <c r="E268" s="3384">
        <f t="shared" ca="1" si="11"/>
        <v>8401</v>
      </c>
      <c r="F268" s="3383">
        <f t="shared" ca="1" si="10"/>
        <v>16</v>
      </c>
    </row>
    <row r="269" spans="1:6">
      <c r="A269" s="3361"/>
      <c r="B269" s="2943" t="s">
        <v>3232</v>
      </c>
      <c r="C269" s="2941">
        <v>18.72</v>
      </c>
      <c r="D269" s="2944" t="s">
        <v>48</v>
      </c>
      <c r="E269" s="3384">
        <f t="shared" ca="1" si="11"/>
        <v>8401</v>
      </c>
      <c r="F269" s="3383">
        <f t="shared" ca="1" si="10"/>
        <v>16</v>
      </c>
    </row>
    <row r="270" spans="1:6">
      <c r="A270" s="3361"/>
      <c r="B270" s="2943" t="s">
        <v>3233</v>
      </c>
      <c r="C270" s="2941">
        <v>18.72</v>
      </c>
      <c r="D270" s="2944" t="s">
        <v>48</v>
      </c>
      <c r="E270" s="3384">
        <f t="shared" ca="1" si="11"/>
        <v>8401</v>
      </c>
      <c r="F270" s="3383">
        <f t="shared" ca="1" si="10"/>
        <v>16</v>
      </c>
    </row>
    <row r="271" spans="1:6">
      <c r="A271" s="3361"/>
      <c r="B271" s="2943" t="s">
        <v>3234</v>
      </c>
      <c r="C271" s="2941">
        <v>18.72</v>
      </c>
      <c r="D271" s="2944" t="s">
        <v>48</v>
      </c>
      <c r="E271" s="3384">
        <f t="shared" ca="1" si="11"/>
        <v>8401</v>
      </c>
      <c r="F271" s="3383">
        <f t="shared" ca="1" si="10"/>
        <v>16</v>
      </c>
    </row>
    <row r="272" spans="1:6">
      <c r="A272" s="3361"/>
      <c r="B272" s="2943" t="s">
        <v>3235</v>
      </c>
      <c r="C272" s="2941">
        <v>18.72</v>
      </c>
      <c r="D272" s="2944" t="s">
        <v>48</v>
      </c>
      <c r="E272" s="3384">
        <f t="shared" ca="1" si="11"/>
        <v>8401</v>
      </c>
      <c r="F272" s="3383">
        <f t="shared" ca="1" si="10"/>
        <v>16</v>
      </c>
    </row>
    <row r="273" spans="1:6">
      <c r="A273" s="3361"/>
      <c r="B273" s="2943" t="s">
        <v>3236</v>
      </c>
      <c r="C273" s="2941">
        <v>18.72</v>
      </c>
      <c r="D273" s="2944" t="s">
        <v>48</v>
      </c>
      <c r="E273" s="3384">
        <f t="shared" ca="1" si="11"/>
        <v>8401</v>
      </c>
      <c r="F273" s="3383">
        <f t="shared" ca="1" si="10"/>
        <v>16</v>
      </c>
    </row>
    <row r="274" spans="1:6">
      <c r="A274" s="3361"/>
      <c r="B274" s="2943" t="s">
        <v>3237</v>
      </c>
      <c r="C274" s="2941">
        <v>18.72</v>
      </c>
      <c r="D274" s="2944" t="s">
        <v>48</v>
      </c>
      <c r="E274" s="3384">
        <f t="shared" ca="1" si="11"/>
        <v>8401</v>
      </c>
      <c r="F274" s="3383">
        <f t="shared" ca="1" si="10"/>
        <v>16</v>
      </c>
    </row>
    <row r="275" spans="1:6">
      <c r="A275" s="3361"/>
      <c r="B275" s="2943" t="s">
        <v>3238</v>
      </c>
      <c r="C275" s="2941">
        <v>18.72</v>
      </c>
      <c r="D275" s="2944" t="s">
        <v>48</v>
      </c>
      <c r="E275" s="3384">
        <f t="shared" ca="1" si="11"/>
        <v>8401</v>
      </c>
      <c r="F275" s="3383">
        <f t="shared" ca="1" si="10"/>
        <v>16</v>
      </c>
    </row>
    <row r="276" spans="1:6">
      <c r="A276" s="3361"/>
      <c r="B276" s="2943" t="s">
        <v>3239</v>
      </c>
      <c r="C276" s="2941">
        <v>18.72</v>
      </c>
      <c r="D276" s="2944" t="s">
        <v>48</v>
      </c>
      <c r="E276" s="3384">
        <f t="shared" ca="1" si="11"/>
        <v>8401</v>
      </c>
      <c r="F276" s="3383">
        <f t="shared" ca="1" si="10"/>
        <v>16</v>
      </c>
    </row>
    <row r="277" spans="1:6">
      <c r="A277" s="3361"/>
      <c r="B277" s="2943" t="s">
        <v>3240</v>
      </c>
      <c r="C277" s="2941">
        <v>18.72</v>
      </c>
      <c r="D277" s="2944" t="s">
        <v>48</v>
      </c>
      <c r="E277" s="3384">
        <f t="shared" ca="1" si="11"/>
        <v>8401</v>
      </c>
      <c r="F277" s="3383">
        <f t="shared" ca="1" si="10"/>
        <v>16</v>
      </c>
    </row>
    <row r="278" spans="1:6">
      <c r="A278" s="3361"/>
      <c r="B278" s="2943" t="s">
        <v>3241</v>
      </c>
      <c r="C278" s="2941">
        <v>18.72</v>
      </c>
      <c r="D278" s="2944" t="s">
        <v>48</v>
      </c>
      <c r="E278" s="3384">
        <f t="shared" ca="1" si="11"/>
        <v>8401</v>
      </c>
      <c r="F278" s="3383">
        <f t="shared" ca="1" si="10"/>
        <v>16</v>
      </c>
    </row>
    <row r="279" spans="1:6">
      <c r="A279" s="3361"/>
      <c r="B279" s="2943" t="s">
        <v>3242</v>
      </c>
      <c r="C279" s="2941">
        <v>18.72</v>
      </c>
      <c r="D279" s="2944" t="s">
        <v>48</v>
      </c>
      <c r="E279" s="3384">
        <f t="shared" ca="1" si="11"/>
        <v>8401</v>
      </c>
      <c r="F279" s="3383">
        <f t="shared" ca="1" si="10"/>
        <v>16</v>
      </c>
    </row>
    <row r="280" spans="1:6">
      <c r="A280" s="3361"/>
      <c r="B280" s="2943" t="s">
        <v>3243</v>
      </c>
      <c r="C280" s="2941">
        <v>18.72</v>
      </c>
      <c r="D280" s="2944" t="s">
        <v>48</v>
      </c>
      <c r="E280" s="3384">
        <f t="shared" ca="1" si="11"/>
        <v>8401</v>
      </c>
      <c r="F280" s="3383">
        <f t="shared" ca="1" si="10"/>
        <v>16</v>
      </c>
    </row>
    <row r="281" spans="1:6">
      <c r="A281" s="3361"/>
      <c r="B281" s="2943" t="s">
        <v>3244</v>
      </c>
      <c r="C281" s="2941">
        <v>18.72</v>
      </c>
      <c r="D281" s="2944" t="s">
        <v>48</v>
      </c>
      <c r="E281" s="3384">
        <f t="shared" ca="1" si="11"/>
        <v>8401</v>
      </c>
      <c r="F281" s="3383">
        <f t="shared" ca="1" si="10"/>
        <v>16</v>
      </c>
    </row>
    <row r="282" spans="1:6">
      <c r="A282" s="3361"/>
      <c r="B282" s="2943" t="s">
        <v>3245</v>
      </c>
      <c r="C282" s="2941">
        <v>18.72</v>
      </c>
      <c r="D282" s="2944" t="s">
        <v>48</v>
      </c>
      <c r="E282" s="3384">
        <f t="shared" ca="1" si="11"/>
        <v>8401</v>
      </c>
      <c r="F282" s="3383">
        <f t="shared" ca="1" si="10"/>
        <v>16</v>
      </c>
    </row>
    <row r="283" spans="1:6">
      <c r="A283" s="3361"/>
      <c r="B283" s="2943" t="s">
        <v>3246</v>
      </c>
      <c r="C283" s="2941">
        <v>18.72</v>
      </c>
      <c r="D283" s="2944" t="s">
        <v>48</v>
      </c>
      <c r="E283" s="3384">
        <f t="shared" ca="1" si="11"/>
        <v>8401</v>
      </c>
      <c r="F283" s="3383">
        <f t="shared" ca="1" si="10"/>
        <v>16</v>
      </c>
    </row>
    <row r="284" spans="1:6">
      <c r="A284" s="3361"/>
      <c r="B284" s="2943" t="s">
        <v>3247</v>
      </c>
      <c r="C284" s="2941">
        <v>18.72</v>
      </c>
      <c r="D284" s="2944" t="s">
        <v>48</v>
      </c>
      <c r="E284" s="3384">
        <f t="shared" ca="1" si="11"/>
        <v>8401</v>
      </c>
      <c r="F284" s="3383">
        <f t="shared" ref="F284:F297" ca="1" si="12">ROUND(C284*E284/10000,0)</f>
        <v>16</v>
      </c>
    </row>
    <row r="285" spans="1:6">
      <c r="A285" s="3361"/>
      <c r="B285" s="2943" t="s">
        <v>3248</v>
      </c>
      <c r="C285" s="2941">
        <v>18.72</v>
      </c>
      <c r="D285" s="2944" t="s">
        <v>48</v>
      </c>
      <c r="E285" s="3384">
        <f t="shared" ca="1" si="11"/>
        <v>8401</v>
      </c>
      <c r="F285" s="3383">
        <f t="shared" ca="1" si="12"/>
        <v>16</v>
      </c>
    </row>
    <row r="286" spans="1:6">
      <c r="A286" s="3361"/>
      <c r="B286" s="2943" t="s">
        <v>3249</v>
      </c>
      <c r="C286" s="2941">
        <v>18.72</v>
      </c>
      <c r="D286" s="2944" t="s">
        <v>48</v>
      </c>
      <c r="E286" s="3384">
        <f t="shared" ca="1" si="11"/>
        <v>8401</v>
      </c>
      <c r="F286" s="3383">
        <f t="shared" ca="1" si="12"/>
        <v>16</v>
      </c>
    </row>
    <row r="287" spans="1:6">
      <c r="A287" s="3361"/>
      <c r="B287" s="2943" t="s">
        <v>3250</v>
      </c>
      <c r="C287" s="2941">
        <v>18.72</v>
      </c>
      <c r="D287" s="2944" t="s">
        <v>48</v>
      </c>
      <c r="E287" s="3384">
        <f t="shared" ca="1" si="11"/>
        <v>8401</v>
      </c>
      <c r="F287" s="3383">
        <f t="shared" ca="1" si="12"/>
        <v>16</v>
      </c>
    </row>
    <row r="288" spans="1:6">
      <c r="A288" s="3361"/>
      <c r="B288" s="2943" t="s">
        <v>3251</v>
      </c>
      <c r="C288" s="2941">
        <v>18.72</v>
      </c>
      <c r="D288" s="2944" t="s">
        <v>48</v>
      </c>
      <c r="E288" s="3384">
        <f t="shared" ca="1" si="11"/>
        <v>8401</v>
      </c>
      <c r="F288" s="3383">
        <f t="shared" ca="1" si="12"/>
        <v>16</v>
      </c>
    </row>
    <row r="289" spans="1:6">
      <c r="A289" s="3361"/>
      <c r="B289" s="2943" t="s">
        <v>3252</v>
      </c>
      <c r="C289" s="2941">
        <v>18.72</v>
      </c>
      <c r="D289" s="2944" t="s">
        <v>48</v>
      </c>
      <c r="E289" s="3384">
        <f t="shared" ca="1" si="11"/>
        <v>8401</v>
      </c>
      <c r="F289" s="3383">
        <f t="shared" ca="1" si="12"/>
        <v>16</v>
      </c>
    </row>
    <row r="290" spans="1:6">
      <c r="A290" s="3361"/>
      <c r="B290" s="2943" t="s">
        <v>3253</v>
      </c>
      <c r="C290" s="2941">
        <v>18.72</v>
      </c>
      <c r="D290" s="2944" t="s">
        <v>48</v>
      </c>
      <c r="E290" s="3384">
        <f t="shared" ca="1" si="11"/>
        <v>8401</v>
      </c>
      <c r="F290" s="3383">
        <f t="shared" ca="1" si="12"/>
        <v>16</v>
      </c>
    </row>
    <row r="291" spans="1:6">
      <c r="A291" s="3361"/>
      <c r="B291" s="2943" t="s">
        <v>3254</v>
      </c>
      <c r="C291" s="2941">
        <v>18.72</v>
      </c>
      <c r="D291" s="2944" t="s">
        <v>48</v>
      </c>
      <c r="E291" s="3384">
        <f t="shared" ca="1" si="11"/>
        <v>8401</v>
      </c>
      <c r="F291" s="3383">
        <f t="shared" ca="1" si="12"/>
        <v>16</v>
      </c>
    </row>
    <row r="292" spans="1:6">
      <c r="A292" s="3361"/>
      <c r="B292" s="2943" t="s">
        <v>3255</v>
      </c>
      <c r="C292" s="2941">
        <v>18.72</v>
      </c>
      <c r="D292" s="2944" t="s">
        <v>48</v>
      </c>
      <c r="E292" s="3384">
        <f t="shared" ca="1" si="11"/>
        <v>8401</v>
      </c>
      <c r="F292" s="3383">
        <f t="shared" ca="1" si="12"/>
        <v>16</v>
      </c>
    </row>
    <row r="293" spans="1:6">
      <c r="A293" s="3361"/>
      <c r="B293" s="2943" t="s">
        <v>3256</v>
      </c>
      <c r="C293" s="2941">
        <v>18.72</v>
      </c>
      <c r="D293" s="2944" t="s">
        <v>48</v>
      </c>
      <c r="E293" s="3384">
        <f t="shared" ca="1" si="11"/>
        <v>8401</v>
      </c>
      <c r="F293" s="3383">
        <f t="shared" ca="1" si="12"/>
        <v>16</v>
      </c>
    </row>
    <row r="294" spans="1:6">
      <c r="A294" s="3361"/>
      <c r="B294" s="2943" t="s">
        <v>3257</v>
      </c>
      <c r="C294" s="2941">
        <v>18.72</v>
      </c>
      <c r="D294" s="2944" t="s">
        <v>48</v>
      </c>
      <c r="E294" s="3384">
        <f t="shared" ca="1" si="11"/>
        <v>8401</v>
      </c>
      <c r="F294" s="3383">
        <f t="shared" ca="1" si="12"/>
        <v>16</v>
      </c>
    </row>
    <row r="295" spans="1:6">
      <c r="A295" s="3361"/>
      <c r="B295" s="2943" t="s">
        <v>3258</v>
      </c>
      <c r="C295" s="2941">
        <v>18.72</v>
      </c>
      <c r="D295" s="2944" t="s">
        <v>48</v>
      </c>
      <c r="E295" s="3384">
        <f t="shared" ca="1" si="11"/>
        <v>8401</v>
      </c>
      <c r="F295" s="3383">
        <f t="shared" ca="1" si="12"/>
        <v>16</v>
      </c>
    </row>
    <row r="296" spans="1:6">
      <c r="A296" s="3361"/>
      <c r="B296" s="2943" t="s">
        <v>3259</v>
      </c>
      <c r="C296" s="2941">
        <v>18.72</v>
      </c>
      <c r="D296" s="2944" t="s">
        <v>48</v>
      </c>
      <c r="E296" s="3384">
        <f t="shared" ca="1" si="11"/>
        <v>8401</v>
      </c>
      <c r="F296" s="3383">
        <f t="shared" ca="1" si="12"/>
        <v>16</v>
      </c>
    </row>
    <row r="297" spans="1:6">
      <c r="A297" s="3361"/>
      <c r="B297" s="2943" t="s">
        <v>3260</v>
      </c>
      <c r="C297" s="2941">
        <v>18.72</v>
      </c>
      <c r="D297" s="2944" t="s">
        <v>48</v>
      </c>
      <c r="E297" s="3384">
        <f t="shared" ca="1" si="11"/>
        <v>8401</v>
      </c>
      <c r="F297" s="3383">
        <f t="shared" ca="1" si="12"/>
        <v>16</v>
      </c>
    </row>
    <row r="298" spans="1:6">
      <c r="A298" s="3367" t="s">
        <v>40</v>
      </c>
      <c r="B298" s="3367"/>
      <c r="C298" s="2945">
        <f>SUM(C116:C297)</f>
        <v>3347.0999999999881</v>
      </c>
      <c r="D298" s="2946" t="s">
        <v>48</v>
      </c>
      <c r="E298" s="3385" t="s">
        <v>3585</v>
      </c>
      <c r="F298" s="3383">
        <f ca="1">SUM(F116:F297)</f>
        <v>2853</v>
      </c>
    </row>
    <row r="299" spans="1:6">
      <c r="A299" s="3366" t="s">
        <v>3261</v>
      </c>
      <c r="B299" s="3366"/>
      <c r="C299" s="2947">
        <f>C298+C115+C97+C68+C26</f>
        <v>12323.559999999987</v>
      </c>
      <c r="D299" s="2948" t="s">
        <v>3262</v>
      </c>
      <c r="E299" s="3384"/>
      <c r="F299" s="3384">
        <f ca="1">F115+F298</f>
        <v>6344</v>
      </c>
    </row>
    <row r="300" spans="1:6">
      <c r="A300" s="2938" t="s">
        <v>3072</v>
      </c>
      <c r="B300" s="2938" t="s">
        <v>3073</v>
      </c>
      <c r="C300" s="2938" t="s">
        <v>3074</v>
      </c>
      <c r="D300" s="2938" t="s">
        <v>1375</v>
      </c>
      <c r="E300" s="3384"/>
      <c r="F300" s="3384"/>
    </row>
    <row r="301" spans="1:6">
      <c r="A301" s="3378" t="s">
        <v>3263</v>
      </c>
      <c r="B301" s="2939">
        <v>102</v>
      </c>
      <c r="C301" s="2941">
        <v>59.85</v>
      </c>
      <c r="D301" s="2939" t="s">
        <v>27</v>
      </c>
      <c r="E301" s="3384">
        <f ca="1">E3</f>
        <v>43657</v>
      </c>
      <c r="F301" s="3383">
        <f t="shared" ref="F301:F364" ca="1" si="13">ROUND(C301*E301/10000,0)</f>
        <v>261</v>
      </c>
    </row>
    <row r="302" spans="1:6">
      <c r="A302" s="3376"/>
      <c r="B302" s="2939">
        <v>103</v>
      </c>
      <c r="C302" s="2941">
        <v>59.5</v>
      </c>
      <c r="D302" s="2939" t="s">
        <v>27</v>
      </c>
      <c r="E302" s="3384">
        <f ca="1">E301</f>
        <v>43657</v>
      </c>
      <c r="F302" s="3383">
        <f t="shared" ca="1" si="13"/>
        <v>260</v>
      </c>
    </row>
    <row r="303" spans="1:6">
      <c r="A303" s="3376"/>
      <c r="B303" s="2939">
        <v>104</v>
      </c>
      <c r="C303" s="2941">
        <v>59.5</v>
      </c>
      <c r="D303" s="2939" t="s">
        <v>27</v>
      </c>
      <c r="E303" s="3384">
        <f t="shared" ref="E303:E366" ca="1" si="14">E302</f>
        <v>43657</v>
      </c>
      <c r="F303" s="3383">
        <f t="shared" ca="1" si="13"/>
        <v>260</v>
      </c>
    </row>
    <row r="304" spans="1:6">
      <c r="A304" s="3376"/>
      <c r="B304" s="2939">
        <v>105</v>
      </c>
      <c r="C304" s="2941">
        <v>59.83</v>
      </c>
      <c r="D304" s="2939" t="s">
        <v>27</v>
      </c>
      <c r="E304" s="3384">
        <f t="shared" ca="1" si="14"/>
        <v>43657</v>
      </c>
      <c r="F304" s="3383">
        <f t="shared" ca="1" si="13"/>
        <v>261</v>
      </c>
    </row>
    <row r="305" spans="1:6">
      <c r="A305" s="3376"/>
      <c r="B305" s="2939">
        <v>106</v>
      </c>
      <c r="C305" s="2941">
        <v>59.5</v>
      </c>
      <c r="D305" s="2939" t="s">
        <v>27</v>
      </c>
      <c r="E305" s="3384">
        <f t="shared" ca="1" si="14"/>
        <v>43657</v>
      </c>
      <c r="F305" s="3383">
        <f t="shared" ca="1" si="13"/>
        <v>260</v>
      </c>
    </row>
    <row r="306" spans="1:6">
      <c r="A306" s="3376"/>
      <c r="B306" s="2939">
        <v>107</v>
      </c>
      <c r="C306" s="2941">
        <v>97.14</v>
      </c>
      <c r="D306" s="2939" t="s">
        <v>27</v>
      </c>
      <c r="E306" s="3384">
        <f t="shared" ca="1" si="14"/>
        <v>43657</v>
      </c>
      <c r="F306" s="3383">
        <f t="shared" ca="1" si="13"/>
        <v>424</v>
      </c>
    </row>
    <row r="307" spans="1:6">
      <c r="A307" s="3376"/>
      <c r="B307" s="2939">
        <v>202</v>
      </c>
      <c r="C307" s="2941">
        <v>118.96</v>
      </c>
      <c r="D307" s="2939" t="s">
        <v>27</v>
      </c>
      <c r="E307" s="3384">
        <f t="shared" ca="1" si="14"/>
        <v>43657</v>
      </c>
      <c r="F307" s="3383">
        <f t="shared" ca="1" si="13"/>
        <v>519</v>
      </c>
    </row>
    <row r="308" spans="1:6">
      <c r="A308" s="3376"/>
      <c r="B308" s="2939">
        <v>203</v>
      </c>
      <c r="C308" s="2941">
        <v>118.27</v>
      </c>
      <c r="D308" s="2939" t="s">
        <v>27</v>
      </c>
      <c r="E308" s="3384">
        <f t="shared" ca="1" si="14"/>
        <v>43657</v>
      </c>
      <c r="F308" s="3383">
        <f t="shared" ca="1" si="13"/>
        <v>516</v>
      </c>
    </row>
    <row r="309" spans="1:6">
      <c r="A309" s="3376"/>
      <c r="B309" s="2939">
        <v>204</v>
      </c>
      <c r="C309" s="2941">
        <v>118.27</v>
      </c>
      <c r="D309" s="2939" t="s">
        <v>27</v>
      </c>
      <c r="E309" s="3384">
        <f t="shared" ca="1" si="14"/>
        <v>43657</v>
      </c>
      <c r="F309" s="3383">
        <f t="shared" ca="1" si="13"/>
        <v>516</v>
      </c>
    </row>
    <row r="310" spans="1:6">
      <c r="A310" s="3376"/>
      <c r="B310" s="2939">
        <v>205</v>
      </c>
      <c r="C310" s="2941">
        <v>118.27</v>
      </c>
      <c r="D310" s="2939" t="s">
        <v>27</v>
      </c>
      <c r="E310" s="3384">
        <f t="shared" ca="1" si="14"/>
        <v>43657</v>
      </c>
      <c r="F310" s="3383">
        <f t="shared" ca="1" si="13"/>
        <v>516</v>
      </c>
    </row>
    <row r="311" spans="1:6">
      <c r="A311" s="3376"/>
      <c r="B311" s="2939">
        <v>206</v>
      </c>
      <c r="C311" s="2941">
        <v>118.94</v>
      </c>
      <c r="D311" s="2939" t="s">
        <v>27</v>
      </c>
      <c r="E311" s="3384">
        <f t="shared" ca="1" si="14"/>
        <v>43657</v>
      </c>
      <c r="F311" s="3383">
        <f t="shared" ca="1" si="13"/>
        <v>519</v>
      </c>
    </row>
    <row r="312" spans="1:6">
      <c r="A312" s="3376"/>
      <c r="B312" s="2939">
        <v>207</v>
      </c>
      <c r="C312" s="2941">
        <v>118.27</v>
      </c>
      <c r="D312" s="2939" t="s">
        <v>27</v>
      </c>
      <c r="E312" s="3384">
        <f t="shared" ca="1" si="14"/>
        <v>43657</v>
      </c>
      <c r="F312" s="3383">
        <f t="shared" ca="1" si="13"/>
        <v>516</v>
      </c>
    </row>
    <row r="313" spans="1:6">
      <c r="A313" s="3376"/>
      <c r="B313" s="2939">
        <v>208</v>
      </c>
      <c r="C313" s="2941">
        <v>118.27</v>
      </c>
      <c r="D313" s="2939" t="s">
        <v>27</v>
      </c>
      <c r="E313" s="3384">
        <f t="shared" ca="1" si="14"/>
        <v>43657</v>
      </c>
      <c r="F313" s="3383">
        <f t="shared" ca="1" si="13"/>
        <v>516</v>
      </c>
    </row>
    <row r="314" spans="1:6">
      <c r="A314" s="3376"/>
      <c r="B314" s="2939">
        <v>209</v>
      </c>
      <c r="C314" s="2941">
        <v>193.73</v>
      </c>
      <c r="D314" s="2939" t="s">
        <v>27</v>
      </c>
      <c r="E314" s="3384">
        <f t="shared" ca="1" si="14"/>
        <v>43657</v>
      </c>
      <c r="F314" s="3383">
        <f t="shared" ca="1" si="13"/>
        <v>846</v>
      </c>
    </row>
    <row r="315" spans="1:6">
      <c r="A315" s="3376"/>
      <c r="B315" s="2939">
        <v>210</v>
      </c>
      <c r="C315" s="2941">
        <v>95.94</v>
      </c>
      <c r="D315" s="2939" t="s">
        <v>27</v>
      </c>
      <c r="E315" s="3384">
        <f t="shared" ca="1" si="14"/>
        <v>43657</v>
      </c>
      <c r="F315" s="3383">
        <f t="shared" ca="1" si="13"/>
        <v>419</v>
      </c>
    </row>
    <row r="316" spans="1:6">
      <c r="A316" s="3376"/>
      <c r="B316" s="2939">
        <v>212</v>
      </c>
      <c r="C316" s="2941">
        <v>96.43</v>
      </c>
      <c r="D316" s="2939" t="s">
        <v>27</v>
      </c>
      <c r="E316" s="3384">
        <f t="shared" ca="1" si="14"/>
        <v>43657</v>
      </c>
      <c r="F316" s="3383">
        <f t="shared" ca="1" si="13"/>
        <v>421</v>
      </c>
    </row>
    <row r="317" spans="1:6">
      <c r="A317" s="3376"/>
      <c r="B317" s="2939">
        <v>213</v>
      </c>
      <c r="C317" s="2941">
        <v>94.87</v>
      </c>
      <c r="D317" s="2939" t="s">
        <v>27</v>
      </c>
      <c r="E317" s="3384">
        <f t="shared" ca="1" si="14"/>
        <v>43657</v>
      </c>
      <c r="F317" s="3383">
        <f t="shared" ca="1" si="13"/>
        <v>414</v>
      </c>
    </row>
    <row r="318" spans="1:6">
      <c r="A318" s="3376"/>
      <c r="B318" s="2939">
        <v>402</v>
      </c>
      <c r="C318" s="2941">
        <v>118.96</v>
      </c>
      <c r="D318" s="2939" t="s">
        <v>27</v>
      </c>
      <c r="E318" s="3384">
        <f t="shared" ca="1" si="14"/>
        <v>43657</v>
      </c>
      <c r="F318" s="3383">
        <f t="shared" ca="1" si="13"/>
        <v>519</v>
      </c>
    </row>
    <row r="319" spans="1:6">
      <c r="A319" s="3376"/>
      <c r="B319" s="2939">
        <v>404</v>
      </c>
      <c r="C319" s="2941">
        <v>118.27</v>
      </c>
      <c r="D319" s="2939" t="s">
        <v>27</v>
      </c>
      <c r="E319" s="3384">
        <f t="shared" ca="1" si="14"/>
        <v>43657</v>
      </c>
      <c r="F319" s="3383">
        <f t="shared" ca="1" si="13"/>
        <v>516</v>
      </c>
    </row>
    <row r="320" spans="1:6">
      <c r="A320" s="3376"/>
      <c r="B320" s="2939">
        <v>405</v>
      </c>
      <c r="C320" s="2941">
        <v>118.27</v>
      </c>
      <c r="D320" s="2939" t="s">
        <v>27</v>
      </c>
      <c r="E320" s="3384">
        <f t="shared" ca="1" si="14"/>
        <v>43657</v>
      </c>
      <c r="F320" s="3383">
        <f t="shared" ca="1" si="13"/>
        <v>516</v>
      </c>
    </row>
    <row r="321" spans="1:6">
      <c r="A321" s="3376"/>
      <c r="B321" s="2939">
        <v>406</v>
      </c>
      <c r="C321" s="2941">
        <v>118.94</v>
      </c>
      <c r="D321" s="2939" t="s">
        <v>27</v>
      </c>
      <c r="E321" s="3384">
        <f t="shared" ca="1" si="14"/>
        <v>43657</v>
      </c>
      <c r="F321" s="3383">
        <f t="shared" ca="1" si="13"/>
        <v>519</v>
      </c>
    </row>
    <row r="322" spans="1:6">
      <c r="A322" s="3376"/>
      <c r="B322" s="2939">
        <v>407</v>
      </c>
      <c r="C322" s="2941">
        <v>118.27</v>
      </c>
      <c r="D322" s="2939" t="s">
        <v>27</v>
      </c>
      <c r="E322" s="3384">
        <f t="shared" ca="1" si="14"/>
        <v>43657</v>
      </c>
      <c r="F322" s="3383">
        <f t="shared" ca="1" si="13"/>
        <v>516</v>
      </c>
    </row>
    <row r="323" spans="1:6">
      <c r="A323" s="3376"/>
      <c r="B323" s="2939">
        <v>408</v>
      </c>
      <c r="C323" s="2941">
        <v>118.27</v>
      </c>
      <c r="D323" s="2939" t="s">
        <v>27</v>
      </c>
      <c r="E323" s="3384">
        <f t="shared" ca="1" si="14"/>
        <v>43657</v>
      </c>
      <c r="F323" s="3383">
        <f t="shared" ca="1" si="13"/>
        <v>516</v>
      </c>
    </row>
    <row r="324" spans="1:6">
      <c r="A324" s="3376"/>
      <c r="B324" s="2939">
        <v>409</v>
      </c>
      <c r="C324" s="2941">
        <v>193.73</v>
      </c>
      <c r="D324" s="2939" t="s">
        <v>27</v>
      </c>
      <c r="E324" s="3384">
        <f t="shared" ca="1" si="14"/>
        <v>43657</v>
      </c>
      <c r="F324" s="3383">
        <f t="shared" ca="1" si="13"/>
        <v>846</v>
      </c>
    </row>
    <row r="325" spans="1:6">
      <c r="A325" s="3376"/>
      <c r="B325" s="2939">
        <v>410</v>
      </c>
      <c r="C325" s="2941">
        <v>95.94</v>
      </c>
      <c r="D325" s="2939" t="s">
        <v>27</v>
      </c>
      <c r="E325" s="3384">
        <f t="shared" ca="1" si="14"/>
        <v>43657</v>
      </c>
      <c r="F325" s="3383">
        <f t="shared" ca="1" si="13"/>
        <v>419</v>
      </c>
    </row>
    <row r="326" spans="1:6">
      <c r="A326" s="3376"/>
      <c r="B326" s="2939">
        <v>411</v>
      </c>
      <c r="C326" s="2941">
        <v>94.08</v>
      </c>
      <c r="D326" s="2939" t="s">
        <v>27</v>
      </c>
      <c r="E326" s="3384">
        <f t="shared" ca="1" si="14"/>
        <v>43657</v>
      </c>
      <c r="F326" s="3383">
        <f t="shared" ca="1" si="13"/>
        <v>411</v>
      </c>
    </row>
    <row r="327" spans="1:6">
      <c r="A327" s="3376"/>
      <c r="B327" s="2939">
        <v>413</v>
      </c>
      <c r="C327" s="2941">
        <v>94.87</v>
      </c>
      <c r="D327" s="2939" t="s">
        <v>27</v>
      </c>
      <c r="E327" s="3384">
        <f t="shared" ca="1" si="14"/>
        <v>43657</v>
      </c>
      <c r="F327" s="3383">
        <f t="shared" ca="1" si="13"/>
        <v>414</v>
      </c>
    </row>
    <row r="328" spans="1:6">
      <c r="A328" s="3376"/>
      <c r="B328" s="2939">
        <v>608</v>
      </c>
      <c r="C328" s="2941">
        <v>118.94</v>
      </c>
      <c r="D328" s="2939" t="s">
        <v>27</v>
      </c>
      <c r="E328" s="3384">
        <f t="shared" ca="1" si="14"/>
        <v>43657</v>
      </c>
      <c r="F328" s="3383">
        <f t="shared" ca="1" si="13"/>
        <v>519</v>
      </c>
    </row>
    <row r="329" spans="1:6">
      <c r="A329" s="3376"/>
      <c r="B329" s="2939">
        <v>804</v>
      </c>
      <c r="C329" s="2941">
        <v>118.94</v>
      </c>
      <c r="D329" s="2939" t="s">
        <v>27</v>
      </c>
      <c r="E329" s="3384">
        <f t="shared" ca="1" si="14"/>
        <v>43657</v>
      </c>
      <c r="F329" s="3383">
        <f t="shared" ca="1" si="13"/>
        <v>519</v>
      </c>
    </row>
    <row r="330" spans="1:6">
      <c r="A330" s="3376"/>
      <c r="B330" s="2939">
        <v>805</v>
      </c>
      <c r="C330" s="2941">
        <v>118.54</v>
      </c>
      <c r="D330" s="2939" t="s">
        <v>27</v>
      </c>
      <c r="E330" s="3384">
        <f t="shared" ca="1" si="14"/>
        <v>43657</v>
      </c>
      <c r="F330" s="3383">
        <f t="shared" ca="1" si="13"/>
        <v>518</v>
      </c>
    </row>
    <row r="331" spans="1:6">
      <c r="A331" s="3376"/>
      <c r="B331" s="2939">
        <v>806</v>
      </c>
      <c r="C331" s="2941">
        <v>120.18</v>
      </c>
      <c r="D331" s="2939" t="s">
        <v>27</v>
      </c>
      <c r="E331" s="3384">
        <f t="shared" ca="1" si="14"/>
        <v>43657</v>
      </c>
      <c r="F331" s="3383">
        <f t="shared" ca="1" si="13"/>
        <v>525</v>
      </c>
    </row>
    <row r="332" spans="1:6">
      <c r="A332" s="3376"/>
      <c r="B332" s="2939">
        <v>808</v>
      </c>
      <c r="C332" s="2941">
        <v>118.94</v>
      </c>
      <c r="D332" s="2939" t="s">
        <v>27</v>
      </c>
      <c r="E332" s="3384">
        <f t="shared" ca="1" si="14"/>
        <v>43657</v>
      </c>
      <c r="F332" s="3383">
        <f t="shared" ca="1" si="13"/>
        <v>519</v>
      </c>
    </row>
    <row r="333" spans="1:6">
      <c r="A333" s="3376"/>
      <c r="B333" s="2939">
        <v>810</v>
      </c>
      <c r="C333" s="2941">
        <v>97.38</v>
      </c>
      <c r="D333" s="2939" t="s">
        <v>27</v>
      </c>
      <c r="E333" s="3384">
        <f t="shared" ca="1" si="14"/>
        <v>43657</v>
      </c>
      <c r="F333" s="3383">
        <f t="shared" ca="1" si="13"/>
        <v>425</v>
      </c>
    </row>
    <row r="334" spans="1:6">
      <c r="A334" s="3376"/>
      <c r="B334" s="2939">
        <v>812</v>
      </c>
      <c r="C334" s="2941">
        <v>97.58</v>
      </c>
      <c r="D334" s="2939" t="s">
        <v>27</v>
      </c>
      <c r="E334" s="3384">
        <f t="shared" ca="1" si="14"/>
        <v>43657</v>
      </c>
      <c r="F334" s="3383">
        <f t="shared" ca="1" si="13"/>
        <v>426</v>
      </c>
    </row>
    <row r="335" spans="1:6">
      <c r="A335" s="3376"/>
      <c r="B335" s="2939">
        <v>1001</v>
      </c>
      <c r="C335" s="2941">
        <v>96.55</v>
      </c>
      <c r="D335" s="2939" t="s">
        <v>27</v>
      </c>
      <c r="E335" s="3384">
        <f t="shared" ca="1" si="14"/>
        <v>43657</v>
      </c>
      <c r="F335" s="3383">
        <f t="shared" ca="1" si="13"/>
        <v>422</v>
      </c>
    </row>
    <row r="336" spans="1:6">
      <c r="A336" s="3376"/>
      <c r="B336" s="2939">
        <v>1003</v>
      </c>
      <c r="C336" s="2941">
        <v>118.94</v>
      </c>
      <c r="D336" s="2939" t="s">
        <v>27</v>
      </c>
      <c r="E336" s="3384">
        <f t="shared" ca="1" si="14"/>
        <v>43657</v>
      </c>
      <c r="F336" s="3383">
        <f t="shared" ca="1" si="13"/>
        <v>519</v>
      </c>
    </row>
    <row r="337" spans="1:6">
      <c r="A337" s="3376"/>
      <c r="B337" s="2939">
        <v>1004</v>
      </c>
      <c r="C337" s="2941">
        <v>118.94</v>
      </c>
      <c r="D337" s="2939" t="s">
        <v>27</v>
      </c>
      <c r="E337" s="3384">
        <f t="shared" ca="1" si="14"/>
        <v>43657</v>
      </c>
      <c r="F337" s="3383">
        <f t="shared" ca="1" si="13"/>
        <v>519</v>
      </c>
    </row>
    <row r="338" spans="1:6">
      <c r="A338" s="3376"/>
      <c r="B338" s="2939">
        <v>1005</v>
      </c>
      <c r="C338" s="2941">
        <v>118.54</v>
      </c>
      <c r="D338" s="2939" t="s">
        <v>27</v>
      </c>
      <c r="E338" s="3384">
        <f t="shared" ca="1" si="14"/>
        <v>43657</v>
      </c>
      <c r="F338" s="3383">
        <f t="shared" ca="1" si="13"/>
        <v>518</v>
      </c>
    </row>
    <row r="339" spans="1:6">
      <c r="A339" s="3376"/>
      <c r="B339" s="2939">
        <v>1008</v>
      </c>
      <c r="C339" s="2941">
        <v>118.94</v>
      </c>
      <c r="D339" s="2939" t="s">
        <v>27</v>
      </c>
      <c r="E339" s="3384">
        <f t="shared" ca="1" si="14"/>
        <v>43657</v>
      </c>
      <c r="F339" s="3383">
        <f t="shared" ca="1" si="13"/>
        <v>519</v>
      </c>
    </row>
    <row r="340" spans="1:6">
      <c r="A340" s="3376"/>
      <c r="B340" s="2939">
        <v>1010</v>
      </c>
      <c r="C340" s="2941">
        <v>97.38</v>
      </c>
      <c r="D340" s="2939" t="s">
        <v>27</v>
      </c>
      <c r="E340" s="3384">
        <f t="shared" ca="1" si="14"/>
        <v>43657</v>
      </c>
      <c r="F340" s="3383">
        <f t="shared" ca="1" si="13"/>
        <v>425</v>
      </c>
    </row>
    <row r="341" spans="1:6">
      <c r="A341" s="3376"/>
      <c r="B341" s="2939">
        <v>1011</v>
      </c>
      <c r="C341" s="2941">
        <v>95.38</v>
      </c>
      <c r="D341" s="2939" t="s">
        <v>27</v>
      </c>
      <c r="E341" s="3384">
        <f t="shared" ca="1" si="14"/>
        <v>43657</v>
      </c>
      <c r="F341" s="3383">
        <f t="shared" ca="1" si="13"/>
        <v>416</v>
      </c>
    </row>
    <row r="342" spans="1:6">
      <c r="A342" s="3376"/>
      <c r="B342" s="2939">
        <v>1012</v>
      </c>
      <c r="C342" s="2941">
        <v>97.59</v>
      </c>
      <c r="D342" s="2939" t="s">
        <v>27</v>
      </c>
      <c r="E342" s="3384">
        <f t="shared" ca="1" si="14"/>
        <v>43657</v>
      </c>
      <c r="F342" s="3383">
        <f t="shared" ca="1" si="13"/>
        <v>426</v>
      </c>
    </row>
    <row r="343" spans="1:6">
      <c r="A343" s="3376"/>
      <c r="B343" s="2939">
        <v>1013</v>
      </c>
      <c r="C343" s="2941">
        <v>95.5</v>
      </c>
      <c r="D343" s="2939" t="s">
        <v>27</v>
      </c>
      <c r="E343" s="3384">
        <f t="shared" ca="1" si="14"/>
        <v>43657</v>
      </c>
      <c r="F343" s="3383">
        <f t="shared" ca="1" si="13"/>
        <v>417</v>
      </c>
    </row>
    <row r="344" spans="1:6">
      <c r="A344" s="3376"/>
      <c r="B344" s="2939">
        <v>1204</v>
      </c>
      <c r="C344" s="2941">
        <v>118.94</v>
      </c>
      <c r="D344" s="2939" t="s">
        <v>27</v>
      </c>
      <c r="E344" s="3384">
        <f t="shared" ca="1" si="14"/>
        <v>43657</v>
      </c>
      <c r="F344" s="3383">
        <f t="shared" ca="1" si="13"/>
        <v>519</v>
      </c>
    </row>
    <row r="345" spans="1:6">
      <c r="A345" s="3376"/>
      <c r="B345" s="2939">
        <v>1205</v>
      </c>
      <c r="C345" s="2941">
        <v>118.54</v>
      </c>
      <c r="D345" s="2939" t="s">
        <v>27</v>
      </c>
      <c r="E345" s="3384">
        <f t="shared" ca="1" si="14"/>
        <v>43657</v>
      </c>
      <c r="F345" s="3383">
        <f t="shared" ca="1" si="13"/>
        <v>518</v>
      </c>
    </row>
    <row r="346" spans="1:6">
      <c r="A346" s="3376"/>
      <c r="B346" s="2939">
        <v>1206</v>
      </c>
      <c r="C346" s="2941">
        <v>120.18</v>
      </c>
      <c r="D346" s="2939" t="s">
        <v>27</v>
      </c>
      <c r="E346" s="3384">
        <f t="shared" ca="1" si="14"/>
        <v>43657</v>
      </c>
      <c r="F346" s="3383">
        <f t="shared" ca="1" si="13"/>
        <v>525</v>
      </c>
    </row>
    <row r="347" spans="1:6">
      <c r="A347" s="3376"/>
      <c r="B347" s="2939">
        <v>1208</v>
      </c>
      <c r="C347" s="2941">
        <v>118.94</v>
      </c>
      <c r="D347" s="2939" t="s">
        <v>27</v>
      </c>
      <c r="E347" s="3384">
        <f t="shared" ca="1" si="14"/>
        <v>43657</v>
      </c>
      <c r="F347" s="3383">
        <f t="shared" ca="1" si="13"/>
        <v>519</v>
      </c>
    </row>
    <row r="348" spans="1:6">
      <c r="A348" s="3376"/>
      <c r="B348" s="2939">
        <v>1209</v>
      </c>
      <c r="C348" s="2941">
        <v>195.02</v>
      </c>
      <c r="D348" s="2939" t="s">
        <v>27</v>
      </c>
      <c r="E348" s="3384">
        <f t="shared" ca="1" si="14"/>
        <v>43657</v>
      </c>
      <c r="F348" s="3383">
        <f t="shared" ca="1" si="13"/>
        <v>851</v>
      </c>
    </row>
    <row r="349" spans="1:6">
      <c r="A349" s="3376"/>
      <c r="B349" s="2939">
        <v>1210</v>
      </c>
      <c r="C349" s="2941">
        <v>97.38</v>
      </c>
      <c r="D349" s="2939" t="s">
        <v>27</v>
      </c>
      <c r="E349" s="3384">
        <f t="shared" ca="1" si="14"/>
        <v>43657</v>
      </c>
      <c r="F349" s="3383">
        <f t="shared" ca="1" si="13"/>
        <v>425</v>
      </c>
    </row>
    <row r="350" spans="1:6">
      <c r="A350" s="3376"/>
      <c r="B350" s="2939">
        <v>1211</v>
      </c>
      <c r="C350" s="2941">
        <v>95.38</v>
      </c>
      <c r="D350" s="2939" t="s">
        <v>27</v>
      </c>
      <c r="E350" s="3384">
        <f t="shared" ca="1" si="14"/>
        <v>43657</v>
      </c>
      <c r="F350" s="3383">
        <f t="shared" ca="1" si="13"/>
        <v>416</v>
      </c>
    </row>
    <row r="351" spans="1:6">
      <c r="A351" s="3376"/>
      <c r="B351" s="2939">
        <v>1212</v>
      </c>
      <c r="C351" s="2941">
        <v>97.59</v>
      </c>
      <c r="D351" s="2939" t="s">
        <v>27</v>
      </c>
      <c r="E351" s="3384">
        <f t="shared" ca="1" si="14"/>
        <v>43657</v>
      </c>
      <c r="F351" s="3383">
        <f t="shared" ca="1" si="13"/>
        <v>426</v>
      </c>
    </row>
    <row r="352" spans="1:6">
      <c r="A352" s="3376"/>
      <c r="B352" s="2939">
        <v>1213</v>
      </c>
      <c r="C352" s="2941">
        <v>95.5</v>
      </c>
      <c r="D352" s="2939" t="s">
        <v>27</v>
      </c>
      <c r="E352" s="3384">
        <f t="shared" ca="1" si="14"/>
        <v>43657</v>
      </c>
      <c r="F352" s="3383">
        <f t="shared" ca="1" si="13"/>
        <v>417</v>
      </c>
    </row>
    <row r="353" spans="1:6">
      <c r="A353" s="3376"/>
      <c r="B353" s="2939">
        <v>1405</v>
      </c>
      <c r="C353" s="2941">
        <v>118.54</v>
      </c>
      <c r="D353" s="2939" t="s">
        <v>27</v>
      </c>
      <c r="E353" s="3384">
        <f t="shared" ca="1" si="14"/>
        <v>43657</v>
      </c>
      <c r="F353" s="3383">
        <f t="shared" ca="1" si="13"/>
        <v>518</v>
      </c>
    </row>
    <row r="354" spans="1:6">
      <c r="A354" s="3376"/>
      <c r="B354" s="2939">
        <v>1406</v>
      </c>
      <c r="C354" s="2941">
        <v>120.18</v>
      </c>
      <c r="D354" s="2939" t="s">
        <v>27</v>
      </c>
      <c r="E354" s="3384">
        <f t="shared" ca="1" si="14"/>
        <v>43657</v>
      </c>
      <c r="F354" s="3383">
        <f t="shared" ca="1" si="13"/>
        <v>525</v>
      </c>
    </row>
    <row r="355" spans="1:6">
      <c r="A355" s="3376"/>
      <c r="B355" s="2939">
        <v>1408</v>
      </c>
      <c r="C355" s="2941">
        <v>118.94</v>
      </c>
      <c r="D355" s="2939" t="s">
        <v>27</v>
      </c>
      <c r="E355" s="3384">
        <f t="shared" ca="1" si="14"/>
        <v>43657</v>
      </c>
      <c r="F355" s="3383">
        <f t="shared" ca="1" si="13"/>
        <v>519</v>
      </c>
    </row>
    <row r="356" spans="1:6">
      <c r="A356" s="3376"/>
      <c r="B356" s="2939">
        <v>1410</v>
      </c>
      <c r="C356" s="2941">
        <v>97.38</v>
      </c>
      <c r="D356" s="2939" t="s">
        <v>27</v>
      </c>
      <c r="E356" s="3384">
        <f t="shared" ca="1" si="14"/>
        <v>43657</v>
      </c>
      <c r="F356" s="3383">
        <f t="shared" ca="1" si="13"/>
        <v>425</v>
      </c>
    </row>
    <row r="357" spans="1:6">
      <c r="A357" s="3376"/>
      <c r="B357" s="2939">
        <v>1411</v>
      </c>
      <c r="C357" s="2941">
        <v>95.38</v>
      </c>
      <c r="D357" s="2939" t="s">
        <v>27</v>
      </c>
      <c r="E357" s="3384">
        <f t="shared" ca="1" si="14"/>
        <v>43657</v>
      </c>
      <c r="F357" s="3383">
        <f t="shared" ca="1" si="13"/>
        <v>416</v>
      </c>
    </row>
    <row r="358" spans="1:6">
      <c r="A358" s="3376"/>
      <c r="B358" s="2939">
        <v>1412</v>
      </c>
      <c r="C358" s="2941">
        <v>97.59</v>
      </c>
      <c r="D358" s="2939" t="s">
        <v>27</v>
      </c>
      <c r="E358" s="3384">
        <f t="shared" ca="1" si="14"/>
        <v>43657</v>
      </c>
      <c r="F358" s="3383">
        <f t="shared" ca="1" si="13"/>
        <v>426</v>
      </c>
    </row>
    <row r="359" spans="1:6">
      <c r="A359" s="3376"/>
      <c r="B359" s="2939">
        <v>1413</v>
      </c>
      <c r="C359" s="2941">
        <v>95.5</v>
      </c>
      <c r="D359" s="2939" t="s">
        <v>27</v>
      </c>
      <c r="E359" s="3384">
        <f t="shared" ca="1" si="14"/>
        <v>43657</v>
      </c>
      <c r="F359" s="3383">
        <f t="shared" ca="1" si="13"/>
        <v>417</v>
      </c>
    </row>
    <row r="360" spans="1:6">
      <c r="A360" s="3376"/>
      <c r="B360" s="2939">
        <v>1601</v>
      </c>
      <c r="C360" s="2941">
        <v>96.55</v>
      </c>
      <c r="D360" s="2939" t="s">
        <v>27</v>
      </c>
      <c r="E360" s="3384">
        <f t="shared" ca="1" si="14"/>
        <v>43657</v>
      </c>
      <c r="F360" s="3383">
        <f t="shared" ca="1" si="13"/>
        <v>422</v>
      </c>
    </row>
    <row r="361" spans="1:6">
      <c r="A361" s="3376"/>
      <c r="B361" s="2939">
        <v>1608</v>
      </c>
      <c r="C361" s="2941">
        <v>118.94</v>
      </c>
      <c r="D361" s="2939" t="s">
        <v>27</v>
      </c>
      <c r="E361" s="3384">
        <f t="shared" ca="1" si="14"/>
        <v>43657</v>
      </c>
      <c r="F361" s="3383">
        <f t="shared" ca="1" si="13"/>
        <v>519</v>
      </c>
    </row>
    <row r="362" spans="1:6">
      <c r="A362" s="3376"/>
      <c r="B362" s="2939">
        <v>1609</v>
      </c>
      <c r="C362" s="2941">
        <v>195.02</v>
      </c>
      <c r="D362" s="2939" t="s">
        <v>27</v>
      </c>
      <c r="E362" s="3384">
        <f t="shared" ca="1" si="14"/>
        <v>43657</v>
      </c>
      <c r="F362" s="3383">
        <f t="shared" ca="1" si="13"/>
        <v>851</v>
      </c>
    </row>
    <row r="363" spans="1:6">
      <c r="A363" s="3376"/>
      <c r="B363" s="2939">
        <v>1610</v>
      </c>
      <c r="C363" s="2941">
        <v>97.38</v>
      </c>
      <c r="D363" s="2939" t="s">
        <v>27</v>
      </c>
      <c r="E363" s="3384">
        <f t="shared" ca="1" si="14"/>
        <v>43657</v>
      </c>
      <c r="F363" s="3383">
        <f t="shared" ca="1" si="13"/>
        <v>425</v>
      </c>
    </row>
    <row r="364" spans="1:6">
      <c r="A364" s="3376"/>
      <c r="B364" s="2939">
        <v>1611</v>
      </c>
      <c r="C364" s="2941">
        <v>95.38</v>
      </c>
      <c r="D364" s="2939" t="s">
        <v>27</v>
      </c>
      <c r="E364" s="3384">
        <f t="shared" ca="1" si="14"/>
        <v>43657</v>
      </c>
      <c r="F364" s="3383">
        <f t="shared" ca="1" si="13"/>
        <v>416</v>
      </c>
    </row>
    <row r="365" spans="1:6">
      <c r="A365" s="3376"/>
      <c r="B365" s="2939">
        <v>1802</v>
      </c>
      <c r="C365" s="2941">
        <v>120.09</v>
      </c>
      <c r="D365" s="2939" t="s">
        <v>27</v>
      </c>
      <c r="E365" s="3384">
        <f t="shared" ca="1" si="14"/>
        <v>43657</v>
      </c>
      <c r="F365" s="3383">
        <f t="shared" ref="F365:F375" ca="1" si="15">ROUND(C365*E365/10000,0)</f>
        <v>524</v>
      </c>
    </row>
    <row r="366" spans="1:6">
      <c r="A366" s="3376"/>
      <c r="B366" s="2939">
        <v>1805</v>
      </c>
      <c r="C366" s="2941">
        <v>118.54</v>
      </c>
      <c r="D366" s="2939" t="s">
        <v>27</v>
      </c>
      <c r="E366" s="3384">
        <f t="shared" ca="1" si="14"/>
        <v>43657</v>
      </c>
      <c r="F366" s="3383">
        <f t="shared" ca="1" si="15"/>
        <v>518</v>
      </c>
    </row>
    <row r="367" spans="1:6">
      <c r="A367" s="3376"/>
      <c r="B367" s="2939">
        <v>1806</v>
      </c>
      <c r="C367" s="2941">
        <v>120.18</v>
      </c>
      <c r="D367" s="2939" t="s">
        <v>27</v>
      </c>
      <c r="E367" s="3384">
        <f t="shared" ref="E367:E372" ca="1" si="16">E366</f>
        <v>43657</v>
      </c>
      <c r="F367" s="3383">
        <f t="shared" ca="1" si="15"/>
        <v>525</v>
      </c>
    </row>
    <row r="368" spans="1:6">
      <c r="A368" s="3376"/>
      <c r="B368" s="2939">
        <v>1807</v>
      </c>
      <c r="C368" s="2941">
        <v>118.94</v>
      </c>
      <c r="D368" s="2939" t="s">
        <v>27</v>
      </c>
      <c r="E368" s="3384">
        <f t="shared" ca="1" si="16"/>
        <v>43657</v>
      </c>
      <c r="F368" s="3383">
        <f t="shared" ca="1" si="15"/>
        <v>519</v>
      </c>
    </row>
    <row r="369" spans="1:6">
      <c r="A369" s="3376"/>
      <c r="B369" s="2939">
        <v>1808</v>
      </c>
      <c r="C369" s="2941">
        <v>118.94</v>
      </c>
      <c r="D369" s="2939" t="s">
        <v>27</v>
      </c>
      <c r="E369" s="3384">
        <f t="shared" ca="1" si="16"/>
        <v>43657</v>
      </c>
      <c r="F369" s="3383">
        <f t="shared" ca="1" si="15"/>
        <v>519</v>
      </c>
    </row>
    <row r="370" spans="1:6">
      <c r="A370" s="3376"/>
      <c r="B370" s="2939">
        <v>1809</v>
      </c>
      <c r="C370" s="2941">
        <v>195.02</v>
      </c>
      <c r="D370" s="2939" t="s">
        <v>27</v>
      </c>
      <c r="E370" s="3384">
        <f t="shared" ca="1" si="16"/>
        <v>43657</v>
      </c>
      <c r="F370" s="3383">
        <f t="shared" ca="1" si="15"/>
        <v>851</v>
      </c>
    </row>
    <row r="371" spans="1:6">
      <c r="A371" s="3376"/>
      <c r="B371" s="2939">
        <v>1810</v>
      </c>
      <c r="C371" s="2941">
        <v>97.38</v>
      </c>
      <c r="D371" s="2939" t="s">
        <v>27</v>
      </c>
      <c r="E371" s="3384">
        <f t="shared" ca="1" si="16"/>
        <v>43657</v>
      </c>
      <c r="F371" s="3383">
        <f t="shared" ca="1" si="15"/>
        <v>425</v>
      </c>
    </row>
    <row r="372" spans="1:6">
      <c r="A372" s="3377"/>
      <c r="B372" s="2939">
        <v>1811</v>
      </c>
      <c r="C372" s="2941">
        <v>95.38</v>
      </c>
      <c r="D372" s="2939" t="s">
        <v>27</v>
      </c>
      <c r="E372" s="3384">
        <f t="shared" ca="1" si="16"/>
        <v>43657</v>
      </c>
      <c r="F372" s="3383">
        <f t="shared" ca="1" si="15"/>
        <v>416</v>
      </c>
    </row>
    <row r="373" spans="1:6">
      <c r="A373" s="3365" t="s">
        <v>40</v>
      </c>
      <c r="B373" s="3365"/>
      <c r="C373" s="2942">
        <f>SUM(C301:C372)</f>
        <v>8032.1200000000017</v>
      </c>
      <c r="D373" s="2942" t="s">
        <v>27</v>
      </c>
      <c r="E373" s="3384"/>
      <c r="F373" s="3383">
        <f ca="1">SUM(F301:F372)</f>
        <v>35060</v>
      </c>
    </row>
    <row r="374" spans="1:6">
      <c r="A374" s="3379" t="s">
        <v>3264</v>
      </c>
      <c r="B374" s="2939" t="s">
        <v>3265</v>
      </c>
      <c r="C374" s="2941">
        <v>187.63</v>
      </c>
      <c r="D374" s="2939" t="s">
        <v>27</v>
      </c>
      <c r="E374" s="3384">
        <f ca="1">E3</f>
        <v>43657</v>
      </c>
      <c r="F374" s="3383">
        <f t="shared" ca="1" si="15"/>
        <v>819</v>
      </c>
    </row>
    <row r="375" spans="1:6">
      <c r="A375" s="3376"/>
      <c r="B375" s="2939" t="s">
        <v>3266</v>
      </c>
      <c r="C375" s="2941">
        <v>175.73</v>
      </c>
      <c r="D375" s="2939" t="s">
        <v>27</v>
      </c>
      <c r="E375" s="3384">
        <f ca="1">E374</f>
        <v>43657</v>
      </c>
      <c r="F375" s="3383">
        <f t="shared" ca="1" si="15"/>
        <v>767</v>
      </c>
    </row>
    <row r="376" spans="1:6">
      <c r="A376" s="3376"/>
      <c r="B376" s="2939" t="s">
        <v>3267</v>
      </c>
      <c r="C376" s="2941">
        <v>187.54</v>
      </c>
      <c r="D376" s="2939" t="s">
        <v>27</v>
      </c>
      <c r="E376" s="3384">
        <f t="shared" ref="E376:E415" ca="1" si="17">E375</f>
        <v>43657</v>
      </c>
      <c r="F376" s="3383">
        <f t="shared" ref="F376:F415" ca="1" si="18">ROUND(C376*E376/10000,0)</f>
        <v>819</v>
      </c>
    </row>
    <row r="377" spans="1:6">
      <c r="A377" s="3376"/>
      <c r="B377" s="2939" t="s">
        <v>3268</v>
      </c>
      <c r="C377" s="2941">
        <v>187.54</v>
      </c>
      <c r="D377" s="2939" t="s">
        <v>27</v>
      </c>
      <c r="E377" s="3384">
        <f t="shared" ca="1" si="17"/>
        <v>43657</v>
      </c>
      <c r="F377" s="3383">
        <f t="shared" ca="1" si="18"/>
        <v>819</v>
      </c>
    </row>
    <row r="378" spans="1:6">
      <c r="A378" s="3376"/>
      <c r="B378" s="2939" t="s">
        <v>3269</v>
      </c>
      <c r="C378" s="2941">
        <v>203.31</v>
      </c>
      <c r="D378" s="2939" t="s">
        <v>27</v>
      </c>
      <c r="E378" s="3384">
        <f t="shared" ca="1" si="17"/>
        <v>43657</v>
      </c>
      <c r="F378" s="3383">
        <f t="shared" ca="1" si="18"/>
        <v>888</v>
      </c>
    </row>
    <row r="379" spans="1:6">
      <c r="A379" s="3376"/>
      <c r="B379" s="2939" t="s">
        <v>3270</v>
      </c>
      <c r="C379" s="2941">
        <v>203.31</v>
      </c>
      <c r="D379" s="2939" t="s">
        <v>27</v>
      </c>
      <c r="E379" s="3384">
        <f t="shared" ca="1" si="17"/>
        <v>43657</v>
      </c>
      <c r="F379" s="3383">
        <f t="shared" ca="1" si="18"/>
        <v>888</v>
      </c>
    </row>
    <row r="380" spans="1:6">
      <c r="A380" s="3376"/>
      <c r="B380" s="2939" t="s">
        <v>3271</v>
      </c>
      <c r="C380" s="2941">
        <v>203.31</v>
      </c>
      <c r="D380" s="2939" t="s">
        <v>27</v>
      </c>
      <c r="E380" s="3384">
        <f t="shared" ca="1" si="17"/>
        <v>43657</v>
      </c>
      <c r="F380" s="3383">
        <f t="shared" ca="1" si="18"/>
        <v>888</v>
      </c>
    </row>
    <row r="381" spans="1:6">
      <c r="A381" s="3376"/>
      <c r="B381" s="2939" t="s">
        <v>3272</v>
      </c>
      <c r="C381" s="2941">
        <v>203.31</v>
      </c>
      <c r="D381" s="2939" t="s">
        <v>27</v>
      </c>
      <c r="E381" s="3384">
        <f t="shared" ca="1" si="17"/>
        <v>43657</v>
      </c>
      <c r="F381" s="3383">
        <f t="shared" ca="1" si="18"/>
        <v>888</v>
      </c>
    </row>
    <row r="382" spans="1:6">
      <c r="A382" s="3376"/>
      <c r="B382" s="2939" t="s">
        <v>3273</v>
      </c>
      <c r="C382" s="2941">
        <v>203.93</v>
      </c>
      <c r="D382" s="2939" t="s">
        <v>27</v>
      </c>
      <c r="E382" s="3384">
        <f t="shared" ca="1" si="17"/>
        <v>43657</v>
      </c>
      <c r="F382" s="3383">
        <f t="shared" ca="1" si="18"/>
        <v>890</v>
      </c>
    </row>
    <row r="383" spans="1:6">
      <c r="A383" s="3376"/>
      <c r="B383" s="2939" t="s">
        <v>3274</v>
      </c>
      <c r="C383" s="2941">
        <v>203.93</v>
      </c>
      <c r="D383" s="2939" t="s">
        <v>27</v>
      </c>
      <c r="E383" s="3384">
        <f t="shared" ca="1" si="17"/>
        <v>43657</v>
      </c>
      <c r="F383" s="3383">
        <f t="shared" ca="1" si="18"/>
        <v>890</v>
      </c>
    </row>
    <row r="384" spans="1:6">
      <c r="A384" s="3376"/>
      <c r="B384" s="2939" t="s">
        <v>3275</v>
      </c>
      <c r="C384" s="2941">
        <v>203.93</v>
      </c>
      <c r="D384" s="2939" t="s">
        <v>27</v>
      </c>
      <c r="E384" s="3384">
        <f t="shared" ca="1" si="17"/>
        <v>43657</v>
      </c>
      <c r="F384" s="3383">
        <f t="shared" ca="1" si="18"/>
        <v>890</v>
      </c>
    </row>
    <row r="385" spans="1:6">
      <c r="A385" s="3376"/>
      <c r="B385" s="2939" t="s">
        <v>3276</v>
      </c>
      <c r="C385" s="2941">
        <v>203.93</v>
      </c>
      <c r="D385" s="2939" t="s">
        <v>27</v>
      </c>
      <c r="E385" s="3384">
        <f t="shared" ca="1" si="17"/>
        <v>43657</v>
      </c>
      <c r="F385" s="3383">
        <f t="shared" ca="1" si="18"/>
        <v>890</v>
      </c>
    </row>
    <row r="386" spans="1:6">
      <c r="A386" s="3376"/>
      <c r="B386" s="2939" t="s">
        <v>3277</v>
      </c>
      <c r="C386" s="2941">
        <v>203.93</v>
      </c>
      <c r="D386" s="2939" t="s">
        <v>27</v>
      </c>
      <c r="E386" s="3384">
        <f t="shared" ca="1" si="17"/>
        <v>43657</v>
      </c>
      <c r="F386" s="3383">
        <f t="shared" ca="1" si="18"/>
        <v>890</v>
      </c>
    </row>
    <row r="387" spans="1:6">
      <c r="A387" s="3376"/>
      <c r="B387" s="2939" t="s">
        <v>3278</v>
      </c>
      <c r="C387" s="2941">
        <v>203.93</v>
      </c>
      <c r="D387" s="2939" t="s">
        <v>27</v>
      </c>
      <c r="E387" s="3384">
        <f t="shared" ca="1" si="17"/>
        <v>43657</v>
      </c>
      <c r="F387" s="3383">
        <f t="shared" ca="1" si="18"/>
        <v>890</v>
      </c>
    </row>
    <row r="388" spans="1:6">
      <c r="A388" s="3376"/>
      <c r="B388" s="2939" t="s">
        <v>3279</v>
      </c>
      <c r="C388" s="2941">
        <v>203.93</v>
      </c>
      <c r="D388" s="2939" t="s">
        <v>27</v>
      </c>
      <c r="E388" s="3384">
        <f t="shared" ca="1" si="17"/>
        <v>43657</v>
      </c>
      <c r="F388" s="3383">
        <f t="shared" ca="1" si="18"/>
        <v>890</v>
      </c>
    </row>
    <row r="389" spans="1:6">
      <c r="A389" s="3376"/>
      <c r="B389" s="2939" t="s">
        <v>3280</v>
      </c>
      <c r="C389" s="2941">
        <v>203.93</v>
      </c>
      <c r="D389" s="2939" t="s">
        <v>27</v>
      </c>
      <c r="E389" s="3384">
        <f t="shared" ca="1" si="17"/>
        <v>43657</v>
      </c>
      <c r="F389" s="3383">
        <f t="shared" ca="1" si="18"/>
        <v>890</v>
      </c>
    </row>
    <row r="390" spans="1:6">
      <c r="A390" s="3376"/>
      <c r="B390" s="2939" t="s">
        <v>3281</v>
      </c>
      <c r="C390" s="2941">
        <v>203.93</v>
      </c>
      <c r="D390" s="2939" t="s">
        <v>27</v>
      </c>
      <c r="E390" s="3384">
        <f t="shared" ca="1" si="17"/>
        <v>43657</v>
      </c>
      <c r="F390" s="3383">
        <f t="shared" ca="1" si="18"/>
        <v>890</v>
      </c>
    </row>
    <row r="391" spans="1:6">
      <c r="A391" s="3376"/>
      <c r="B391" s="2939" t="s">
        <v>3282</v>
      </c>
      <c r="C391" s="2941">
        <v>203.93</v>
      </c>
      <c r="D391" s="2939" t="s">
        <v>27</v>
      </c>
      <c r="E391" s="3384">
        <f t="shared" ca="1" si="17"/>
        <v>43657</v>
      </c>
      <c r="F391" s="3383">
        <f t="shared" ca="1" si="18"/>
        <v>890</v>
      </c>
    </row>
    <row r="392" spans="1:6">
      <c r="A392" s="3376"/>
      <c r="B392" s="2939" t="s">
        <v>3283</v>
      </c>
      <c r="C392" s="2941">
        <v>203.93</v>
      </c>
      <c r="D392" s="2939" t="s">
        <v>27</v>
      </c>
      <c r="E392" s="3384">
        <f t="shared" ca="1" si="17"/>
        <v>43657</v>
      </c>
      <c r="F392" s="3383">
        <f t="shared" ca="1" si="18"/>
        <v>890</v>
      </c>
    </row>
    <row r="393" spans="1:6">
      <c r="A393" s="3376"/>
      <c r="B393" s="2939" t="s">
        <v>3284</v>
      </c>
      <c r="C393" s="2941">
        <v>203.93</v>
      </c>
      <c r="D393" s="2939" t="s">
        <v>27</v>
      </c>
      <c r="E393" s="3384">
        <f t="shared" ca="1" si="17"/>
        <v>43657</v>
      </c>
      <c r="F393" s="3383">
        <f t="shared" ca="1" si="18"/>
        <v>890</v>
      </c>
    </row>
    <row r="394" spans="1:6">
      <c r="A394" s="3376"/>
      <c r="B394" s="2939" t="s">
        <v>3285</v>
      </c>
      <c r="C394" s="2941">
        <v>203.93</v>
      </c>
      <c r="D394" s="2939" t="s">
        <v>27</v>
      </c>
      <c r="E394" s="3384">
        <f t="shared" ca="1" si="17"/>
        <v>43657</v>
      </c>
      <c r="F394" s="3383">
        <f t="shared" ca="1" si="18"/>
        <v>890</v>
      </c>
    </row>
    <row r="395" spans="1:6">
      <c r="A395" s="3376"/>
      <c r="B395" s="2939" t="s">
        <v>3286</v>
      </c>
      <c r="C395" s="2941">
        <v>203.93</v>
      </c>
      <c r="D395" s="2939" t="s">
        <v>27</v>
      </c>
      <c r="E395" s="3384">
        <f t="shared" ca="1" si="17"/>
        <v>43657</v>
      </c>
      <c r="F395" s="3383">
        <f t="shared" ca="1" si="18"/>
        <v>890</v>
      </c>
    </row>
    <row r="396" spans="1:6">
      <c r="A396" s="3376"/>
      <c r="B396" s="2939" t="s">
        <v>3287</v>
      </c>
      <c r="C396" s="2941">
        <v>203.93</v>
      </c>
      <c r="D396" s="2939" t="s">
        <v>27</v>
      </c>
      <c r="E396" s="3384">
        <f t="shared" ca="1" si="17"/>
        <v>43657</v>
      </c>
      <c r="F396" s="3383">
        <f t="shared" ca="1" si="18"/>
        <v>890</v>
      </c>
    </row>
    <row r="397" spans="1:6">
      <c r="A397" s="3376"/>
      <c r="B397" s="2939" t="s">
        <v>3288</v>
      </c>
      <c r="C397" s="2941">
        <v>203.93</v>
      </c>
      <c r="D397" s="2939" t="s">
        <v>27</v>
      </c>
      <c r="E397" s="3384">
        <f t="shared" ca="1" si="17"/>
        <v>43657</v>
      </c>
      <c r="F397" s="3383">
        <f t="shared" ca="1" si="18"/>
        <v>890</v>
      </c>
    </row>
    <row r="398" spans="1:6">
      <c r="A398" s="3376"/>
      <c r="B398" s="2939" t="s">
        <v>3289</v>
      </c>
      <c r="C398" s="2941">
        <v>203.93</v>
      </c>
      <c r="D398" s="2939" t="s">
        <v>27</v>
      </c>
      <c r="E398" s="3384">
        <f t="shared" ca="1" si="17"/>
        <v>43657</v>
      </c>
      <c r="F398" s="3383">
        <f t="shared" ca="1" si="18"/>
        <v>890</v>
      </c>
    </row>
    <row r="399" spans="1:6">
      <c r="A399" s="3376"/>
      <c r="B399" s="2939" t="s">
        <v>3290</v>
      </c>
      <c r="C399" s="2941">
        <v>203.93</v>
      </c>
      <c r="D399" s="2939" t="s">
        <v>27</v>
      </c>
      <c r="E399" s="3384">
        <f t="shared" ca="1" si="17"/>
        <v>43657</v>
      </c>
      <c r="F399" s="3383">
        <f t="shared" ca="1" si="18"/>
        <v>890</v>
      </c>
    </row>
    <row r="400" spans="1:6">
      <c r="A400" s="3376"/>
      <c r="B400" s="2939" t="s">
        <v>3291</v>
      </c>
      <c r="C400" s="2941">
        <v>203.93</v>
      </c>
      <c r="D400" s="2939" t="s">
        <v>27</v>
      </c>
      <c r="E400" s="3384">
        <f t="shared" ca="1" si="17"/>
        <v>43657</v>
      </c>
      <c r="F400" s="3383">
        <f t="shared" ca="1" si="18"/>
        <v>890</v>
      </c>
    </row>
    <row r="401" spans="1:6">
      <c r="A401" s="3376"/>
      <c r="B401" s="2939" t="s">
        <v>3292</v>
      </c>
      <c r="C401" s="2941">
        <v>203.93</v>
      </c>
      <c r="D401" s="2939" t="s">
        <v>27</v>
      </c>
      <c r="E401" s="3384">
        <f t="shared" ca="1" si="17"/>
        <v>43657</v>
      </c>
      <c r="F401" s="3383">
        <f t="shared" ca="1" si="18"/>
        <v>890</v>
      </c>
    </row>
    <row r="402" spans="1:6">
      <c r="A402" s="3376"/>
      <c r="B402" s="2939" t="s">
        <v>3293</v>
      </c>
      <c r="C402" s="2941">
        <v>203.93</v>
      </c>
      <c r="D402" s="2939" t="s">
        <v>27</v>
      </c>
      <c r="E402" s="3384">
        <f t="shared" ca="1" si="17"/>
        <v>43657</v>
      </c>
      <c r="F402" s="3383">
        <f t="shared" ca="1" si="18"/>
        <v>890</v>
      </c>
    </row>
    <row r="403" spans="1:6">
      <c r="A403" s="3376"/>
      <c r="B403" s="2939" t="s">
        <v>3294</v>
      </c>
      <c r="C403" s="2941">
        <v>203.93</v>
      </c>
      <c r="D403" s="2939" t="s">
        <v>27</v>
      </c>
      <c r="E403" s="3384">
        <f t="shared" ca="1" si="17"/>
        <v>43657</v>
      </c>
      <c r="F403" s="3383">
        <f t="shared" ca="1" si="18"/>
        <v>890</v>
      </c>
    </row>
    <row r="404" spans="1:6">
      <c r="A404" s="3376"/>
      <c r="B404" s="2939" t="s">
        <v>3295</v>
      </c>
      <c r="C404" s="2941">
        <v>203.93</v>
      </c>
      <c r="D404" s="2939" t="s">
        <v>27</v>
      </c>
      <c r="E404" s="3384">
        <f t="shared" ca="1" si="17"/>
        <v>43657</v>
      </c>
      <c r="F404" s="3383">
        <f t="shared" ca="1" si="18"/>
        <v>890</v>
      </c>
    </row>
    <row r="405" spans="1:6">
      <c r="A405" s="3376"/>
      <c r="B405" s="2939" t="s">
        <v>3296</v>
      </c>
      <c r="C405" s="2941">
        <v>203.93</v>
      </c>
      <c r="D405" s="2939" t="s">
        <v>27</v>
      </c>
      <c r="E405" s="3384">
        <f t="shared" ca="1" si="17"/>
        <v>43657</v>
      </c>
      <c r="F405" s="3383">
        <f t="shared" ca="1" si="18"/>
        <v>890</v>
      </c>
    </row>
    <row r="406" spans="1:6">
      <c r="A406" s="3376"/>
      <c r="B406" s="2939" t="s">
        <v>3297</v>
      </c>
      <c r="C406" s="2941">
        <v>203.93</v>
      </c>
      <c r="D406" s="2939" t="s">
        <v>27</v>
      </c>
      <c r="E406" s="3384">
        <f t="shared" ca="1" si="17"/>
        <v>43657</v>
      </c>
      <c r="F406" s="3383">
        <f t="shared" ca="1" si="18"/>
        <v>890</v>
      </c>
    </row>
    <row r="407" spans="1:6">
      <c r="A407" s="3376"/>
      <c r="B407" s="2939" t="s">
        <v>3298</v>
      </c>
      <c r="C407" s="2941">
        <v>203.93</v>
      </c>
      <c r="D407" s="2939" t="s">
        <v>27</v>
      </c>
      <c r="E407" s="3384">
        <f t="shared" ca="1" si="17"/>
        <v>43657</v>
      </c>
      <c r="F407" s="3383">
        <f t="shared" ca="1" si="18"/>
        <v>890</v>
      </c>
    </row>
    <row r="408" spans="1:6">
      <c r="A408" s="3376"/>
      <c r="B408" s="2939" t="s">
        <v>3299</v>
      </c>
      <c r="C408" s="2941">
        <v>203.93</v>
      </c>
      <c r="D408" s="2939" t="s">
        <v>27</v>
      </c>
      <c r="E408" s="3384">
        <f t="shared" ca="1" si="17"/>
        <v>43657</v>
      </c>
      <c r="F408" s="3383">
        <f t="shared" ca="1" si="18"/>
        <v>890</v>
      </c>
    </row>
    <row r="409" spans="1:6">
      <c r="A409" s="3376"/>
      <c r="B409" s="2939" t="s">
        <v>3300</v>
      </c>
      <c r="C409" s="2941">
        <v>203.93</v>
      </c>
      <c r="D409" s="2939" t="s">
        <v>27</v>
      </c>
      <c r="E409" s="3384">
        <f t="shared" ca="1" si="17"/>
        <v>43657</v>
      </c>
      <c r="F409" s="3383">
        <f t="shared" ca="1" si="18"/>
        <v>890</v>
      </c>
    </row>
    <row r="410" spans="1:6">
      <c r="A410" s="3376"/>
      <c r="B410" s="2939" t="s">
        <v>3301</v>
      </c>
      <c r="C410" s="2941">
        <v>203.93</v>
      </c>
      <c r="D410" s="2939" t="s">
        <v>27</v>
      </c>
      <c r="E410" s="3384">
        <f t="shared" ca="1" si="17"/>
        <v>43657</v>
      </c>
      <c r="F410" s="3383">
        <f t="shared" ca="1" si="18"/>
        <v>890</v>
      </c>
    </row>
    <row r="411" spans="1:6">
      <c r="A411" s="3376"/>
      <c r="B411" s="2939" t="s">
        <v>3302</v>
      </c>
      <c r="C411" s="2941">
        <v>203.93</v>
      </c>
      <c r="D411" s="2939" t="s">
        <v>27</v>
      </c>
      <c r="E411" s="3384">
        <f t="shared" ca="1" si="17"/>
        <v>43657</v>
      </c>
      <c r="F411" s="3383">
        <f t="shared" ca="1" si="18"/>
        <v>890</v>
      </c>
    </row>
    <row r="412" spans="1:6">
      <c r="A412" s="3376"/>
      <c r="B412" s="2939" t="s">
        <v>3303</v>
      </c>
      <c r="C412" s="2941">
        <v>203.93</v>
      </c>
      <c r="D412" s="2939" t="s">
        <v>27</v>
      </c>
      <c r="E412" s="3384">
        <f t="shared" ca="1" si="17"/>
        <v>43657</v>
      </c>
      <c r="F412" s="3383">
        <f t="shared" ca="1" si="18"/>
        <v>890</v>
      </c>
    </row>
    <row r="413" spans="1:6">
      <c r="A413" s="3376"/>
      <c r="B413" s="2939" t="s">
        <v>3304</v>
      </c>
      <c r="C413" s="2941">
        <v>203.93</v>
      </c>
      <c r="D413" s="2939" t="s">
        <v>27</v>
      </c>
      <c r="E413" s="3384">
        <f t="shared" ca="1" si="17"/>
        <v>43657</v>
      </c>
      <c r="F413" s="3383">
        <f t="shared" ca="1" si="18"/>
        <v>890</v>
      </c>
    </row>
    <row r="414" spans="1:6">
      <c r="A414" s="3376"/>
      <c r="B414" s="2939" t="s">
        <v>3305</v>
      </c>
      <c r="C414" s="2941">
        <v>203.93</v>
      </c>
      <c r="D414" s="2939" t="s">
        <v>27</v>
      </c>
      <c r="E414" s="3384">
        <f t="shared" ca="1" si="17"/>
        <v>43657</v>
      </c>
      <c r="F414" s="3383">
        <f t="shared" ca="1" si="18"/>
        <v>890</v>
      </c>
    </row>
    <row r="415" spans="1:6">
      <c r="A415" s="3377"/>
      <c r="B415" s="2939" t="s">
        <v>3306</v>
      </c>
      <c r="C415" s="2941">
        <v>203.93</v>
      </c>
      <c r="D415" s="2939" t="s">
        <v>27</v>
      </c>
      <c r="E415" s="3384">
        <f t="shared" ca="1" si="17"/>
        <v>43657</v>
      </c>
      <c r="F415" s="3383">
        <f t="shared" ca="1" si="18"/>
        <v>890</v>
      </c>
    </row>
    <row r="416" spans="1:6">
      <c r="A416" s="3363" t="s">
        <v>40</v>
      </c>
      <c r="B416" s="3364"/>
      <c r="C416" s="2942">
        <f>SUM(C374:C415)</f>
        <v>8485.3000000000047</v>
      </c>
      <c r="D416" s="2942" t="s">
        <v>27</v>
      </c>
      <c r="E416" s="3384"/>
      <c r="F416" s="3383">
        <f ca="1">SUM(F374:F415)</f>
        <v>37036</v>
      </c>
    </row>
    <row r="417" spans="1:6">
      <c r="A417" s="3366" t="s">
        <v>3261</v>
      </c>
      <c r="B417" s="3366"/>
      <c r="C417" s="2947">
        <f>C416+C373</f>
        <v>16517.420000000006</v>
      </c>
      <c r="D417" s="2948" t="s">
        <v>3307</v>
      </c>
      <c r="E417" s="3384"/>
      <c r="F417" s="3384"/>
    </row>
    <row r="418" spans="1:6">
      <c r="A418" s="2938" t="s">
        <v>3072</v>
      </c>
      <c r="B418" s="2938" t="s">
        <v>3073</v>
      </c>
      <c r="C418" s="2938" t="s">
        <v>3074</v>
      </c>
      <c r="D418" s="2938" t="s">
        <v>1375</v>
      </c>
      <c r="E418" s="3384"/>
      <c r="F418" s="3384"/>
    </row>
    <row r="419" spans="1:6">
      <c r="A419" s="3378" t="s">
        <v>3308</v>
      </c>
      <c r="B419" s="2939">
        <v>101</v>
      </c>
      <c r="C419" s="2941">
        <v>86.87</v>
      </c>
      <c r="D419" s="2939" t="s">
        <v>27</v>
      </c>
      <c r="E419" s="3384">
        <f ca="1">E3</f>
        <v>43657</v>
      </c>
      <c r="F419" s="3383">
        <f t="shared" ref="F419:F420" ca="1" si="19">ROUND(C419*E419/10000,0)</f>
        <v>379</v>
      </c>
    </row>
    <row r="420" spans="1:6">
      <c r="A420" s="3376"/>
      <c r="B420" s="2939">
        <v>102</v>
      </c>
      <c r="C420" s="2941">
        <v>60.03</v>
      </c>
      <c r="D420" s="2939" t="s">
        <v>27</v>
      </c>
      <c r="E420" s="3384">
        <f ca="1">E419</f>
        <v>43657</v>
      </c>
      <c r="F420" s="3383">
        <f t="shared" ca="1" si="19"/>
        <v>262</v>
      </c>
    </row>
    <row r="421" spans="1:6">
      <c r="A421" s="3376"/>
      <c r="B421" s="2939">
        <v>103</v>
      </c>
      <c r="C421" s="2941">
        <v>58.4</v>
      </c>
      <c r="D421" s="2939" t="s">
        <v>27</v>
      </c>
      <c r="E421" s="3384">
        <f t="shared" ref="E421" ca="1" si="20">E5</f>
        <v>43657</v>
      </c>
      <c r="F421" s="3383">
        <f t="shared" ref="F421:F477" ca="1" si="21">ROUND(C421*E421/10000,0)</f>
        <v>255</v>
      </c>
    </row>
    <row r="422" spans="1:6">
      <c r="A422" s="3376"/>
      <c r="B422" s="2939">
        <v>104</v>
      </c>
      <c r="C422" s="2941">
        <v>58.08</v>
      </c>
      <c r="D422" s="2939" t="s">
        <v>27</v>
      </c>
      <c r="E422" s="3384">
        <f t="shared" ref="E422" ca="1" si="22">E421</f>
        <v>43657</v>
      </c>
      <c r="F422" s="3383">
        <f t="shared" ca="1" si="21"/>
        <v>254</v>
      </c>
    </row>
    <row r="423" spans="1:6">
      <c r="A423" s="3376"/>
      <c r="B423" s="2939">
        <v>105</v>
      </c>
      <c r="C423" s="2941">
        <v>58.08</v>
      </c>
      <c r="D423" s="2939" t="s">
        <v>27</v>
      </c>
      <c r="E423" s="3384">
        <f t="shared" ref="E423" ca="1" si="23">E7</f>
        <v>43657</v>
      </c>
      <c r="F423" s="3383">
        <f t="shared" ca="1" si="21"/>
        <v>254</v>
      </c>
    </row>
    <row r="424" spans="1:6">
      <c r="A424" s="3376"/>
      <c r="B424" s="2939">
        <v>106</v>
      </c>
      <c r="C424" s="2941">
        <v>58.08</v>
      </c>
      <c r="D424" s="2939" t="s">
        <v>27</v>
      </c>
      <c r="E424" s="3384">
        <f t="shared" ref="E424" ca="1" si="24">E423</f>
        <v>43657</v>
      </c>
      <c r="F424" s="3383">
        <f t="shared" ca="1" si="21"/>
        <v>254</v>
      </c>
    </row>
    <row r="425" spans="1:6">
      <c r="A425" s="3376"/>
      <c r="B425" s="2939">
        <v>107</v>
      </c>
      <c r="C425" s="2941">
        <v>58.08</v>
      </c>
      <c r="D425" s="2939" t="s">
        <v>27</v>
      </c>
      <c r="E425" s="3384">
        <f t="shared" ref="E425" ca="1" si="25">E9</f>
        <v>43657</v>
      </c>
      <c r="F425" s="3383">
        <f t="shared" ca="1" si="21"/>
        <v>254</v>
      </c>
    </row>
    <row r="426" spans="1:6">
      <c r="A426" s="3376"/>
      <c r="B426" s="2939">
        <v>108</v>
      </c>
      <c r="C426" s="2941">
        <v>58.4</v>
      </c>
      <c r="D426" s="2939" t="s">
        <v>27</v>
      </c>
      <c r="E426" s="3384">
        <f t="shared" ref="E426" ca="1" si="26">E425</f>
        <v>43657</v>
      </c>
      <c r="F426" s="3383">
        <f t="shared" ca="1" si="21"/>
        <v>255</v>
      </c>
    </row>
    <row r="427" spans="1:6">
      <c r="A427" s="3376"/>
      <c r="B427" s="2939">
        <v>109</v>
      </c>
      <c r="C427" s="2941">
        <v>60.03</v>
      </c>
      <c r="D427" s="2939" t="s">
        <v>27</v>
      </c>
      <c r="E427" s="3384">
        <f t="shared" ref="E427" ca="1" si="27">E11</f>
        <v>43657</v>
      </c>
      <c r="F427" s="3383">
        <f t="shared" ca="1" si="21"/>
        <v>262</v>
      </c>
    </row>
    <row r="428" spans="1:6">
      <c r="A428" s="3376"/>
      <c r="B428" s="2939">
        <v>110</v>
      </c>
      <c r="C428" s="2941">
        <v>86.87</v>
      </c>
      <c r="D428" s="2939" t="s">
        <v>27</v>
      </c>
      <c r="E428" s="3384">
        <f t="shared" ref="E428" ca="1" si="28">E427</f>
        <v>43657</v>
      </c>
      <c r="F428" s="3383">
        <f t="shared" ca="1" si="21"/>
        <v>379</v>
      </c>
    </row>
    <row r="429" spans="1:6">
      <c r="A429" s="3376"/>
      <c r="B429" s="2939">
        <v>111</v>
      </c>
      <c r="C429" s="2941">
        <v>34.99</v>
      </c>
      <c r="D429" s="2939" t="s">
        <v>27</v>
      </c>
      <c r="E429" s="3384">
        <f t="shared" ref="E429" ca="1" si="29">E13</f>
        <v>43657</v>
      </c>
      <c r="F429" s="3383">
        <f t="shared" ca="1" si="21"/>
        <v>153</v>
      </c>
    </row>
    <row r="430" spans="1:6">
      <c r="A430" s="3376"/>
      <c r="B430" s="2939">
        <v>112</v>
      </c>
      <c r="C430" s="2941">
        <v>28.49</v>
      </c>
      <c r="D430" s="2939" t="s">
        <v>27</v>
      </c>
      <c r="E430" s="3384">
        <f t="shared" ref="E430" ca="1" si="30">E429</f>
        <v>43657</v>
      </c>
      <c r="F430" s="3383">
        <f t="shared" ca="1" si="21"/>
        <v>124</v>
      </c>
    </row>
    <row r="431" spans="1:6">
      <c r="A431" s="3376"/>
      <c r="B431" s="2939">
        <v>113</v>
      </c>
      <c r="C431" s="2941">
        <v>34.81</v>
      </c>
      <c r="D431" s="2939" t="s">
        <v>27</v>
      </c>
      <c r="E431" s="3384">
        <f t="shared" ref="E431" ca="1" si="31">E15</f>
        <v>43657</v>
      </c>
      <c r="F431" s="3383">
        <f t="shared" ca="1" si="21"/>
        <v>152</v>
      </c>
    </row>
    <row r="432" spans="1:6">
      <c r="A432" s="3376"/>
      <c r="B432" s="2939">
        <v>114</v>
      </c>
      <c r="C432" s="2941">
        <v>34.54</v>
      </c>
      <c r="D432" s="2939" t="s">
        <v>27</v>
      </c>
      <c r="E432" s="3384">
        <f t="shared" ref="E432" ca="1" si="32">E431</f>
        <v>43657</v>
      </c>
      <c r="F432" s="3383">
        <f t="shared" ca="1" si="21"/>
        <v>151</v>
      </c>
    </row>
    <row r="433" spans="1:6">
      <c r="A433" s="3376"/>
      <c r="B433" s="2939">
        <v>115</v>
      </c>
      <c r="C433" s="2941">
        <v>34.54</v>
      </c>
      <c r="D433" s="2939" t="s">
        <v>27</v>
      </c>
      <c r="E433" s="3384">
        <f t="shared" ref="E433" ca="1" si="33">E17</f>
        <v>43657</v>
      </c>
      <c r="F433" s="3383">
        <f t="shared" ca="1" si="21"/>
        <v>151</v>
      </c>
    </row>
    <row r="434" spans="1:6">
      <c r="A434" s="3376"/>
      <c r="B434" s="2939">
        <v>116</v>
      </c>
      <c r="C434" s="2941">
        <v>34.81</v>
      </c>
      <c r="D434" s="2939" t="s">
        <v>27</v>
      </c>
      <c r="E434" s="3384">
        <f t="shared" ref="E434" ca="1" si="34">E433</f>
        <v>43657</v>
      </c>
      <c r="F434" s="3383">
        <f t="shared" ca="1" si="21"/>
        <v>152</v>
      </c>
    </row>
    <row r="435" spans="1:6">
      <c r="A435" s="3376"/>
      <c r="B435" s="2939">
        <v>117</v>
      </c>
      <c r="C435" s="2941">
        <v>28.49</v>
      </c>
      <c r="D435" s="2939" t="s">
        <v>27</v>
      </c>
      <c r="E435" s="3384">
        <f t="shared" ref="E435" ca="1" si="35">E19</f>
        <v>43657</v>
      </c>
      <c r="F435" s="3383">
        <f t="shared" ca="1" si="21"/>
        <v>124</v>
      </c>
    </row>
    <row r="436" spans="1:6">
      <c r="A436" s="3376"/>
      <c r="B436" s="2939">
        <v>118</v>
      </c>
      <c r="C436" s="2941">
        <v>34.99</v>
      </c>
      <c r="D436" s="2939" t="s">
        <v>27</v>
      </c>
      <c r="E436" s="3384">
        <f t="shared" ref="E436" ca="1" si="36">E435</f>
        <v>43657</v>
      </c>
      <c r="F436" s="3383">
        <f t="shared" ca="1" si="21"/>
        <v>153</v>
      </c>
    </row>
    <row r="437" spans="1:6">
      <c r="A437" s="3376"/>
      <c r="B437" s="2939">
        <v>205</v>
      </c>
      <c r="C437" s="2941">
        <v>118.11</v>
      </c>
      <c r="D437" s="2939" t="s">
        <v>27</v>
      </c>
      <c r="E437" s="3384">
        <f t="shared" ref="E437" ca="1" si="37">E21</f>
        <v>43657</v>
      </c>
      <c r="F437" s="3383">
        <f t="shared" ca="1" si="21"/>
        <v>516</v>
      </c>
    </row>
    <row r="438" spans="1:6">
      <c r="A438" s="3376"/>
      <c r="B438" s="2939">
        <v>209</v>
      </c>
      <c r="C438" s="2941">
        <v>113.69</v>
      </c>
      <c r="D438" s="2939" t="s">
        <v>27</v>
      </c>
      <c r="E438" s="3384">
        <f t="shared" ref="E438" ca="1" si="38">E437</f>
        <v>43657</v>
      </c>
      <c r="F438" s="3383">
        <f t="shared" ca="1" si="21"/>
        <v>496</v>
      </c>
    </row>
    <row r="439" spans="1:6">
      <c r="A439" s="3376"/>
      <c r="B439" s="2939">
        <v>210</v>
      </c>
      <c r="C439" s="2941">
        <v>118.11</v>
      </c>
      <c r="D439" s="2939" t="s">
        <v>27</v>
      </c>
      <c r="E439" s="3384">
        <f t="shared" ref="E439" ca="1" si="39">E23</f>
        <v>43657</v>
      </c>
      <c r="F439" s="3383">
        <f t="shared" ca="1" si="21"/>
        <v>516</v>
      </c>
    </row>
    <row r="440" spans="1:6">
      <c r="A440" s="3376"/>
      <c r="B440" s="2939">
        <v>211</v>
      </c>
      <c r="C440" s="2941">
        <v>117.58</v>
      </c>
      <c r="D440" s="2939" t="s">
        <v>27</v>
      </c>
      <c r="E440" s="3384">
        <f t="shared" ref="E440" ca="1" si="40">E439</f>
        <v>43657</v>
      </c>
      <c r="F440" s="3383">
        <f t="shared" ca="1" si="21"/>
        <v>513</v>
      </c>
    </row>
    <row r="441" spans="1:6">
      <c r="A441" s="3376"/>
      <c r="B441" s="2939">
        <v>212</v>
      </c>
      <c r="C441" s="2941">
        <v>117.58</v>
      </c>
      <c r="D441" s="2939" t="s">
        <v>27</v>
      </c>
      <c r="E441" s="3384">
        <f t="shared" ref="E441" ca="1" si="41">E25</f>
        <v>43657</v>
      </c>
      <c r="F441" s="3383">
        <f t="shared" ca="1" si="21"/>
        <v>513</v>
      </c>
    </row>
    <row r="442" spans="1:6">
      <c r="A442" s="3376"/>
      <c r="B442" s="2939">
        <v>215</v>
      </c>
      <c r="C442" s="2941">
        <v>94.5</v>
      </c>
      <c r="D442" s="2939" t="s">
        <v>27</v>
      </c>
      <c r="E442" s="3384">
        <f t="shared" ref="E442" ca="1" si="42">E441</f>
        <v>43657</v>
      </c>
      <c r="F442" s="3383">
        <f t="shared" ca="1" si="21"/>
        <v>413</v>
      </c>
    </row>
    <row r="443" spans="1:6">
      <c r="A443" s="3376"/>
      <c r="B443" s="2939">
        <v>216</v>
      </c>
      <c r="C443" s="2941">
        <v>94.92</v>
      </c>
      <c r="D443" s="2939" t="s">
        <v>27</v>
      </c>
      <c r="E443" s="3384">
        <f t="shared" ref="E443" ca="1" si="43">E27</f>
        <v>43657</v>
      </c>
      <c r="F443" s="3383">
        <f t="shared" ca="1" si="21"/>
        <v>414</v>
      </c>
    </row>
    <row r="444" spans="1:6">
      <c r="A444" s="3376"/>
      <c r="B444" s="2939">
        <v>217</v>
      </c>
      <c r="C444" s="2941">
        <v>94.37</v>
      </c>
      <c r="D444" s="2939" t="s">
        <v>27</v>
      </c>
      <c r="E444" s="3384">
        <f t="shared" ref="E444" ca="1" si="44">E443</f>
        <v>43657</v>
      </c>
      <c r="F444" s="3383">
        <f t="shared" ca="1" si="21"/>
        <v>412</v>
      </c>
    </row>
    <row r="445" spans="1:6">
      <c r="A445" s="3376"/>
      <c r="B445" s="2939">
        <v>219</v>
      </c>
      <c r="C445" s="2941">
        <v>94.92</v>
      </c>
      <c r="D445" s="2939" t="s">
        <v>27</v>
      </c>
      <c r="E445" s="3384">
        <f t="shared" ref="E445" ca="1" si="45">E29</f>
        <v>43657</v>
      </c>
      <c r="F445" s="3383">
        <f t="shared" ca="1" si="21"/>
        <v>414</v>
      </c>
    </row>
    <row r="446" spans="1:6">
      <c r="A446" s="3376"/>
      <c r="B446" s="2939">
        <v>402</v>
      </c>
      <c r="C446" s="2941">
        <v>172.56</v>
      </c>
      <c r="D446" s="2939" t="s">
        <v>27</v>
      </c>
      <c r="E446" s="3384">
        <f t="shared" ref="E446" ca="1" si="46">E445</f>
        <v>43657</v>
      </c>
      <c r="F446" s="3383">
        <f t="shared" ca="1" si="21"/>
        <v>753</v>
      </c>
    </row>
    <row r="447" spans="1:6">
      <c r="A447" s="3376"/>
      <c r="B447" s="2939">
        <v>410</v>
      </c>
      <c r="C447" s="2941">
        <v>118.11</v>
      </c>
      <c r="D447" s="2939" t="s">
        <v>27</v>
      </c>
      <c r="E447" s="3384">
        <f t="shared" ref="E447" ca="1" si="47">E31</f>
        <v>43657</v>
      </c>
      <c r="F447" s="3383">
        <f t="shared" ca="1" si="21"/>
        <v>516</v>
      </c>
    </row>
    <row r="448" spans="1:6">
      <c r="A448" s="3376"/>
      <c r="B448" s="2939">
        <v>411</v>
      </c>
      <c r="C448" s="2941">
        <v>117.58</v>
      </c>
      <c r="D448" s="2939" t="s">
        <v>27</v>
      </c>
      <c r="E448" s="3384">
        <f t="shared" ref="E448" ca="1" si="48">E447</f>
        <v>43657</v>
      </c>
      <c r="F448" s="3383">
        <f t="shared" ca="1" si="21"/>
        <v>513</v>
      </c>
    </row>
    <row r="449" spans="1:6">
      <c r="A449" s="3376"/>
      <c r="B449" s="2939">
        <v>412</v>
      </c>
      <c r="C449" s="2941">
        <v>117.58</v>
      </c>
      <c r="D449" s="2939" t="s">
        <v>27</v>
      </c>
      <c r="E449" s="3384">
        <f t="shared" ref="E449" ca="1" si="49">E33</f>
        <v>43657</v>
      </c>
      <c r="F449" s="3383">
        <f t="shared" ca="1" si="21"/>
        <v>513</v>
      </c>
    </row>
    <row r="450" spans="1:6">
      <c r="A450" s="3376"/>
      <c r="B450" s="2939">
        <v>417</v>
      </c>
      <c r="C450" s="2941">
        <v>94.37</v>
      </c>
      <c r="D450" s="2939" t="s">
        <v>27</v>
      </c>
      <c r="E450" s="3384">
        <f t="shared" ref="E450" ca="1" si="50">E449</f>
        <v>43657</v>
      </c>
      <c r="F450" s="3383">
        <f t="shared" ca="1" si="21"/>
        <v>412</v>
      </c>
    </row>
    <row r="451" spans="1:6">
      <c r="A451" s="3376"/>
      <c r="B451" s="2939">
        <v>419</v>
      </c>
      <c r="C451" s="2941">
        <v>94.92</v>
      </c>
      <c r="D451" s="2939" t="s">
        <v>27</v>
      </c>
      <c r="E451" s="3384">
        <f t="shared" ref="E451" ca="1" si="51">E35</f>
        <v>43657</v>
      </c>
      <c r="F451" s="3383">
        <f t="shared" ca="1" si="21"/>
        <v>414</v>
      </c>
    </row>
    <row r="452" spans="1:6">
      <c r="A452" s="3376"/>
      <c r="B452" s="2939">
        <v>420</v>
      </c>
      <c r="C452" s="2941">
        <v>94.5</v>
      </c>
      <c r="D452" s="2939" t="s">
        <v>27</v>
      </c>
      <c r="E452" s="3384">
        <f t="shared" ref="E452" ca="1" si="52">E451</f>
        <v>43657</v>
      </c>
      <c r="F452" s="3383">
        <f t="shared" ca="1" si="21"/>
        <v>413</v>
      </c>
    </row>
    <row r="453" spans="1:6">
      <c r="A453" s="3376"/>
      <c r="B453" s="2939">
        <v>604</v>
      </c>
      <c r="C453" s="2941">
        <v>118.4</v>
      </c>
      <c r="D453" s="2939" t="s">
        <v>27</v>
      </c>
      <c r="E453" s="3384">
        <f t="shared" ref="E453" ca="1" si="53">E37</f>
        <v>43657</v>
      </c>
      <c r="F453" s="3383">
        <f t="shared" ca="1" si="21"/>
        <v>517</v>
      </c>
    </row>
    <row r="454" spans="1:6">
      <c r="A454" s="3376"/>
      <c r="B454" s="2939">
        <v>611</v>
      </c>
      <c r="C454" s="2941">
        <v>118.4</v>
      </c>
      <c r="D454" s="2939" t="s">
        <v>27</v>
      </c>
      <c r="E454" s="3384">
        <f t="shared" ref="E454" ca="1" si="54">E453</f>
        <v>43657</v>
      </c>
      <c r="F454" s="3383">
        <f t="shared" ca="1" si="21"/>
        <v>517</v>
      </c>
    </row>
    <row r="455" spans="1:6">
      <c r="A455" s="3376"/>
      <c r="B455" s="2939">
        <v>613</v>
      </c>
      <c r="C455" s="2941">
        <v>173.63</v>
      </c>
      <c r="D455" s="2939" t="s">
        <v>27</v>
      </c>
      <c r="E455" s="3384">
        <f t="shared" ref="E455" ca="1" si="55">E39</f>
        <v>43657</v>
      </c>
      <c r="F455" s="3383">
        <f t="shared" ca="1" si="21"/>
        <v>758</v>
      </c>
    </row>
    <row r="456" spans="1:6">
      <c r="A456" s="3376"/>
      <c r="B456" s="2939">
        <v>614</v>
      </c>
      <c r="C456" s="2941">
        <v>96.38</v>
      </c>
      <c r="D456" s="2939" t="s">
        <v>27</v>
      </c>
      <c r="E456" s="3384">
        <f t="shared" ref="E456" ca="1" si="56">E455</f>
        <v>43657</v>
      </c>
      <c r="F456" s="3383">
        <f t="shared" ca="1" si="21"/>
        <v>421</v>
      </c>
    </row>
    <row r="457" spans="1:6">
      <c r="A457" s="3376"/>
      <c r="B457" s="2939">
        <v>804</v>
      </c>
      <c r="C457" s="2941">
        <v>118.4</v>
      </c>
      <c r="D457" s="2939" t="s">
        <v>27</v>
      </c>
      <c r="E457" s="3384">
        <f t="shared" ref="E457" ca="1" si="57">E41</f>
        <v>43657</v>
      </c>
      <c r="F457" s="3383">
        <f t="shared" ca="1" si="21"/>
        <v>517</v>
      </c>
    </row>
    <row r="458" spans="1:6">
      <c r="A458" s="3376"/>
      <c r="B458" s="2939">
        <v>808</v>
      </c>
      <c r="C458" s="2941">
        <v>114.89</v>
      </c>
      <c r="D458" s="2939" t="s">
        <v>27</v>
      </c>
      <c r="E458" s="3384">
        <f t="shared" ref="E458" ca="1" si="58">E457</f>
        <v>43657</v>
      </c>
      <c r="F458" s="3383">
        <f t="shared" ca="1" si="21"/>
        <v>502</v>
      </c>
    </row>
    <row r="459" spans="1:6">
      <c r="A459" s="3376"/>
      <c r="B459" s="2939">
        <v>811</v>
      </c>
      <c r="C459" s="2941">
        <v>118.4</v>
      </c>
      <c r="D459" s="2939" t="s">
        <v>27</v>
      </c>
      <c r="E459" s="3384">
        <f t="shared" ref="E459" ca="1" si="59">E43</f>
        <v>43657</v>
      </c>
      <c r="F459" s="3383">
        <f t="shared" ca="1" si="21"/>
        <v>517</v>
      </c>
    </row>
    <row r="460" spans="1:6">
      <c r="A460" s="3376"/>
      <c r="B460" s="2939">
        <v>1011</v>
      </c>
      <c r="C460" s="2941">
        <v>118.4</v>
      </c>
      <c r="D460" s="2939" t="s">
        <v>27</v>
      </c>
      <c r="E460" s="3384">
        <f t="shared" ref="E460" ca="1" si="60">E459</f>
        <v>43657</v>
      </c>
      <c r="F460" s="3383">
        <f t="shared" ca="1" si="21"/>
        <v>517</v>
      </c>
    </row>
    <row r="461" spans="1:6">
      <c r="A461" s="3376"/>
      <c r="B461" s="2939">
        <v>1018</v>
      </c>
      <c r="C461" s="2941">
        <v>95.14</v>
      </c>
      <c r="D461" s="2939" t="s">
        <v>27</v>
      </c>
      <c r="E461" s="3384">
        <f t="shared" ref="E461" ca="1" si="61">E45</f>
        <v>43657</v>
      </c>
      <c r="F461" s="3383">
        <f t="shared" ca="1" si="21"/>
        <v>415</v>
      </c>
    </row>
    <row r="462" spans="1:6">
      <c r="A462" s="3376"/>
      <c r="B462" s="2939">
        <v>1020</v>
      </c>
      <c r="C462" s="2941">
        <v>95.17</v>
      </c>
      <c r="D462" s="2939" t="s">
        <v>27</v>
      </c>
      <c r="E462" s="3384">
        <f t="shared" ref="E462" ca="1" si="62">E461</f>
        <v>43657</v>
      </c>
      <c r="F462" s="3383">
        <f t="shared" ca="1" si="21"/>
        <v>415</v>
      </c>
    </row>
    <row r="463" spans="1:6">
      <c r="A463" s="3376"/>
      <c r="B463" s="2939">
        <v>1204</v>
      </c>
      <c r="C463" s="2941">
        <v>118.4</v>
      </c>
      <c r="D463" s="2939" t="s">
        <v>27</v>
      </c>
      <c r="E463" s="3384">
        <f t="shared" ref="E463" ca="1" si="63">E47</f>
        <v>43657</v>
      </c>
      <c r="F463" s="3383">
        <f t="shared" ca="1" si="21"/>
        <v>517</v>
      </c>
    </row>
    <row r="464" spans="1:6">
      <c r="A464" s="3376"/>
      <c r="B464" s="2939">
        <v>1205</v>
      </c>
      <c r="C464" s="2941">
        <v>118.65</v>
      </c>
      <c r="D464" s="2939" t="s">
        <v>27</v>
      </c>
      <c r="E464" s="3384">
        <f t="shared" ref="E464" ca="1" si="64">E463</f>
        <v>43657</v>
      </c>
      <c r="F464" s="3383">
        <f t="shared" ca="1" si="21"/>
        <v>518</v>
      </c>
    </row>
    <row r="465" spans="1:6">
      <c r="A465" s="3376"/>
      <c r="B465" s="2939">
        <v>1216</v>
      </c>
      <c r="C465" s="2941">
        <v>95.35</v>
      </c>
      <c r="D465" s="2939" t="s">
        <v>27</v>
      </c>
      <c r="E465" s="3384">
        <f t="shared" ref="E465" ca="1" si="65">E49</f>
        <v>43657</v>
      </c>
      <c r="F465" s="3383">
        <f t="shared" ca="1" si="21"/>
        <v>416</v>
      </c>
    </row>
    <row r="466" spans="1:6">
      <c r="A466" s="3376"/>
      <c r="B466" s="2939">
        <v>1217</v>
      </c>
      <c r="C466" s="2941">
        <v>95.14</v>
      </c>
      <c r="D466" s="2939" t="s">
        <v>27</v>
      </c>
      <c r="E466" s="3384">
        <f t="shared" ref="E466" ca="1" si="66">E465</f>
        <v>43657</v>
      </c>
      <c r="F466" s="3383">
        <f t="shared" ca="1" si="21"/>
        <v>415</v>
      </c>
    </row>
    <row r="467" spans="1:6">
      <c r="A467" s="3376"/>
      <c r="B467" s="2939">
        <v>1417</v>
      </c>
      <c r="C467" s="2941">
        <v>95.14</v>
      </c>
      <c r="D467" s="2939" t="s">
        <v>27</v>
      </c>
      <c r="E467" s="3384">
        <f t="shared" ref="E467" ca="1" si="67">E51</f>
        <v>43657</v>
      </c>
      <c r="F467" s="3383">
        <f t="shared" ca="1" si="21"/>
        <v>415</v>
      </c>
    </row>
    <row r="468" spans="1:6">
      <c r="A468" s="3376"/>
      <c r="B468" s="2939">
        <v>1418</v>
      </c>
      <c r="C468" s="2941">
        <v>95.14</v>
      </c>
      <c r="D468" s="2939" t="s">
        <v>27</v>
      </c>
      <c r="E468" s="3384">
        <f t="shared" ref="E468" ca="1" si="68">E467</f>
        <v>43657</v>
      </c>
      <c r="F468" s="3383">
        <f t="shared" ca="1" si="21"/>
        <v>415</v>
      </c>
    </row>
    <row r="469" spans="1:6">
      <c r="A469" s="3376"/>
      <c r="B469" s="2939">
        <v>1419</v>
      </c>
      <c r="C469" s="2941">
        <v>95.35</v>
      </c>
      <c r="D469" s="2939" t="s">
        <v>27</v>
      </c>
      <c r="E469" s="3384">
        <f t="shared" ref="E469" ca="1" si="69">E53</f>
        <v>43657</v>
      </c>
      <c r="F469" s="3383">
        <f t="shared" ca="1" si="21"/>
        <v>416</v>
      </c>
    </row>
    <row r="470" spans="1:6">
      <c r="A470" s="3376"/>
      <c r="B470" s="2939">
        <v>1611</v>
      </c>
      <c r="C470" s="2941">
        <v>118.4</v>
      </c>
      <c r="D470" s="2939" t="s">
        <v>27</v>
      </c>
      <c r="E470" s="3384">
        <f t="shared" ref="E470" ca="1" si="70">E469</f>
        <v>43657</v>
      </c>
      <c r="F470" s="3383">
        <f t="shared" ca="1" si="21"/>
        <v>517</v>
      </c>
    </row>
    <row r="471" spans="1:6">
      <c r="A471" s="3376"/>
      <c r="B471" s="2939">
        <v>1614</v>
      </c>
      <c r="C471" s="2941">
        <v>96.38</v>
      </c>
      <c r="D471" s="2939" t="s">
        <v>27</v>
      </c>
      <c r="E471" s="3384">
        <f t="shared" ref="E471" ca="1" si="71">E55</f>
        <v>43657</v>
      </c>
      <c r="F471" s="3383">
        <f t="shared" ca="1" si="21"/>
        <v>421</v>
      </c>
    </row>
    <row r="472" spans="1:6">
      <c r="A472" s="3376"/>
      <c r="B472" s="2939">
        <v>1615</v>
      </c>
      <c r="C472" s="2941">
        <v>95.17</v>
      </c>
      <c r="D472" s="2939" t="s">
        <v>27</v>
      </c>
      <c r="E472" s="3384">
        <f t="shared" ref="E472" ca="1" si="72">E471</f>
        <v>43657</v>
      </c>
      <c r="F472" s="3383">
        <f t="shared" ca="1" si="21"/>
        <v>415</v>
      </c>
    </row>
    <row r="473" spans="1:6">
      <c r="A473" s="3376"/>
      <c r="B473" s="2939">
        <v>1810</v>
      </c>
      <c r="C473" s="2941">
        <v>118.65</v>
      </c>
      <c r="D473" s="2939" t="s">
        <v>27</v>
      </c>
      <c r="E473" s="3384">
        <f t="shared" ref="E473" ca="1" si="73">E57</f>
        <v>43657</v>
      </c>
      <c r="F473" s="3383">
        <f t="shared" ca="1" si="21"/>
        <v>518</v>
      </c>
    </row>
    <row r="474" spans="1:6">
      <c r="A474" s="3376"/>
      <c r="B474" s="2939">
        <v>1811</v>
      </c>
      <c r="C474" s="2941">
        <v>119.51</v>
      </c>
      <c r="D474" s="2939" t="s">
        <v>27</v>
      </c>
      <c r="E474" s="3384">
        <f t="shared" ref="E474" ca="1" si="74">E473</f>
        <v>43657</v>
      </c>
      <c r="F474" s="3383">
        <f t="shared" ca="1" si="21"/>
        <v>522</v>
      </c>
    </row>
    <row r="475" spans="1:6">
      <c r="A475" s="3376"/>
      <c r="B475" s="2939">
        <v>1815</v>
      </c>
      <c r="C475" s="2941">
        <v>96.11</v>
      </c>
      <c r="D475" s="2939" t="s">
        <v>27</v>
      </c>
      <c r="E475" s="3384">
        <f t="shared" ref="E475" ca="1" si="75">E59</f>
        <v>43657</v>
      </c>
      <c r="F475" s="3383">
        <f t="shared" ca="1" si="21"/>
        <v>420</v>
      </c>
    </row>
    <row r="476" spans="1:6">
      <c r="A476" s="3376"/>
      <c r="B476" s="2939">
        <v>1816</v>
      </c>
      <c r="C476" s="2941">
        <v>95.35</v>
      </c>
      <c r="D476" s="2939" t="s">
        <v>27</v>
      </c>
      <c r="E476" s="3384">
        <f t="shared" ref="E476" ca="1" si="76">E475</f>
        <v>43657</v>
      </c>
      <c r="F476" s="3383">
        <f t="shared" ca="1" si="21"/>
        <v>416</v>
      </c>
    </row>
    <row r="477" spans="1:6">
      <c r="A477" s="3377"/>
      <c r="B477" s="2939">
        <v>1820</v>
      </c>
      <c r="C477" s="2941">
        <v>96.11</v>
      </c>
      <c r="D477" s="2939" t="s">
        <v>27</v>
      </c>
      <c r="E477" s="3384">
        <f t="shared" ref="E477" ca="1" si="77">E61</f>
        <v>43657</v>
      </c>
      <c r="F477" s="3383">
        <f t="shared" ca="1" si="21"/>
        <v>420</v>
      </c>
    </row>
    <row r="478" spans="1:6">
      <c r="A478" s="3363" t="s">
        <v>40</v>
      </c>
      <c r="B478" s="3364"/>
      <c r="C478" s="2942">
        <f>SUM(C419:C477)</f>
        <v>5398.0400000000009</v>
      </c>
      <c r="D478" s="2942" t="s">
        <v>27</v>
      </c>
      <c r="E478" s="3384"/>
      <c r="F478" s="3383">
        <f ca="1">SUM(F419:F477)</f>
        <v>23566</v>
      </c>
    </row>
    <row r="479" spans="1:6">
      <c r="A479" s="2938" t="s">
        <v>3072</v>
      </c>
      <c r="B479" s="2938" t="s">
        <v>3073</v>
      </c>
      <c r="C479" s="2938" t="s">
        <v>3074</v>
      </c>
      <c r="D479" s="2938" t="s">
        <v>1375</v>
      </c>
      <c r="E479" s="3384"/>
      <c r="F479" s="3384"/>
    </row>
    <row r="480" spans="1:6">
      <c r="A480" s="3378" t="s">
        <v>3309</v>
      </c>
      <c r="B480" s="2939">
        <v>101</v>
      </c>
      <c r="C480" s="2941">
        <v>92.62</v>
      </c>
      <c r="D480" s="2939" t="s">
        <v>27</v>
      </c>
      <c r="E480" s="3384">
        <f ca="1">E3</f>
        <v>43657</v>
      </c>
      <c r="F480" s="3383">
        <f t="shared" ref="F480:F533" ca="1" si="78">ROUND(C480*E480/10000,0)</f>
        <v>404</v>
      </c>
    </row>
    <row r="481" spans="1:6">
      <c r="A481" s="3376"/>
      <c r="B481" s="2939">
        <v>102</v>
      </c>
      <c r="C481" s="2941">
        <v>61.39</v>
      </c>
      <c r="D481" s="2939" t="s">
        <v>27</v>
      </c>
      <c r="E481" s="3384">
        <f ca="1">E480</f>
        <v>43657</v>
      </c>
      <c r="F481" s="3383">
        <f t="shared" ca="1" si="78"/>
        <v>268</v>
      </c>
    </row>
    <row r="482" spans="1:6">
      <c r="A482" s="3376"/>
      <c r="B482" s="2939">
        <v>103</v>
      </c>
      <c r="C482" s="2941">
        <v>61.39</v>
      </c>
      <c r="D482" s="2939" t="s">
        <v>27</v>
      </c>
      <c r="E482" s="3384">
        <f t="shared" ref="E482:E533" ca="1" si="79">E481</f>
        <v>43657</v>
      </c>
      <c r="F482" s="3383">
        <f t="shared" ca="1" si="78"/>
        <v>268</v>
      </c>
    </row>
    <row r="483" spans="1:6">
      <c r="A483" s="3376"/>
      <c r="B483" s="2939">
        <v>104</v>
      </c>
      <c r="C483" s="2941">
        <v>61.09</v>
      </c>
      <c r="D483" s="2939" t="s">
        <v>27</v>
      </c>
      <c r="E483" s="3384">
        <f t="shared" ca="1" si="79"/>
        <v>43657</v>
      </c>
      <c r="F483" s="3383">
        <f t="shared" ca="1" si="78"/>
        <v>267</v>
      </c>
    </row>
    <row r="484" spans="1:6">
      <c r="A484" s="3376"/>
      <c r="B484" s="2939">
        <v>105</v>
      </c>
      <c r="C484" s="2941">
        <v>61.09</v>
      </c>
      <c r="D484" s="2939" t="s">
        <v>27</v>
      </c>
      <c r="E484" s="3384">
        <f t="shared" ca="1" si="79"/>
        <v>43657</v>
      </c>
      <c r="F484" s="3383">
        <f t="shared" ca="1" si="78"/>
        <v>267</v>
      </c>
    </row>
    <row r="485" spans="1:6">
      <c r="A485" s="3376"/>
      <c r="B485" s="2939">
        <v>106</v>
      </c>
      <c r="C485" s="2941">
        <v>61.09</v>
      </c>
      <c r="D485" s="2939" t="s">
        <v>27</v>
      </c>
      <c r="E485" s="3384">
        <f t="shared" ca="1" si="79"/>
        <v>43657</v>
      </c>
      <c r="F485" s="3383">
        <f t="shared" ca="1" si="78"/>
        <v>267</v>
      </c>
    </row>
    <row r="486" spans="1:6">
      <c r="A486" s="3376"/>
      <c r="B486" s="2939">
        <v>107</v>
      </c>
      <c r="C486" s="2941">
        <v>61.09</v>
      </c>
      <c r="D486" s="2939" t="s">
        <v>27</v>
      </c>
      <c r="E486" s="3384">
        <f t="shared" ca="1" si="79"/>
        <v>43657</v>
      </c>
      <c r="F486" s="3383">
        <f t="shared" ca="1" si="78"/>
        <v>267</v>
      </c>
    </row>
    <row r="487" spans="1:6">
      <c r="A487" s="3376"/>
      <c r="B487" s="2939">
        <v>108</v>
      </c>
      <c r="C487" s="2941">
        <v>61.39</v>
      </c>
      <c r="D487" s="2939" t="s">
        <v>27</v>
      </c>
      <c r="E487" s="3384">
        <f t="shared" ca="1" si="79"/>
        <v>43657</v>
      </c>
      <c r="F487" s="3383">
        <f t="shared" ca="1" si="78"/>
        <v>268</v>
      </c>
    </row>
    <row r="488" spans="1:6">
      <c r="A488" s="3376"/>
      <c r="B488" s="2939">
        <v>109</v>
      </c>
      <c r="C488" s="2941">
        <v>61.39</v>
      </c>
      <c r="D488" s="2939" t="s">
        <v>27</v>
      </c>
      <c r="E488" s="3384">
        <f t="shared" ca="1" si="79"/>
        <v>43657</v>
      </c>
      <c r="F488" s="3383">
        <f t="shared" ca="1" si="78"/>
        <v>268</v>
      </c>
    </row>
    <row r="489" spans="1:6">
      <c r="A489" s="3376"/>
      <c r="B489" s="2939">
        <v>110</v>
      </c>
      <c r="C489" s="2941">
        <v>92.62</v>
      </c>
      <c r="D489" s="2939" t="s">
        <v>27</v>
      </c>
      <c r="E489" s="3384">
        <f t="shared" ca="1" si="79"/>
        <v>43657</v>
      </c>
      <c r="F489" s="3383">
        <f t="shared" ca="1" si="78"/>
        <v>404</v>
      </c>
    </row>
    <row r="490" spans="1:6">
      <c r="A490" s="3376"/>
      <c r="B490" s="2949">
        <v>202</v>
      </c>
      <c r="C490" s="2941">
        <v>120.58</v>
      </c>
      <c r="D490" s="2949" t="s">
        <v>27</v>
      </c>
      <c r="E490" s="3384">
        <f t="shared" ca="1" si="79"/>
        <v>43657</v>
      </c>
      <c r="F490" s="3383">
        <f t="shared" ca="1" si="78"/>
        <v>526</v>
      </c>
    </row>
    <row r="491" spans="1:6">
      <c r="A491" s="3376"/>
      <c r="B491" s="2939">
        <v>210</v>
      </c>
      <c r="C491" s="2941">
        <v>120.58</v>
      </c>
      <c r="D491" s="2939" t="s">
        <v>27</v>
      </c>
      <c r="E491" s="3384">
        <f t="shared" ca="1" si="79"/>
        <v>43657</v>
      </c>
      <c r="F491" s="3383">
        <f t="shared" ca="1" si="78"/>
        <v>526</v>
      </c>
    </row>
    <row r="492" spans="1:6">
      <c r="A492" s="3376"/>
      <c r="B492" s="2949">
        <v>216</v>
      </c>
      <c r="C492" s="2941">
        <v>92.97</v>
      </c>
      <c r="D492" s="2949" t="s">
        <v>27</v>
      </c>
      <c r="E492" s="3384">
        <f t="shared" ca="1" si="79"/>
        <v>43657</v>
      </c>
      <c r="F492" s="3383">
        <f t="shared" ca="1" si="78"/>
        <v>406</v>
      </c>
    </row>
    <row r="493" spans="1:6">
      <c r="A493" s="3376"/>
      <c r="B493" s="2939">
        <v>217</v>
      </c>
      <c r="C493" s="2941">
        <v>93.69</v>
      </c>
      <c r="D493" s="2939" t="s">
        <v>27</v>
      </c>
      <c r="E493" s="3384">
        <f t="shared" ca="1" si="79"/>
        <v>43657</v>
      </c>
      <c r="F493" s="3383">
        <f t="shared" ca="1" si="78"/>
        <v>409</v>
      </c>
    </row>
    <row r="494" spans="1:6">
      <c r="A494" s="3376"/>
      <c r="B494" s="2949">
        <v>218</v>
      </c>
      <c r="C494" s="2941">
        <v>94.18</v>
      </c>
      <c r="D494" s="2949" t="s">
        <v>27</v>
      </c>
      <c r="E494" s="3384">
        <f t="shared" ca="1" si="79"/>
        <v>43657</v>
      </c>
      <c r="F494" s="3383">
        <f t="shared" ca="1" si="78"/>
        <v>411</v>
      </c>
    </row>
    <row r="495" spans="1:6">
      <c r="A495" s="3376"/>
      <c r="B495" s="2939">
        <v>404</v>
      </c>
      <c r="C495" s="2941">
        <v>121.27</v>
      </c>
      <c r="D495" s="2939" t="s">
        <v>27</v>
      </c>
      <c r="E495" s="3384">
        <f t="shared" ca="1" si="79"/>
        <v>43657</v>
      </c>
      <c r="F495" s="3383">
        <f t="shared" ca="1" si="78"/>
        <v>529</v>
      </c>
    </row>
    <row r="496" spans="1:6">
      <c r="A496" s="3376"/>
      <c r="B496" s="2939">
        <v>405</v>
      </c>
      <c r="C496" s="2941">
        <v>119.78</v>
      </c>
      <c r="D496" s="2939" t="s">
        <v>27</v>
      </c>
      <c r="E496" s="3384">
        <f t="shared" ca="1" si="79"/>
        <v>43657</v>
      </c>
      <c r="F496" s="3383">
        <f t="shared" ca="1" si="78"/>
        <v>523</v>
      </c>
    </row>
    <row r="497" spans="1:6">
      <c r="A497" s="3376"/>
      <c r="B497" s="2939">
        <v>408</v>
      </c>
      <c r="C497" s="2941">
        <v>119.78</v>
      </c>
      <c r="D497" s="2939" t="s">
        <v>27</v>
      </c>
      <c r="E497" s="3384">
        <f t="shared" ca="1" si="79"/>
        <v>43657</v>
      </c>
      <c r="F497" s="3383">
        <f t="shared" ca="1" si="78"/>
        <v>523</v>
      </c>
    </row>
    <row r="498" spans="1:6">
      <c r="A498" s="3376"/>
      <c r="B498" s="2939">
        <v>409</v>
      </c>
      <c r="C498" s="2941">
        <v>121.27</v>
      </c>
      <c r="D498" s="2939" t="s">
        <v>27</v>
      </c>
      <c r="E498" s="3384">
        <f t="shared" ca="1" si="79"/>
        <v>43657</v>
      </c>
      <c r="F498" s="3383">
        <f t="shared" ca="1" si="78"/>
        <v>529</v>
      </c>
    </row>
    <row r="499" spans="1:6">
      <c r="A499" s="3376"/>
      <c r="B499" s="2949">
        <v>411</v>
      </c>
      <c r="C499" s="2941">
        <v>120.58</v>
      </c>
      <c r="D499" s="2949" t="s">
        <v>27</v>
      </c>
      <c r="E499" s="3384">
        <f t="shared" ca="1" si="79"/>
        <v>43657</v>
      </c>
      <c r="F499" s="3383">
        <f t="shared" ca="1" si="78"/>
        <v>526</v>
      </c>
    </row>
    <row r="500" spans="1:6">
      <c r="A500" s="3376"/>
      <c r="B500" s="2939">
        <v>417</v>
      </c>
      <c r="C500" s="2941">
        <v>93.69</v>
      </c>
      <c r="D500" s="2939" t="s">
        <v>27</v>
      </c>
      <c r="E500" s="3384">
        <f t="shared" ca="1" si="79"/>
        <v>43657</v>
      </c>
      <c r="F500" s="3383">
        <f t="shared" ca="1" si="78"/>
        <v>409</v>
      </c>
    </row>
    <row r="501" spans="1:6">
      <c r="A501" s="3376"/>
      <c r="B501" s="2949">
        <v>418</v>
      </c>
      <c r="C501" s="2941">
        <v>94.18</v>
      </c>
      <c r="D501" s="2949" t="s">
        <v>27</v>
      </c>
      <c r="E501" s="3384">
        <f t="shared" ca="1" si="79"/>
        <v>43657</v>
      </c>
      <c r="F501" s="3383">
        <f t="shared" ca="1" si="78"/>
        <v>411</v>
      </c>
    </row>
    <row r="502" spans="1:6">
      <c r="A502" s="3376"/>
      <c r="B502" s="2939">
        <v>602</v>
      </c>
      <c r="C502" s="2941">
        <v>121.17</v>
      </c>
      <c r="D502" s="2939" t="s">
        <v>27</v>
      </c>
      <c r="E502" s="3384">
        <f t="shared" ca="1" si="79"/>
        <v>43657</v>
      </c>
      <c r="F502" s="3383">
        <f t="shared" ca="1" si="78"/>
        <v>529</v>
      </c>
    </row>
    <row r="503" spans="1:6">
      <c r="A503" s="3376"/>
      <c r="B503" s="2939">
        <v>604</v>
      </c>
      <c r="C503" s="2941">
        <v>121.4</v>
      </c>
      <c r="D503" s="2939" t="s">
        <v>27</v>
      </c>
      <c r="E503" s="3384">
        <f t="shared" ca="1" si="79"/>
        <v>43657</v>
      </c>
      <c r="F503" s="3383">
        <f t="shared" ca="1" si="78"/>
        <v>530</v>
      </c>
    </row>
    <row r="504" spans="1:6">
      <c r="A504" s="3376"/>
      <c r="B504" s="2939">
        <v>612</v>
      </c>
      <c r="C504" s="2941">
        <v>185.45</v>
      </c>
      <c r="D504" s="2939" t="s">
        <v>27</v>
      </c>
      <c r="E504" s="3384">
        <f t="shared" ca="1" si="79"/>
        <v>43657</v>
      </c>
      <c r="F504" s="3383">
        <f t="shared" ca="1" si="78"/>
        <v>810</v>
      </c>
    </row>
    <row r="505" spans="1:6">
      <c r="A505" s="3376"/>
      <c r="B505" s="2949">
        <v>616</v>
      </c>
      <c r="C505" s="2941">
        <v>94.01</v>
      </c>
      <c r="D505" s="2949" t="s">
        <v>27</v>
      </c>
      <c r="E505" s="3384">
        <f t="shared" ca="1" si="79"/>
        <v>43657</v>
      </c>
      <c r="F505" s="3383">
        <f t="shared" ca="1" si="78"/>
        <v>410</v>
      </c>
    </row>
    <row r="506" spans="1:6">
      <c r="A506" s="3376"/>
      <c r="B506" s="2949">
        <v>618</v>
      </c>
      <c r="C506" s="2941">
        <v>95.03</v>
      </c>
      <c r="D506" s="2949" t="s">
        <v>27</v>
      </c>
      <c r="E506" s="3384">
        <f t="shared" ca="1" si="79"/>
        <v>43657</v>
      </c>
      <c r="F506" s="3383">
        <f t="shared" ca="1" si="78"/>
        <v>415</v>
      </c>
    </row>
    <row r="507" spans="1:6">
      <c r="A507" s="3376"/>
      <c r="B507" s="2939">
        <v>804</v>
      </c>
      <c r="C507" s="2941">
        <v>121.4</v>
      </c>
      <c r="D507" s="2939" t="s">
        <v>27</v>
      </c>
      <c r="E507" s="3384">
        <f t="shared" ca="1" si="79"/>
        <v>43657</v>
      </c>
      <c r="F507" s="3383">
        <f t="shared" ca="1" si="78"/>
        <v>530</v>
      </c>
    </row>
    <row r="508" spans="1:6">
      <c r="A508" s="3376"/>
      <c r="B508" s="2949">
        <v>810</v>
      </c>
      <c r="C508" s="2941">
        <v>121.17</v>
      </c>
      <c r="D508" s="2949" t="s">
        <v>27</v>
      </c>
      <c r="E508" s="3384">
        <f t="shared" ca="1" si="79"/>
        <v>43657</v>
      </c>
      <c r="F508" s="3383">
        <f t="shared" ca="1" si="78"/>
        <v>529</v>
      </c>
    </row>
    <row r="509" spans="1:6">
      <c r="A509" s="3376"/>
      <c r="B509" s="2939">
        <v>811</v>
      </c>
      <c r="C509" s="2941">
        <v>121.17</v>
      </c>
      <c r="D509" s="2939" t="s">
        <v>27</v>
      </c>
      <c r="E509" s="3384">
        <f t="shared" ca="1" si="79"/>
        <v>43657</v>
      </c>
      <c r="F509" s="3383">
        <f t="shared" ca="1" si="78"/>
        <v>529</v>
      </c>
    </row>
    <row r="510" spans="1:6">
      <c r="A510" s="3376"/>
      <c r="B510" s="2949">
        <v>813</v>
      </c>
      <c r="C510" s="2941">
        <v>95.03</v>
      </c>
      <c r="D510" s="2949" t="s">
        <v>27</v>
      </c>
      <c r="E510" s="3384">
        <f t="shared" ca="1" si="79"/>
        <v>43657</v>
      </c>
      <c r="F510" s="3383">
        <f t="shared" ca="1" si="78"/>
        <v>415</v>
      </c>
    </row>
    <row r="511" spans="1:6">
      <c r="A511" s="3376"/>
      <c r="B511" s="2949">
        <v>817</v>
      </c>
      <c r="C511" s="2941">
        <v>94.21</v>
      </c>
      <c r="D511" s="2949" t="s">
        <v>27</v>
      </c>
      <c r="E511" s="3384">
        <f t="shared" ca="1" si="79"/>
        <v>43657</v>
      </c>
      <c r="F511" s="3383">
        <f t="shared" ca="1" si="78"/>
        <v>411</v>
      </c>
    </row>
    <row r="512" spans="1:6">
      <c r="A512" s="3376"/>
      <c r="B512" s="2949">
        <v>818</v>
      </c>
      <c r="C512" s="2941">
        <v>95.03</v>
      </c>
      <c r="D512" s="2949" t="s">
        <v>27</v>
      </c>
      <c r="E512" s="3384">
        <f t="shared" ca="1" si="79"/>
        <v>43657</v>
      </c>
      <c r="F512" s="3383">
        <f t="shared" ca="1" si="78"/>
        <v>415</v>
      </c>
    </row>
    <row r="513" spans="1:6">
      <c r="A513" s="3376"/>
      <c r="B513" s="2939">
        <v>1010</v>
      </c>
      <c r="C513" s="2941">
        <v>121.17</v>
      </c>
      <c r="D513" s="2939" t="s">
        <v>27</v>
      </c>
      <c r="E513" s="3384">
        <f t="shared" ca="1" si="79"/>
        <v>43657</v>
      </c>
      <c r="F513" s="3383">
        <f t="shared" ca="1" si="78"/>
        <v>529</v>
      </c>
    </row>
    <row r="514" spans="1:6">
      <c r="A514" s="3376"/>
      <c r="B514" s="2939">
        <v>1012</v>
      </c>
      <c r="C514" s="2941">
        <v>185.45</v>
      </c>
      <c r="D514" s="2939" t="s">
        <v>27</v>
      </c>
      <c r="E514" s="3384">
        <f t="shared" ca="1" si="79"/>
        <v>43657</v>
      </c>
      <c r="F514" s="3383">
        <f t="shared" ca="1" si="78"/>
        <v>810</v>
      </c>
    </row>
    <row r="515" spans="1:6">
      <c r="A515" s="3376"/>
      <c r="B515" s="2939">
        <v>1207</v>
      </c>
      <c r="C515" s="2941">
        <v>121.36</v>
      </c>
      <c r="D515" s="2939" t="s">
        <v>27</v>
      </c>
      <c r="E515" s="3384">
        <f t="shared" ca="1" si="79"/>
        <v>43657</v>
      </c>
      <c r="F515" s="3383">
        <f t="shared" ca="1" si="78"/>
        <v>530</v>
      </c>
    </row>
    <row r="516" spans="1:6">
      <c r="A516" s="3376"/>
      <c r="B516" s="2939">
        <v>1211</v>
      </c>
      <c r="C516" s="2941">
        <v>121.17</v>
      </c>
      <c r="D516" s="2939" t="s">
        <v>27</v>
      </c>
      <c r="E516" s="3384">
        <f t="shared" ca="1" si="79"/>
        <v>43657</v>
      </c>
      <c r="F516" s="3383">
        <f t="shared" ca="1" si="78"/>
        <v>529</v>
      </c>
    </row>
    <row r="517" spans="1:6">
      <c r="A517" s="3376"/>
      <c r="B517" s="2949">
        <v>1218</v>
      </c>
      <c r="C517" s="2941">
        <v>95.03</v>
      </c>
      <c r="D517" s="2949" t="s">
        <v>27</v>
      </c>
      <c r="E517" s="3384">
        <f t="shared" ca="1" si="79"/>
        <v>43657</v>
      </c>
      <c r="F517" s="3383">
        <f t="shared" ca="1" si="78"/>
        <v>415</v>
      </c>
    </row>
    <row r="518" spans="1:6">
      <c r="A518" s="3376"/>
      <c r="B518" s="2949">
        <v>1403</v>
      </c>
      <c r="C518" s="2941">
        <v>121.17</v>
      </c>
      <c r="D518" s="2949" t="s">
        <v>27</v>
      </c>
      <c r="E518" s="3384">
        <f t="shared" ca="1" si="79"/>
        <v>43657</v>
      </c>
      <c r="F518" s="3383">
        <f t="shared" ca="1" si="78"/>
        <v>529</v>
      </c>
    </row>
    <row r="519" spans="1:6">
      <c r="A519" s="3376"/>
      <c r="B519" s="2949">
        <v>1409</v>
      </c>
      <c r="C519" s="2941">
        <v>121.4</v>
      </c>
      <c r="D519" s="2949" t="s">
        <v>27</v>
      </c>
      <c r="E519" s="3384">
        <f t="shared" ca="1" si="79"/>
        <v>43657</v>
      </c>
      <c r="F519" s="3383">
        <f t="shared" ca="1" si="78"/>
        <v>530</v>
      </c>
    </row>
    <row r="520" spans="1:6">
      <c r="A520" s="3376"/>
      <c r="B520" s="2939">
        <v>1410</v>
      </c>
      <c r="C520" s="2941">
        <v>121.17</v>
      </c>
      <c r="D520" s="2939" t="s">
        <v>27</v>
      </c>
      <c r="E520" s="3384">
        <f t="shared" ca="1" si="79"/>
        <v>43657</v>
      </c>
      <c r="F520" s="3383">
        <f t="shared" ca="1" si="78"/>
        <v>529</v>
      </c>
    </row>
    <row r="521" spans="1:6">
      <c r="A521" s="3376"/>
      <c r="B521" s="2939">
        <v>1412</v>
      </c>
      <c r="C521" s="2941">
        <v>185.45</v>
      </c>
      <c r="D521" s="2939" t="s">
        <v>27</v>
      </c>
      <c r="E521" s="3384">
        <f t="shared" ca="1" si="79"/>
        <v>43657</v>
      </c>
      <c r="F521" s="3383">
        <f t="shared" ca="1" si="78"/>
        <v>810</v>
      </c>
    </row>
    <row r="522" spans="1:6">
      <c r="A522" s="3376"/>
      <c r="B522" s="2939">
        <v>1414</v>
      </c>
      <c r="C522" s="2941">
        <v>94.21</v>
      </c>
      <c r="D522" s="2939" t="s">
        <v>27</v>
      </c>
      <c r="E522" s="3384">
        <f t="shared" ca="1" si="79"/>
        <v>43657</v>
      </c>
      <c r="F522" s="3383">
        <f t="shared" ca="1" si="78"/>
        <v>411</v>
      </c>
    </row>
    <row r="523" spans="1:6">
      <c r="A523" s="3376"/>
      <c r="B523" s="2939">
        <v>1614</v>
      </c>
      <c r="C523" s="2941">
        <v>94.21</v>
      </c>
      <c r="D523" s="2939" t="s">
        <v>27</v>
      </c>
      <c r="E523" s="3384">
        <f t="shared" ca="1" si="79"/>
        <v>43657</v>
      </c>
      <c r="F523" s="3383">
        <f t="shared" ca="1" si="78"/>
        <v>411</v>
      </c>
    </row>
    <row r="524" spans="1:6">
      <c r="A524" s="3376"/>
      <c r="B524" s="2949">
        <v>1617</v>
      </c>
      <c r="C524" s="2941">
        <v>94.21</v>
      </c>
      <c r="D524" s="2949" t="s">
        <v>27</v>
      </c>
      <c r="E524" s="3384">
        <f t="shared" ca="1" si="79"/>
        <v>43657</v>
      </c>
      <c r="F524" s="3383">
        <f t="shared" ca="1" si="78"/>
        <v>411</v>
      </c>
    </row>
    <row r="525" spans="1:6">
      <c r="A525" s="3376"/>
      <c r="B525" s="2949">
        <v>1802</v>
      </c>
      <c r="C525" s="2941">
        <v>122.27</v>
      </c>
      <c r="D525" s="2949" t="s">
        <v>27</v>
      </c>
      <c r="E525" s="3384">
        <f t="shared" ca="1" si="79"/>
        <v>43657</v>
      </c>
      <c r="F525" s="3383">
        <f t="shared" ca="1" si="78"/>
        <v>534</v>
      </c>
    </row>
    <row r="526" spans="1:6">
      <c r="A526" s="3376"/>
      <c r="B526" s="2939">
        <v>1804</v>
      </c>
      <c r="C526" s="2941">
        <v>121.4</v>
      </c>
      <c r="D526" s="2939" t="s">
        <v>27</v>
      </c>
      <c r="E526" s="3384">
        <f t="shared" ca="1" si="79"/>
        <v>43657</v>
      </c>
      <c r="F526" s="3383">
        <f t="shared" ca="1" si="78"/>
        <v>530</v>
      </c>
    </row>
    <row r="527" spans="1:6">
      <c r="A527" s="3376"/>
      <c r="B527" s="2949">
        <v>1805</v>
      </c>
      <c r="C527" s="2941">
        <v>121.37</v>
      </c>
      <c r="D527" s="2949" t="s">
        <v>27</v>
      </c>
      <c r="E527" s="3384">
        <f t="shared" ca="1" si="79"/>
        <v>43657</v>
      </c>
      <c r="F527" s="3383">
        <f t="shared" ca="1" si="78"/>
        <v>530</v>
      </c>
    </row>
    <row r="528" spans="1:6">
      <c r="A528" s="3376"/>
      <c r="B528" s="2949">
        <v>1806</v>
      </c>
      <c r="C528" s="2941">
        <v>122.44</v>
      </c>
      <c r="D528" s="2949" t="s">
        <v>27</v>
      </c>
      <c r="E528" s="3384">
        <f t="shared" ca="1" si="79"/>
        <v>43657</v>
      </c>
      <c r="F528" s="3383">
        <f t="shared" ca="1" si="78"/>
        <v>535</v>
      </c>
    </row>
    <row r="529" spans="1:6">
      <c r="A529" s="3376"/>
      <c r="B529" s="2949">
        <v>1808</v>
      </c>
      <c r="C529" s="2941">
        <v>121.37</v>
      </c>
      <c r="D529" s="2949" t="s">
        <v>27</v>
      </c>
      <c r="E529" s="3384">
        <f t="shared" ca="1" si="79"/>
        <v>43657</v>
      </c>
      <c r="F529" s="3383">
        <f t="shared" ca="1" si="78"/>
        <v>530</v>
      </c>
    </row>
    <row r="530" spans="1:6">
      <c r="A530" s="3376"/>
      <c r="B530" s="2949">
        <v>1809</v>
      </c>
      <c r="C530" s="2941">
        <v>121.4</v>
      </c>
      <c r="D530" s="2949" t="s">
        <v>27</v>
      </c>
      <c r="E530" s="3384">
        <f t="shared" ca="1" si="79"/>
        <v>43657</v>
      </c>
      <c r="F530" s="3383">
        <f t="shared" ca="1" si="78"/>
        <v>530</v>
      </c>
    </row>
    <row r="531" spans="1:6">
      <c r="A531" s="3376"/>
      <c r="B531" s="2949">
        <v>1814</v>
      </c>
      <c r="C531" s="2941">
        <v>94.21</v>
      </c>
      <c r="D531" s="2949" t="s">
        <v>27</v>
      </c>
      <c r="E531" s="3384">
        <f t="shared" ca="1" si="79"/>
        <v>43657</v>
      </c>
      <c r="F531" s="3383">
        <f t="shared" ca="1" si="78"/>
        <v>411</v>
      </c>
    </row>
    <row r="532" spans="1:6">
      <c r="A532" s="3376"/>
      <c r="B532" s="2939">
        <v>1815</v>
      </c>
      <c r="C532" s="2941">
        <v>94.95</v>
      </c>
      <c r="D532" s="2939" t="s">
        <v>27</v>
      </c>
      <c r="E532" s="3384">
        <f t="shared" ca="1" si="79"/>
        <v>43657</v>
      </c>
      <c r="F532" s="3383">
        <f t="shared" ca="1" si="78"/>
        <v>415</v>
      </c>
    </row>
    <row r="533" spans="1:6">
      <c r="A533" s="3377"/>
      <c r="B533" s="2949">
        <v>1818</v>
      </c>
      <c r="C533" s="2941">
        <v>95.03</v>
      </c>
      <c r="D533" s="2949" t="s">
        <v>27</v>
      </c>
      <c r="E533" s="3384">
        <f t="shared" ca="1" si="79"/>
        <v>43657</v>
      </c>
      <c r="F533" s="3383">
        <f t="shared" ca="1" si="78"/>
        <v>415</v>
      </c>
    </row>
    <row r="534" spans="1:6">
      <c r="A534" s="3365" t="s">
        <v>40</v>
      </c>
      <c r="B534" s="3365"/>
      <c r="C534" s="2942">
        <f>SUM(C480:C533)</f>
        <v>5743.22</v>
      </c>
      <c r="D534" s="2942" t="s">
        <v>27</v>
      </c>
      <c r="E534" s="3384"/>
      <c r="F534" s="3383">
        <f ca="1">SUM(F480:F533)</f>
        <v>25073</v>
      </c>
    </row>
    <row r="535" spans="1:6">
      <c r="A535" s="2938" t="s">
        <v>3072</v>
      </c>
      <c r="B535" s="2938" t="s">
        <v>3073</v>
      </c>
      <c r="C535" s="2950" t="s">
        <v>3310</v>
      </c>
      <c r="D535" s="2938" t="s">
        <v>1375</v>
      </c>
      <c r="E535" s="3384"/>
      <c r="F535" s="3384"/>
    </row>
    <row r="536" spans="1:6">
      <c r="A536" s="3380" t="s">
        <v>3311</v>
      </c>
      <c r="B536" s="2951">
        <v>101</v>
      </c>
      <c r="C536" s="2952">
        <v>87.02</v>
      </c>
      <c r="D536" s="2951" t="s">
        <v>27</v>
      </c>
      <c r="E536" s="3384">
        <f ca="1">E3</f>
        <v>43657</v>
      </c>
      <c r="F536" s="3383">
        <f t="shared" ref="F536:F578" ca="1" si="80">ROUND(C536*E536/10000,0)</f>
        <v>380</v>
      </c>
    </row>
    <row r="537" spans="1:6">
      <c r="A537" s="3376"/>
      <c r="B537" s="2951">
        <v>102</v>
      </c>
      <c r="C537" s="2952">
        <v>34.4</v>
      </c>
      <c r="D537" s="2951" t="s">
        <v>27</v>
      </c>
      <c r="E537" s="3384">
        <f ca="1">E536</f>
        <v>43657</v>
      </c>
      <c r="F537" s="3383">
        <f t="shared" ca="1" si="80"/>
        <v>150</v>
      </c>
    </row>
    <row r="538" spans="1:6">
      <c r="A538" s="3376"/>
      <c r="B538" s="2951">
        <v>103</v>
      </c>
      <c r="C538" s="2952">
        <v>34.4</v>
      </c>
      <c r="D538" s="2951" t="s">
        <v>27</v>
      </c>
      <c r="E538" s="3384">
        <f t="shared" ref="E538:E578" ca="1" si="81">E537</f>
        <v>43657</v>
      </c>
      <c r="F538" s="3383">
        <f t="shared" ca="1" si="80"/>
        <v>150</v>
      </c>
    </row>
    <row r="539" spans="1:6">
      <c r="A539" s="3376"/>
      <c r="B539" s="2951">
        <v>104</v>
      </c>
      <c r="C539" s="2952">
        <v>54.99</v>
      </c>
      <c r="D539" s="2951" t="s">
        <v>27</v>
      </c>
      <c r="E539" s="3384">
        <f t="shared" ca="1" si="81"/>
        <v>43657</v>
      </c>
      <c r="F539" s="3383">
        <f t="shared" ca="1" si="80"/>
        <v>240</v>
      </c>
    </row>
    <row r="540" spans="1:6">
      <c r="A540" s="3376"/>
      <c r="B540" s="2951">
        <v>105</v>
      </c>
      <c r="C540" s="2952">
        <v>54.99</v>
      </c>
      <c r="D540" s="2951" t="s">
        <v>27</v>
      </c>
      <c r="E540" s="3384">
        <f t="shared" ca="1" si="81"/>
        <v>43657</v>
      </c>
      <c r="F540" s="3383">
        <f t="shared" ca="1" si="80"/>
        <v>240</v>
      </c>
    </row>
    <row r="541" spans="1:6">
      <c r="A541" s="3376"/>
      <c r="B541" s="2951">
        <v>106</v>
      </c>
      <c r="C541" s="2952">
        <v>54.99</v>
      </c>
      <c r="D541" s="2951" t="s">
        <v>27</v>
      </c>
      <c r="E541" s="3384">
        <f t="shared" ca="1" si="81"/>
        <v>43657</v>
      </c>
      <c r="F541" s="3383">
        <f t="shared" ca="1" si="80"/>
        <v>240</v>
      </c>
    </row>
    <row r="542" spans="1:6">
      <c r="A542" s="3376"/>
      <c r="B542" s="2951">
        <v>107</v>
      </c>
      <c r="C542" s="2952">
        <v>34.4</v>
      </c>
      <c r="D542" s="2951" t="s">
        <v>27</v>
      </c>
      <c r="E542" s="3384">
        <f t="shared" ca="1" si="81"/>
        <v>43657</v>
      </c>
      <c r="F542" s="3383">
        <f t="shared" ca="1" si="80"/>
        <v>150</v>
      </c>
    </row>
    <row r="543" spans="1:6">
      <c r="A543" s="3376"/>
      <c r="B543" s="2951">
        <v>108</v>
      </c>
      <c r="C543" s="2952">
        <v>34.4</v>
      </c>
      <c r="D543" s="2951" t="s">
        <v>27</v>
      </c>
      <c r="E543" s="3384">
        <f t="shared" ca="1" si="81"/>
        <v>43657</v>
      </c>
      <c r="F543" s="3383">
        <f t="shared" ca="1" si="80"/>
        <v>150</v>
      </c>
    </row>
    <row r="544" spans="1:6">
      <c r="A544" s="3376"/>
      <c r="B544" s="2951">
        <v>109</v>
      </c>
      <c r="C544" s="2952">
        <v>87.02</v>
      </c>
      <c r="D544" s="2951" t="s">
        <v>27</v>
      </c>
      <c r="E544" s="3384">
        <f t="shared" ca="1" si="81"/>
        <v>43657</v>
      </c>
      <c r="F544" s="3383">
        <f t="shared" ca="1" si="80"/>
        <v>380</v>
      </c>
    </row>
    <row r="545" spans="1:6">
      <c r="A545" s="3376"/>
      <c r="B545" s="2951">
        <v>201</v>
      </c>
      <c r="C545" s="2952">
        <v>86.05</v>
      </c>
      <c r="D545" s="2951" t="s">
        <v>27</v>
      </c>
      <c r="E545" s="3384">
        <f t="shared" ca="1" si="81"/>
        <v>43657</v>
      </c>
      <c r="F545" s="3383">
        <f t="shared" ca="1" si="80"/>
        <v>376</v>
      </c>
    </row>
    <row r="546" spans="1:6">
      <c r="A546" s="3376"/>
      <c r="B546" s="2949">
        <v>203</v>
      </c>
      <c r="C546" s="2952">
        <v>33.950000000000003</v>
      </c>
      <c r="D546" s="2949" t="s">
        <v>27</v>
      </c>
      <c r="E546" s="3384">
        <f t="shared" ca="1" si="81"/>
        <v>43657</v>
      </c>
      <c r="F546" s="3383">
        <f t="shared" ca="1" si="80"/>
        <v>148</v>
      </c>
    </row>
    <row r="547" spans="1:6">
      <c r="A547" s="3376"/>
      <c r="B547" s="2951">
        <v>205</v>
      </c>
      <c r="C547" s="2952">
        <v>54.32</v>
      </c>
      <c r="D547" s="2951" t="s">
        <v>27</v>
      </c>
      <c r="E547" s="3384">
        <f t="shared" ca="1" si="81"/>
        <v>43657</v>
      </c>
      <c r="F547" s="3383">
        <f t="shared" ca="1" si="80"/>
        <v>237</v>
      </c>
    </row>
    <row r="548" spans="1:6">
      <c r="A548" s="3376"/>
      <c r="B548" s="2951">
        <v>206</v>
      </c>
      <c r="C548" s="2952">
        <v>54.32</v>
      </c>
      <c r="D548" s="2951" t="s">
        <v>27</v>
      </c>
      <c r="E548" s="3384">
        <f t="shared" ca="1" si="81"/>
        <v>43657</v>
      </c>
      <c r="F548" s="3383">
        <f t="shared" ca="1" si="80"/>
        <v>237</v>
      </c>
    </row>
    <row r="549" spans="1:6">
      <c r="A549" s="3376"/>
      <c r="B549" s="2951">
        <v>216</v>
      </c>
      <c r="C549" s="2953">
        <v>40.950000000000003</v>
      </c>
      <c r="D549" s="2951" t="s">
        <v>27</v>
      </c>
      <c r="E549" s="3384">
        <f t="shared" ca="1" si="81"/>
        <v>43657</v>
      </c>
      <c r="F549" s="3383">
        <f t="shared" ca="1" si="80"/>
        <v>179</v>
      </c>
    </row>
    <row r="550" spans="1:6">
      <c r="A550" s="3376"/>
      <c r="B550" s="2951">
        <v>313</v>
      </c>
      <c r="C550" s="2953">
        <v>53.94</v>
      </c>
      <c r="D550" s="2951" t="s">
        <v>27</v>
      </c>
      <c r="E550" s="3384">
        <f t="shared" ca="1" si="81"/>
        <v>43657</v>
      </c>
      <c r="F550" s="3383">
        <f t="shared" ca="1" si="80"/>
        <v>235</v>
      </c>
    </row>
    <row r="551" spans="1:6">
      <c r="A551" s="3376"/>
      <c r="B551" s="2951">
        <v>409</v>
      </c>
      <c r="C551" s="2953">
        <v>33.950000000000003</v>
      </c>
      <c r="D551" s="2951" t="s">
        <v>27</v>
      </c>
      <c r="E551" s="3384">
        <f t="shared" ca="1" si="81"/>
        <v>43657</v>
      </c>
      <c r="F551" s="3383">
        <f t="shared" ca="1" si="80"/>
        <v>148</v>
      </c>
    </row>
    <row r="552" spans="1:6">
      <c r="A552" s="3376"/>
      <c r="B552" s="2949">
        <v>412</v>
      </c>
      <c r="C552" s="2953">
        <v>54.48</v>
      </c>
      <c r="D552" s="2949" t="s">
        <v>27</v>
      </c>
      <c r="E552" s="3384">
        <f t="shared" ca="1" si="81"/>
        <v>43657</v>
      </c>
      <c r="F552" s="3383">
        <f t="shared" ca="1" si="80"/>
        <v>238</v>
      </c>
    </row>
    <row r="553" spans="1:6">
      <c r="A553" s="3376"/>
      <c r="B553" s="2951">
        <v>605</v>
      </c>
      <c r="C553" s="2953">
        <v>54.54</v>
      </c>
      <c r="D553" s="2951" t="s">
        <v>27</v>
      </c>
      <c r="E553" s="3384">
        <f t="shared" ca="1" si="81"/>
        <v>43657</v>
      </c>
      <c r="F553" s="3383">
        <f t="shared" ca="1" si="80"/>
        <v>238</v>
      </c>
    </row>
    <row r="554" spans="1:6">
      <c r="A554" s="3376"/>
      <c r="B554" s="2951">
        <v>606</v>
      </c>
      <c r="C554" s="2953">
        <v>54.54</v>
      </c>
      <c r="D554" s="2951" t="s">
        <v>27</v>
      </c>
      <c r="E554" s="3384">
        <f t="shared" ca="1" si="81"/>
        <v>43657</v>
      </c>
      <c r="F554" s="3383">
        <f t="shared" ca="1" si="80"/>
        <v>238</v>
      </c>
    </row>
    <row r="555" spans="1:6">
      <c r="A555" s="3376"/>
      <c r="B555" s="2951">
        <v>704</v>
      </c>
      <c r="C555" s="2953">
        <v>54.63</v>
      </c>
      <c r="D555" s="2951" t="s">
        <v>27</v>
      </c>
      <c r="E555" s="3384">
        <f t="shared" ca="1" si="81"/>
        <v>43657</v>
      </c>
      <c r="F555" s="3383">
        <f t="shared" ca="1" si="80"/>
        <v>238</v>
      </c>
    </row>
    <row r="556" spans="1:6">
      <c r="A556" s="3376"/>
      <c r="B556" s="2951">
        <v>805</v>
      </c>
      <c r="C556" s="2953">
        <v>54.54</v>
      </c>
      <c r="D556" s="2951" t="s">
        <v>27</v>
      </c>
      <c r="E556" s="3384">
        <f t="shared" ca="1" si="81"/>
        <v>43657</v>
      </c>
      <c r="F556" s="3383">
        <f t="shared" ca="1" si="80"/>
        <v>238</v>
      </c>
    </row>
    <row r="557" spans="1:6">
      <c r="A557" s="3376"/>
      <c r="B557" s="2951">
        <v>809</v>
      </c>
      <c r="C557" s="2953">
        <v>34.090000000000003</v>
      </c>
      <c r="D557" s="2951" t="s">
        <v>27</v>
      </c>
      <c r="E557" s="3384">
        <f t="shared" ca="1" si="81"/>
        <v>43657</v>
      </c>
      <c r="F557" s="3383">
        <f t="shared" ca="1" si="80"/>
        <v>149</v>
      </c>
    </row>
    <row r="558" spans="1:6">
      <c r="A558" s="3376"/>
      <c r="B558" s="2949">
        <v>818</v>
      </c>
      <c r="C558" s="2953">
        <v>20.58</v>
      </c>
      <c r="D558" s="2949" t="s">
        <v>27</v>
      </c>
      <c r="E558" s="3384">
        <f t="shared" ca="1" si="81"/>
        <v>43657</v>
      </c>
      <c r="F558" s="3383">
        <f t="shared" ca="1" si="80"/>
        <v>90</v>
      </c>
    </row>
    <row r="559" spans="1:6">
      <c r="A559" s="3376"/>
      <c r="B559" s="2951">
        <v>819</v>
      </c>
      <c r="C559" s="2953">
        <v>54.16</v>
      </c>
      <c r="D559" s="2951" t="s">
        <v>27</v>
      </c>
      <c r="E559" s="3384">
        <f t="shared" ca="1" si="81"/>
        <v>43657</v>
      </c>
      <c r="F559" s="3383">
        <f t="shared" ca="1" si="80"/>
        <v>236</v>
      </c>
    </row>
    <row r="560" spans="1:6">
      <c r="A560" s="3376"/>
      <c r="B560" s="2951">
        <v>910</v>
      </c>
      <c r="C560" s="2953">
        <v>34.090000000000003</v>
      </c>
      <c r="D560" s="2951" t="s">
        <v>27</v>
      </c>
      <c r="E560" s="3384">
        <f t="shared" ca="1" si="81"/>
        <v>43657</v>
      </c>
      <c r="F560" s="3383">
        <f t="shared" ca="1" si="80"/>
        <v>149</v>
      </c>
    </row>
    <row r="561" spans="1:6">
      <c r="A561" s="3376"/>
      <c r="B561" s="2951">
        <v>1002</v>
      </c>
      <c r="C561" s="2953">
        <v>34.090000000000003</v>
      </c>
      <c r="D561" s="2951" t="s">
        <v>27</v>
      </c>
      <c r="E561" s="3384">
        <f t="shared" ca="1" si="81"/>
        <v>43657</v>
      </c>
      <c r="F561" s="3383">
        <f t="shared" ca="1" si="80"/>
        <v>149</v>
      </c>
    </row>
    <row r="562" spans="1:6">
      <c r="A562" s="3376"/>
      <c r="B562" s="2951">
        <v>1007</v>
      </c>
      <c r="C562" s="2953">
        <v>54.54</v>
      </c>
      <c r="D562" s="2951" t="s">
        <v>27</v>
      </c>
      <c r="E562" s="3384">
        <f t="shared" ca="1" si="81"/>
        <v>43657</v>
      </c>
      <c r="F562" s="3383">
        <f t="shared" ca="1" si="80"/>
        <v>238</v>
      </c>
    </row>
    <row r="563" spans="1:6">
      <c r="A563" s="3376"/>
      <c r="B563" s="2951">
        <v>1008</v>
      </c>
      <c r="C563" s="2953">
        <v>54.63</v>
      </c>
      <c r="D563" s="2951" t="s">
        <v>27</v>
      </c>
      <c r="E563" s="3384">
        <f t="shared" ca="1" si="81"/>
        <v>43657</v>
      </c>
      <c r="F563" s="3383">
        <f t="shared" ca="1" si="80"/>
        <v>238</v>
      </c>
    </row>
    <row r="564" spans="1:6">
      <c r="A564" s="3376"/>
      <c r="B564" s="2951">
        <v>1011</v>
      </c>
      <c r="C564" s="2953">
        <v>86.7</v>
      </c>
      <c r="D564" s="2951" t="s">
        <v>27</v>
      </c>
      <c r="E564" s="3384">
        <f t="shared" ca="1" si="81"/>
        <v>43657</v>
      </c>
      <c r="F564" s="3383">
        <f t="shared" ca="1" si="80"/>
        <v>379</v>
      </c>
    </row>
    <row r="565" spans="1:6">
      <c r="A565" s="3376"/>
      <c r="B565" s="2951">
        <v>1107</v>
      </c>
      <c r="C565" s="2953">
        <v>54.54</v>
      </c>
      <c r="D565" s="2951" t="s">
        <v>27</v>
      </c>
      <c r="E565" s="3384">
        <f t="shared" ca="1" si="81"/>
        <v>43657</v>
      </c>
      <c r="F565" s="3383">
        <f t="shared" ca="1" si="80"/>
        <v>238</v>
      </c>
    </row>
    <row r="566" spans="1:6">
      <c r="A566" s="3376"/>
      <c r="B566" s="2951">
        <v>1111</v>
      </c>
      <c r="C566" s="2953">
        <v>86.7</v>
      </c>
      <c r="D566" s="2951" t="s">
        <v>27</v>
      </c>
      <c r="E566" s="3384">
        <f t="shared" ca="1" si="81"/>
        <v>43657</v>
      </c>
      <c r="F566" s="3383">
        <f t="shared" ca="1" si="80"/>
        <v>379</v>
      </c>
    </row>
    <row r="567" spans="1:6">
      <c r="A567" s="3376"/>
      <c r="B567" s="2951">
        <v>1403</v>
      </c>
      <c r="C567" s="2953">
        <v>34.090000000000003</v>
      </c>
      <c r="D567" s="2951" t="s">
        <v>27</v>
      </c>
      <c r="E567" s="3384">
        <f t="shared" ca="1" si="81"/>
        <v>43657</v>
      </c>
      <c r="F567" s="3383">
        <f t="shared" ca="1" si="80"/>
        <v>149</v>
      </c>
    </row>
    <row r="568" spans="1:6">
      <c r="A568" s="3376"/>
      <c r="B568" s="2951">
        <v>1505</v>
      </c>
      <c r="C568" s="2953">
        <v>54.54</v>
      </c>
      <c r="D568" s="2951" t="s">
        <v>27</v>
      </c>
      <c r="E568" s="3384">
        <f t="shared" ca="1" si="81"/>
        <v>43657</v>
      </c>
      <c r="F568" s="3383">
        <f t="shared" ca="1" si="80"/>
        <v>238</v>
      </c>
    </row>
    <row r="569" spans="1:6">
      <c r="A569" s="3376"/>
      <c r="B569" s="2949">
        <v>1508</v>
      </c>
      <c r="C569" s="2953">
        <v>54.63</v>
      </c>
      <c r="D569" s="2949" t="s">
        <v>27</v>
      </c>
      <c r="E569" s="3384">
        <f t="shared" ca="1" si="81"/>
        <v>43657</v>
      </c>
      <c r="F569" s="3383">
        <f t="shared" ca="1" si="80"/>
        <v>238</v>
      </c>
    </row>
    <row r="570" spans="1:6">
      <c r="A570" s="3376"/>
      <c r="B570" s="2949">
        <v>1509</v>
      </c>
      <c r="C570" s="2953">
        <v>34.090000000000003</v>
      </c>
      <c r="D570" s="2949" t="s">
        <v>27</v>
      </c>
      <c r="E570" s="3384">
        <f t="shared" ca="1" si="81"/>
        <v>43657</v>
      </c>
      <c r="F570" s="3383">
        <f t="shared" ca="1" si="80"/>
        <v>149</v>
      </c>
    </row>
    <row r="571" spans="1:6">
      <c r="A571" s="3376"/>
      <c r="B571" s="2951">
        <v>1514</v>
      </c>
      <c r="C571" s="2953">
        <v>20.58</v>
      </c>
      <c r="D571" s="2951" t="s">
        <v>27</v>
      </c>
      <c r="E571" s="3384">
        <f t="shared" ca="1" si="81"/>
        <v>43657</v>
      </c>
      <c r="F571" s="3383">
        <f t="shared" ca="1" si="80"/>
        <v>90</v>
      </c>
    </row>
    <row r="572" spans="1:6">
      <c r="A572" s="3376"/>
      <c r="B572" s="2951">
        <v>1805</v>
      </c>
      <c r="C572" s="2953">
        <v>54.54</v>
      </c>
      <c r="D572" s="2951" t="s">
        <v>27</v>
      </c>
      <c r="E572" s="3384">
        <f t="shared" ca="1" si="81"/>
        <v>43657</v>
      </c>
      <c r="F572" s="3383">
        <f t="shared" ca="1" si="80"/>
        <v>238</v>
      </c>
    </row>
    <row r="573" spans="1:6">
      <c r="A573" s="3376"/>
      <c r="B573" s="2951">
        <v>1905</v>
      </c>
      <c r="C573" s="2953">
        <v>54.54</v>
      </c>
      <c r="D573" s="2951" t="s">
        <v>27</v>
      </c>
      <c r="E573" s="3384">
        <f t="shared" ca="1" si="81"/>
        <v>43657</v>
      </c>
      <c r="F573" s="3383">
        <f t="shared" ca="1" si="80"/>
        <v>238</v>
      </c>
    </row>
    <row r="574" spans="1:6">
      <c r="A574" s="3376"/>
      <c r="B574" s="2951">
        <v>1907</v>
      </c>
      <c r="C574" s="2953">
        <v>54.54</v>
      </c>
      <c r="D574" s="2951" t="s">
        <v>27</v>
      </c>
      <c r="E574" s="3384">
        <f t="shared" ca="1" si="81"/>
        <v>43657</v>
      </c>
      <c r="F574" s="3383">
        <f t="shared" ca="1" si="80"/>
        <v>238</v>
      </c>
    </row>
    <row r="575" spans="1:6">
      <c r="A575" s="3376"/>
      <c r="B575" s="2951">
        <v>1912</v>
      </c>
      <c r="C575" s="2953">
        <v>55</v>
      </c>
      <c r="D575" s="2951" t="s">
        <v>27</v>
      </c>
      <c r="E575" s="3384">
        <f t="shared" ca="1" si="81"/>
        <v>43657</v>
      </c>
      <c r="F575" s="3383">
        <f t="shared" ca="1" si="80"/>
        <v>240</v>
      </c>
    </row>
    <row r="576" spans="1:6">
      <c r="A576" s="3376"/>
      <c r="B576" s="2951">
        <v>1913</v>
      </c>
      <c r="C576" s="2953">
        <v>54.16</v>
      </c>
      <c r="D576" s="2951" t="s">
        <v>27</v>
      </c>
      <c r="E576" s="3384">
        <f t="shared" ca="1" si="81"/>
        <v>43657</v>
      </c>
      <c r="F576" s="3383">
        <f t="shared" ca="1" si="80"/>
        <v>236</v>
      </c>
    </row>
    <row r="577" spans="1:6">
      <c r="A577" s="3376"/>
      <c r="B577" s="2951">
        <v>1919</v>
      </c>
      <c r="C577" s="2953">
        <v>54.16</v>
      </c>
      <c r="D577" s="2951" t="s">
        <v>27</v>
      </c>
      <c r="E577" s="3384">
        <f t="shared" ca="1" si="81"/>
        <v>43657</v>
      </c>
      <c r="F577" s="3383">
        <f t="shared" ca="1" si="80"/>
        <v>236</v>
      </c>
    </row>
    <row r="578" spans="1:6" s="3386" customFormat="1">
      <c r="A578" s="3377"/>
      <c r="B578" s="3387">
        <v>1920</v>
      </c>
      <c r="C578" s="3388">
        <v>55</v>
      </c>
      <c r="D578" s="3387" t="s">
        <v>27</v>
      </c>
      <c r="E578" s="3389">
        <f ca="1">ROUND(F578*10000/C578,0)</f>
        <v>46182</v>
      </c>
      <c r="F578" s="3389">
        <f ca="1">L35-L30</f>
        <v>254</v>
      </c>
    </row>
    <row r="579" spans="1:6">
      <c r="A579" s="3367" t="s">
        <v>40</v>
      </c>
      <c r="B579" s="3367"/>
      <c r="C579" s="2945">
        <f>SUM(C536:C578)</f>
        <v>2200.8099999999995</v>
      </c>
      <c r="D579" s="2942" t="s">
        <v>27</v>
      </c>
      <c r="E579" s="3384"/>
      <c r="F579" s="3383">
        <f ca="1">SUM(F536:F578)</f>
        <v>9619</v>
      </c>
    </row>
    <row r="580" spans="1:6">
      <c r="A580" s="2938" t="s">
        <v>3072</v>
      </c>
      <c r="B580" s="2938" t="s">
        <v>3073</v>
      </c>
      <c r="C580" s="2938" t="s">
        <v>3074</v>
      </c>
      <c r="D580" s="2938" t="s">
        <v>1375</v>
      </c>
      <c r="E580" s="3384"/>
      <c r="F580" s="3384"/>
    </row>
    <row r="581" spans="1:6">
      <c r="A581" s="3381" t="s">
        <v>3312</v>
      </c>
      <c r="B581" s="2954">
        <v>-115</v>
      </c>
      <c r="C581" s="2953">
        <v>103.89</v>
      </c>
      <c r="D581" s="2954" t="s">
        <v>1377</v>
      </c>
      <c r="E581" s="3384">
        <f ca="1">'结果表（商业）'!I118</f>
        <v>15313</v>
      </c>
      <c r="F581" s="3383">
        <f t="shared" ref="F581:F644" ca="1" si="82">ROUND(C581*E581/10000,0)</f>
        <v>159</v>
      </c>
    </row>
    <row r="582" spans="1:6">
      <c r="A582" s="3377"/>
      <c r="B582" s="2954">
        <v>-118</v>
      </c>
      <c r="C582" s="2953">
        <v>137.36000000000001</v>
      </c>
      <c r="D582" s="2954" t="s">
        <v>1377</v>
      </c>
      <c r="E582" s="3384">
        <f ca="1">E581</f>
        <v>15313</v>
      </c>
      <c r="F582" s="3383">
        <f t="shared" ca="1" si="82"/>
        <v>210</v>
      </c>
    </row>
    <row r="583" spans="1:6">
      <c r="A583" s="3368" t="s">
        <v>40</v>
      </c>
      <c r="B583" s="3368"/>
      <c r="C583" s="2955">
        <f>SUM(C581:C582)</f>
        <v>241.25</v>
      </c>
      <c r="D583" s="2955" t="s">
        <v>1377</v>
      </c>
      <c r="E583" s="3384"/>
      <c r="F583" s="3384">
        <f ca="1">F581+F582</f>
        <v>369</v>
      </c>
    </row>
    <row r="584" spans="1:6">
      <c r="A584" s="3369" t="s">
        <v>3313</v>
      </c>
      <c r="B584" s="2956" t="s">
        <v>3079</v>
      </c>
      <c r="C584" s="2953">
        <v>19.579999999999998</v>
      </c>
      <c r="D584" s="2957" t="s">
        <v>48</v>
      </c>
      <c r="E584" s="3384">
        <f ca="1">'结果表（地下车库）'!I118</f>
        <v>8401</v>
      </c>
      <c r="F584" s="3383">
        <f t="shared" ca="1" si="82"/>
        <v>16</v>
      </c>
    </row>
    <row r="585" spans="1:6">
      <c r="A585" s="3369"/>
      <c r="B585" s="2956" t="s">
        <v>3080</v>
      </c>
      <c r="C585" s="2953">
        <v>19.579999999999998</v>
      </c>
      <c r="D585" s="2957" t="s">
        <v>48</v>
      </c>
      <c r="E585" s="3384">
        <f ca="1">E584</f>
        <v>8401</v>
      </c>
      <c r="F585" s="3383">
        <f t="shared" ca="1" si="82"/>
        <v>16</v>
      </c>
    </row>
    <row r="586" spans="1:6">
      <c r="A586" s="3369"/>
      <c r="B586" s="2956" t="s">
        <v>3081</v>
      </c>
      <c r="C586" s="2953">
        <v>19.579999999999998</v>
      </c>
      <c r="D586" s="2957" t="s">
        <v>48</v>
      </c>
      <c r="E586" s="3384">
        <f t="shared" ref="E586:E649" ca="1" si="83">E585</f>
        <v>8401</v>
      </c>
      <c r="F586" s="3383">
        <f t="shared" ca="1" si="82"/>
        <v>16</v>
      </c>
    </row>
    <row r="587" spans="1:6">
      <c r="A587" s="3369"/>
      <c r="B587" s="2956" t="s">
        <v>3085</v>
      </c>
      <c r="C587" s="2953">
        <v>17.89</v>
      </c>
      <c r="D587" s="2957" t="s">
        <v>48</v>
      </c>
      <c r="E587" s="3384">
        <f t="shared" ca="1" si="83"/>
        <v>8401</v>
      </c>
      <c r="F587" s="3383">
        <f t="shared" ca="1" si="82"/>
        <v>15</v>
      </c>
    </row>
    <row r="588" spans="1:6">
      <c r="A588" s="3369"/>
      <c r="B588" s="2956" t="s">
        <v>3086</v>
      </c>
      <c r="C588" s="2953">
        <v>17.89</v>
      </c>
      <c r="D588" s="2957" t="s">
        <v>48</v>
      </c>
      <c r="E588" s="3384">
        <f t="shared" ca="1" si="83"/>
        <v>8401</v>
      </c>
      <c r="F588" s="3383">
        <f t="shared" ca="1" si="82"/>
        <v>15</v>
      </c>
    </row>
    <row r="589" spans="1:6">
      <c r="A589" s="3369"/>
      <c r="B589" s="2956" t="s">
        <v>3087</v>
      </c>
      <c r="C589" s="2953">
        <v>17.89</v>
      </c>
      <c r="D589" s="2957" t="s">
        <v>48</v>
      </c>
      <c r="E589" s="3384">
        <f t="shared" ca="1" si="83"/>
        <v>8401</v>
      </c>
      <c r="F589" s="3383">
        <f t="shared" ca="1" si="82"/>
        <v>15</v>
      </c>
    </row>
    <row r="590" spans="1:6">
      <c r="A590" s="3369"/>
      <c r="B590" s="2956" t="s">
        <v>3088</v>
      </c>
      <c r="C590" s="2953">
        <v>17.89</v>
      </c>
      <c r="D590" s="2957" t="s">
        <v>48</v>
      </c>
      <c r="E590" s="3384">
        <f t="shared" ca="1" si="83"/>
        <v>8401</v>
      </c>
      <c r="F590" s="3383">
        <f t="shared" ca="1" si="82"/>
        <v>15</v>
      </c>
    </row>
    <row r="591" spans="1:6">
      <c r="A591" s="3369"/>
      <c r="B591" s="2956" t="s">
        <v>3089</v>
      </c>
      <c r="C591" s="2958">
        <v>17.89</v>
      </c>
      <c r="D591" s="2957" t="s">
        <v>48</v>
      </c>
      <c r="E591" s="3384">
        <f t="shared" ca="1" si="83"/>
        <v>8401</v>
      </c>
      <c r="F591" s="3383">
        <f t="shared" ca="1" si="82"/>
        <v>15</v>
      </c>
    </row>
    <row r="592" spans="1:6">
      <c r="A592" s="3369"/>
      <c r="B592" s="2956" t="s">
        <v>3090</v>
      </c>
      <c r="C592" s="2958">
        <v>17.89</v>
      </c>
      <c r="D592" s="2957" t="s">
        <v>48</v>
      </c>
      <c r="E592" s="3384">
        <f t="shared" ca="1" si="83"/>
        <v>8401</v>
      </c>
      <c r="F592" s="3383">
        <f t="shared" ca="1" si="82"/>
        <v>15</v>
      </c>
    </row>
    <row r="593" spans="1:6">
      <c r="A593" s="3369"/>
      <c r="B593" s="2956" t="s">
        <v>3091</v>
      </c>
      <c r="C593" s="2958">
        <v>17.89</v>
      </c>
      <c r="D593" s="2957" t="s">
        <v>48</v>
      </c>
      <c r="E593" s="3384">
        <f t="shared" ca="1" si="83"/>
        <v>8401</v>
      </c>
      <c r="F593" s="3383">
        <f t="shared" ca="1" si="82"/>
        <v>15</v>
      </c>
    </row>
    <row r="594" spans="1:6">
      <c r="A594" s="3369"/>
      <c r="B594" s="2956" t="s">
        <v>3092</v>
      </c>
      <c r="C594" s="2958">
        <v>17.89</v>
      </c>
      <c r="D594" s="2957" t="s">
        <v>48</v>
      </c>
      <c r="E594" s="3384">
        <f t="shared" ca="1" si="83"/>
        <v>8401</v>
      </c>
      <c r="F594" s="3383">
        <f t="shared" ca="1" si="82"/>
        <v>15</v>
      </c>
    </row>
    <row r="595" spans="1:6">
      <c r="A595" s="3369"/>
      <c r="B595" s="2956" t="s">
        <v>3093</v>
      </c>
      <c r="C595" s="2958">
        <v>17.89</v>
      </c>
      <c r="D595" s="2957" t="s">
        <v>48</v>
      </c>
      <c r="E595" s="3384">
        <f t="shared" ca="1" si="83"/>
        <v>8401</v>
      </c>
      <c r="F595" s="3383">
        <f t="shared" ca="1" si="82"/>
        <v>15</v>
      </c>
    </row>
    <row r="596" spans="1:6">
      <c r="A596" s="3369"/>
      <c r="B596" s="2956" t="s">
        <v>3094</v>
      </c>
      <c r="C596" s="2958">
        <v>17.89</v>
      </c>
      <c r="D596" s="2957" t="s">
        <v>48</v>
      </c>
      <c r="E596" s="3384">
        <f t="shared" ca="1" si="83"/>
        <v>8401</v>
      </c>
      <c r="F596" s="3383">
        <f t="shared" ca="1" si="82"/>
        <v>15</v>
      </c>
    </row>
    <row r="597" spans="1:6">
      <c r="A597" s="3369"/>
      <c r="B597" s="2956" t="s">
        <v>3095</v>
      </c>
      <c r="C597" s="2958">
        <v>17.89</v>
      </c>
      <c r="D597" s="2957" t="s">
        <v>48</v>
      </c>
      <c r="E597" s="3384">
        <f t="shared" ca="1" si="83"/>
        <v>8401</v>
      </c>
      <c r="F597" s="3383">
        <f t="shared" ca="1" si="82"/>
        <v>15</v>
      </c>
    </row>
    <row r="598" spans="1:6">
      <c r="A598" s="3369"/>
      <c r="B598" s="2956" t="s">
        <v>3096</v>
      </c>
      <c r="C598" s="2958">
        <v>17.89</v>
      </c>
      <c r="D598" s="2957" t="s">
        <v>48</v>
      </c>
      <c r="E598" s="3384">
        <f t="shared" ca="1" si="83"/>
        <v>8401</v>
      </c>
      <c r="F598" s="3383">
        <f t="shared" ca="1" si="82"/>
        <v>15</v>
      </c>
    </row>
    <row r="599" spans="1:6">
      <c r="A599" s="3369"/>
      <c r="B599" s="2956" t="s">
        <v>3097</v>
      </c>
      <c r="C599" s="2958">
        <v>17.89</v>
      </c>
      <c r="D599" s="2957" t="s">
        <v>48</v>
      </c>
      <c r="E599" s="3384">
        <f t="shared" ca="1" si="83"/>
        <v>8401</v>
      </c>
      <c r="F599" s="3383">
        <f t="shared" ca="1" si="82"/>
        <v>15</v>
      </c>
    </row>
    <row r="600" spans="1:6">
      <c r="A600" s="3369"/>
      <c r="B600" s="2956" t="s">
        <v>3098</v>
      </c>
      <c r="C600" s="2958">
        <v>17.89</v>
      </c>
      <c r="D600" s="2957" t="s">
        <v>48</v>
      </c>
      <c r="E600" s="3384">
        <f t="shared" ca="1" si="83"/>
        <v>8401</v>
      </c>
      <c r="F600" s="3383">
        <f t="shared" ca="1" si="82"/>
        <v>15</v>
      </c>
    </row>
    <row r="601" spans="1:6">
      <c r="A601" s="3369"/>
      <c r="B601" s="2956" t="s">
        <v>3099</v>
      </c>
      <c r="C601" s="2941">
        <v>17.89</v>
      </c>
      <c r="D601" s="2957" t="s">
        <v>48</v>
      </c>
      <c r="E601" s="3384">
        <f t="shared" ca="1" si="83"/>
        <v>8401</v>
      </c>
      <c r="F601" s="3383">
        <f t="shared" ca="1" si="82"/>
        <v>15</v>
      </c>
    </row>
    <row r="602" spans="1:6">
      <c r="A602" s="3369"/>
      <c r="B602" s="2956" t="s">
        <v>3100</v>
      </c>
      <c r="C602" s="2941">
        <v>17.89</v>
      </c>
      <c r="D602" s="2957" t="s">
        <v>48</v>
      </c>
      <c r="E602" s="3384">
        <f t="shared" ca="1" si="83"/>
        <v>8401</v>
      </c>
      <c r="F602" s="3383">
        <f t="shared" ca="1" si="82"/>
        <v>15</v>
      </c>
    </row>
    <row r="603" spans="1:6">
      <c r="A603" s="3369"/>
      <c r="B603" s="2956" t="s">
        <v>3101</v>
      </c>
      <c r="C603" s="2941">
        <v>17.89</v>
      </c>
      <c r="D603" s="2957" t="s">
        <v>48</v>
      </c>
      <c r="E603" s="3384">
        <f t="shared" ca="1" si="83"/>
        <v>8401</v>
      </c>
      <c r="F603" s="3383">
        <f t="shared" ca="1" si="82"/>
        <v>15</v>
      </c>
    </row>
    <row r="604" spans="1:6">
      <c r="A604" s="3369"/>
      <c r="B604" s="2956" t="s">
        <v>3102</v>
      </c>
      <c r="C604" s="2941">
        <v>17.89</v>
      </c>
      <c r="D604" s="2957" t="s">
        <v>48</v>
      </c>
      <c r="E604" s="3384">
        <f t="shared" ca="1" si="83"/>
        <v>8401</v>
      </c>
      <c r="F604" s="3383">
        <f t="shared" ca="1" si="82"/>
        <v>15</v>
      </c>
    </row>
    <row r="605" spans="1:6">
      <c r="A605" s="3369"/>
      <c r="B605" s="2956" t="s">
        <v>3103</v>
      </c>
      <c r="C605" s="2941">
        <v>17.89</v>
      </c>
      <c r="D605" s="2957" t="s">
        <v>48</v>
      </c>
      <c r="E605" s="3384">
        <f t="shared" ca="1" si="83"/>
        <v>8401</v>
      </c>
      <c r="F605" s="3383">
        <f t="shared" ca="1" si="82"/>
        <v>15</v>
      </c>
    </row>
    <row r="606" spans="1:6">
      <c r="A606" s="3369"/>
      <c r="B606" s="2956" t="s">
        <v>3104</v>
      </c>
      <c r="C606" s="2941">
        <v>17.89</v>
      </c>
      <c r="D606" s="2957" t="s">
        <v>48</v>
      </c>
      <c r="E606" s="3384">
        <f t="shared" ca="1" si="83"/>
        <v>8401</v>
      </c>
      <c r="F606" s="3383">
        <f t="shared" ca="1" si="82"/>
        <v>15</v>
      </c>
    </row>
    <row r="607" spans="1:6">
      <c r="A607" s="3369"/>
      <c r="B607" s="2956" t="s">
        <v>3105</v>
      </c>
      <c r="C607" s="2941">
        <v>17.89</v>
      </c>
      <c r="D607" s="2957" t="s">
        <v>48</v>
      </c>
      <c r="E607" s="3384">
        <f t="shared" ca="1" si="83"/>
        <v>8401</v>
      </c>
      <c r="F607" s="3383">
        <f t="shared" ca="1" si="82"/>
        <v>15</v>
      </c>
    </row>
    <row r="608" spans="1:6">
      <c r="A608" s="3369"/>
      <c r="B608" s="2956" t="s">
        <v>3106</v>
      </c>
      <c r="C608" s="2941">
        <v>17.89</v>
      </c>
      <c r="D608" s="2957" t="s">
        <v>48</v>
      </c>
      <c r="E608" s="3384">
        <f t="shared" ca="1" si="83"/>
        <v>8401</v>
      </c>
      <c r="F608" s="3383">
        <f t="shared" ca="1" si="82"/>
        <v>15</v>
      </c>
    </row>
    <row r="609" spans="1:6">
      <c r="A609" s="3369"/>
      <c r="B609" s="2956" t="s">
        <v>3107</v>
      </c>
      <c r="C609" s="2941">
        <v>17.89</v>
      </c>
      <c r="D609" s="2957" t="s">
        <v>48</v>
      </c>
      <c r="E609" s="3384">
        <f t="shared" ca="1" si="83"/>
        <v>8401</v>
      </c>
      <c r="F609" s="3383">
        <f t="shared" ca="1" si="82"/>
        <v>15</v>
      </c>
    </row>
    <row r="610" spans="1:6">
      <c r="A610" s="3369"/>
      <c r="B610" s="2956" t="s">
        <v>3108</v>
      </c>
      <c r="C610" s="2941">
        <v>17.89</v>
      </c>
      <c r="D610" s="2957" t="s">
        <v>48</v>
      </c>
      <c r="E610" s="3384">
        <f t="shared" ca="1" si="83"/>
        <v>8401</v>
      </c>
      <c r="F610" s="3383">
        <f t="shared" ca="1" si="82"/>
        <v>15</v>
      </c>
    </row>
    <row r="611" spans="1:6">
      <c r="A611" s="3369"/>
      <c r="B611" s="2956" t="s">
        <v>3109</v>
      </c>
      <c r="C611" s="2941">
        <v>17.89</v>
      </c>
      <c r="D611" s="2957" t="s">
        <v>48</v>
      </c>
      <c r="E611" s="3384">
        <f t="shared" ca="1" si="83"/>
        <v>8401</v>
      </c>
      <c r="F611" s="3383">
        <f t="shared" ca="1" si="82"/>
        <v>15</v>
      </c>
    </row>
    <row r="612" spans="1:6">
      <c r="A612" s="3369"/>
      <c r="B612" s="2956" t="s">
        <v>3110</v>
      </c>
      <c r="C612" s="2941">
        <v>17.89</v>
      </c>
      <c r="D612" s="2957" t="s">
        <v>48</v>
      </c>
      <c r="E612" s="3384">
        <f t="shared" ca="1" si="83"/>
        <v>8401</v>
      </c>
      <c r="F612" s="3383">
        <f t="shared" ca="1" si="82"/>
        <v>15</v>
      </c>
    </row>
    <row r="613" spans="1:6">
      <c r="A613" s="3369"/>
      <c r="B613" s="2956" t="s">
        <v>3111</v>
      </c>
      <c r="C613" s="2941">
        <v>13.93</v>
      </c>
      <c r="D613" s="2957" t="s">
        <v>48</v>
      </c>
      <c r="E613" s="3384">
        <f t="shared" ca="1" si="83"/>
        <v>8401</v>
      </c>
      <c r="F613" s="3383">
        <f t="shared" ca="1" si="82"/>
        <v>12</v>
      </c>
    </row>
    <row r="614" spans="1:6">
      <c r="A614" s="3369"/>
      <c r="B614" s="2956" t="s">
        <v>3112</v>
      </c>
      <c r="C614" s="2941">
        <v>13.93</v>
      </c>
      <c r="D614" s="2957" t="s">
        <v>48</v>
      </c>
      <c r="E614" s="3384">
        <f t="shared" ca="1" si="83"/>
        <v>8401</v>
      </c>
      <c r="F614" s="3383">
        <f t="shared" ca="1" si="82"/>
        <v>12</v>
      </c>
    </row>
    <row r="615" spans="1:6">
      <c r="A615" s="3369"/>
      <c r="B615" s="2956" t="s">
        <v>3113</v>
      </c>
      <c r="C615" s="2941">
        <v>17.89</v>
      </c>
      <c r="D615" s="2957" t="s">
        <v>48</v>
      </c>
      <c r="E615" s="3384">
        <f t="shared" ca="1" si="83"/>
        <v>8401</v>
      </c>
      <c r="F615" s="3383">
        <f t="shared" ca="1" si="82"/>
        <v>15</v>
      </c>
    </row>
    <row r="616" spans="1:6">
      <c r="A616" s="3369"/>
      <c r="B616" s="2956" t="s">
        <v>3114</v>
      </c>
      <c r="C616" s="2941">
        <v>17.89</v>
      </c>
      <c r="D616" s="2957" t="s">
        <v>48</v>
      </c>
      <c r="E616" s="3384">
        <f t="shared" ca="1" si="83"/>
        <v>8401</v>
      </c>
      <c r="F616" s="3383">
        <f t="shared" ca="1" si="82"/>
        <v>15</v>
      </c>
    </row>
    <row r="617" spans="1:6">
      <c r="A617" s="3369"/>
      <c r="B617" s="2956" t="s">
        <v>3115</v>
      </c>
      <c r="C617" s="2941">
        <v>17.89</v>
      </c>
      <c r="D617" s="2957" t="s">
        <v>48</v>
      </c>
      <c r="E617" s="3384">
        <f t="shared" ca="1" si="83"/>
        <v>8401</v>
      </c>
      <c r="F617" s="3383">
        <f t="shared" ca="1" si="82"/>
        <v>15</v>
      </c>
    </row>
    <row r="618" spans="1:6">
      <c r="A618" s="3369"/>
      <c r="B618" s="2956" t="s">
        <v>3116</v>
      </c>
      <c r="C618" s="2941">
        <v>17.89</v>
      </c>
      <c r="D618" s="2957" t="s">
        <v>48</v>
      </c>
      <c r="E618" s="3384">
        <f t="shared" ca="1" si="83"/>
        <v>8401</v>
      </c>
      <c r="F618" s="3383">
        <f t="shared" ca="1" si="82"/>
        <v>15</v>
      </c>
    </row>
    <row r="619" spans="1:6">
      <c r="A619" s="3369"/>
      <c r="B619" s="2956" t="s">
        <v>3117</v>
      </c>
      <c r="C619" s="2941">
        <v>17.89</v>
      </c>
      <c r="D619" s="2957" t="s">
        <v>48</v>
      </c>
      <c r="E619" s="3384">
        <f t="shared" ca="1" si="83"/>
        <v>8401</v>
      </c>
      <c r="F619" s="3383">
        <f t="shared" ca="1" si="82"/>
        <v>15</v>
      </c>
    </row>
    <row r="620" spans="1:6">
      <c r="A620" s="3369"/>
      <c r="B620" s="2956" t="s">
        <v>3118</v>
      </c>
      <c r="C620" s="2941">
        <v>17.89</v>
      </c>
      <c r="D620" s="2957" t="s">
        <v>48</v>
      </c>
      <c r="E620" s="3384">
        <f t="shared" ca="1" si="83"/>
        <v>8401</v>
      </c>
      <c r="F620" s="3383">
        <f t="shared" ca="1" si="82"/>
        <v>15</v>
      </c>
    </row>
    <row r="621" spans="1:6">
      <c r="A621" s="3369"/>
      <c r="B621" s="2956" t="s">
        <v>3119</v>
      </c>
      <c r="C621" s="2941">
        <v>17.89</v>
      </c>
      <c r="D621" s="2957" t="s">
        <v>48</v>
      </c>
      <c r="E621" s="3384">
        <f t="shared" ca="1" si="83"/>
        <v>8401</v>
      </c>
      <c r="F621" s="3383">
        <f t="shared" ca="1" si="82"/>
        <v>15</v>
      </c>
    </row>
    <row r="622" spans="1:6">
      <c r="A622" s="3369"/>
      <c r="B622" s="2956" t="s">
        <v>3120</v>
      </c>
      <c r="C622" s="2941">
        <v>17.89</v>
      </c>
      <c r="D622" s="2957" t="s">
        <v>48</v>
      </c>
      <c r="E622" s="3384">
        <f t="shared" ca="1" si="83"/>
        <v>8401</v>
      </c>
      <c r="F622" s="3383">
        <f t="shared" ca="1" si="82"/>
        <v>15</v>
      </c>
    </row>
    <row r="623" spans="1:6">
      <c r="A623" s="3369"/>
      <c r="B623" s="2956" t="s">
        <v>3121</v>
      </c>
      <c r="C623" s="2941">
        <v>17.89</v>
      </c>
      <c r="D623" s="2957" t="s">
        <v>48</v>
      </c>
      <c r="E623" s="3384">
        <f t="shared" ca="1" si="83"/>
        <v>8401</v>
      </c>
      <c r="F623" s="3383">
        <f t="shared" ca="1" si="82"/>
        <v>15</v>
      </c>
    </row>
    <row r="624" spans="1:6">
      <c r="A624" s="3369"/>
      <c r="B624" s="2956" t="s">
        <v>3122</v>
      </c>
      <c r="C624" s="2941">
        <v>17.89</v>
      </c>
      <c r="D624" s="2957" t="s">
        <v>48</v>
      </c>
      <c r="E624" s="3384">
        <f t="shared" ca="1" si="83"/>
        <v>8401</v>
      </c>
      <c r="F624" s="3383">
        <f t="shared" ca="1" si="82"/>
        <v>15</v>
      </c>
    </row>
    <row r="625" spans="1:6">
      <c r="A625" s="3369"/>
      <c r="B625" s="2956" t="s">
        <v>3123</v>
      </c>
      <c r="C625" s="2941">
        <v>17.89</v>
      </c>
      <c r="D625" s="2957" t="s">
        <v>48</v>
      </c>
      <c r="E625" s="3384">
        <f t="shared" ca="1" si="83"/>
        <v>8401</v>
      </c>
      <c r="F625" s="3383">
        <f t="shared" ca="1" si="82"/>
        <v>15</v>
      </c>
    </row>
    <row r="626" spans="1:6">
      <c r="A626" s="3369"/>
      <c r="B626" s="2956" t="s">
        <v>3124</v>
      </c>
      <c r="C626" s="2941">
        <v>17.89</v>
      </c>
      <c r="D626" s="2957" t="s">
        <v>48</v>
      </c>
      <c r="E626" s="3384">
        <f t="shared" ca="1" si="83"/>
        <v>8401</v>
      </c>
      <c r="F626" s="3383">
        <f t="shared" ca="1" si="82"/>
        <v>15</v>
      </c>
    </row>
    <row r="627" spans="1:6">
      <c r="A627" s="3369"/>
      <c r="B627" s="2956" t="s">
        <v>3125</v>
      </c>
      <c r="C627" s="2941">
        <v>17.89</v>
      </c>
      <c r="D627" s="2957" t="s">
        <v>48</v>
      </c>
      <c r="E627" s="3384">
        <f t="shared" ca="1" si="83"/>
        <v>8401</v>
      </c>
      <c r="F627" s="3383">
        <f t="shared" ca="1" si="82"/>
        <v>15</v>
      </c>
    </row>
    <row r="628" spans="1:6">
      <c r="A628" s="3369"/>
      <c r="B628" s="2956" t="s">
        <v>3126</v>
      </c>
      <c r="C628" s="2941">
        <v>17.89</v>
      </c>
      <c r="D628" s="2957" t="s">
        <v>48</v>
      </c>
      <c r="E628" s="3384">
        <f t="shared" ca="1" si="83"/>
        <v>8401</v>
      </c>
      <c r="F628" s="3383">
        <f t="shared" ca="1" si="82"/>
        <v>15</v>
      </c>
    </row>
    <row r="629" spans="1:6">
      <c r="A629" s="3369"/>
      <c r="B629" s="2956" t="s">
        <v>3127</v>
      </c>
      <c r="C629" s="2941">
        <v>17.89</v>
      </c>
      <c r="D629" s="2957" t="s">
        <v>48</v>
      </c>
      <c r="E629" s="3384">
        <f t="shared" ca="1" si="83"/>
        <v>8401</v>
      </c>
      <c r="F629" s="3383">
        <f t="shared" ca="1" si="82"/>
        <v>15</v>
      </c>
    </row>
    <row r="630" spans="1:6">
      <c r="A630" s="3369"/>
      <c r="B630" s="2956" t="s">
        <v>3128</v>
      </c>
      <c r="C630" s="2941">
        <v>17.89</v>
      </c>
      <c r="D630" s="2957" t="s">
        <v>48</v>
      </c>
      <c r="E630" s="3384">
        <f t="shared" ca="1" si="83"/>
        <v>8401</v>
      </c>
      <c r="F630" s="3383">
        <f t="shared" ca="1" si="82"/>
        <v>15</v>
      </c>
    </row>
    <row r="631" spans="1:6">
      <c r="A631" s="3369"/>
      <c r="B631" s="2956" t="s">
        <v>3129</v>
      </c>
      <c r="C631" s="2941">
        <v>17.89</v>
      </c>
      <c r="D631" s="2957" t="s">
        <v>48</v>
      </c>
      <c r="E631" s="3384">
        <f t="shared" ca="1" si="83"/>
        <v>8401</v>
      </c>
      <c r="F631" s="3383">
        <f t="shared" ca="1" si="82"/>
        <v>15</v>
      </c>
    </row>
    <row r="632" spans="1:6">
      <c r="A632" s="3369"/>
      <c r="B632" s="2956" t="s">
        <v>3130</v>
      </c>
      <c r="C632" s="2941">
        <v>17.89</v>
      </c>
      <c r="D632" s="2957" t="s">
        <v>48</v>
      </c>
      <c r="E632" s="3384">
        <f t="shared" ca="1" si="83"/>
        <v>8401</v>
      </c>
      <c r="F632" s="3383">
        <f t="shared" ca="1" si="82"/>
        <v>15</v>
      </c>
    </row>
    <row r="633" spans="1:6">
      <c r="A633" s="3369"/>
      <c r="B633" s="2956" t="s">
        <v>3131</v>
      </c>
      <c r="C633" s="2941">
        <v>17.89</v>
      </c>
      <c r="D633" s="2957" t="s">
        <v>48</v>
      </c>
      <c r="E633" s="3384">
        <f t="shared" ca="1" si="83"/>
        <v>8401</v>
      </c>
      <c r="F633" s="3383">
        <f t="shared" ca="1" si="82"/>
        <v>15</v>
      </c>
    </row>
    <row r="634" spans="1:6">
      <c r="A634" s="3369"/>
      <c r="B634" s="2956" t="s">
        <v>3132</v>
      </c>
      <c r="C634" s="2941">
        <v>17.89</v>
      </c>
      <c r="D634" s="2957" t="s">
        <v>48</v>
      </c>
      <c r="E634" s="3384">
        <f t="shared" ca="1" si="83"/>
        <v>8401</v>
      </c>
      <c r="F634" s="3383">
        <f t="shared" ca="1" si="82"/>
        <v>15</v>
      </c>
    </row>
    <row r="635" spans="1:6">
      <c r="A635" s="3369"/>
      <c r="B635" s="2956" t="s">
        <v>3133</v>
      </c>
      <c r="C635" s="2941">
        <v>17.89</v>
      </c>
      <c r="D635" s="2957" t="s">
        <v>48</v>
      </c>
      <c r="E635" s="3384">
        <f t="shared" ca="1" si="83"/>
        <v>8401</v>
      </c>
      <c r="F635" s="3383">
        <f t="shared" ca="1" si="82"/>
        <v>15</v>
      </c>
    </row>
    <row r="636" spans="1:6">
      <c r="A636" s="3369"/>
      <c r="B636" s="2956" t="s">
        <v>3134</v>
      </c>
      <c r="C636" s="2941">
        <v>17.89</v>
      </c>
      <c r="D636" s="2957" t="s">
        <v>48</v>
      </c>
      <c r="E636" s="3384">
        <f t="shared" ca="1" si="83"/>
        <v>8401</v>
      </c>
      <c r="F636" s="3383">
        <f t="shared" ca="1" si="82"/>
        <v>15</v>
      </c>
    </row>
    <row r="637" spans="1:6">
      <c r="A637" s="3369"/>
      <c r="B637" s="2956" t="s">
        <v>3135</v>
      </c>
      <c r="C637" s="2941">
        <v>17.89</v>
      </c>
      <c r="D637" s="2957" t="s">
        <v>48</v>
      </c>
      <c r="E637" s="3384">
        <f t="shared" ca="1" si="83"/>
        <v>8401</v>
      </c>
      <c r="F637" s="3383">
        <f t="shared" ca="1" si="82"/>
        <v>15</v>
      </c>
    </row>
    <row r="638" spans="1:6">
      <c r="A638" s="3369"/>
      <c r="B638" s="2956" t="s">
        <v>3136</v>
      </c>
      <c r="C638" s="2941">
        <v>17.89</v>
      </c>
      <c r="D638" s="2957" t="s">
        <v>48</v>
      </c>
      <c r="E638" s="3384">
        <f t="shared" ca="1" si="83"/>
        <v>8401</v>
      </c>
      <c r="F638" s="3383">
        <f t="shared" ca="1" si="82"/>
        <v>15</v>
      </c>
    </row>
    <row r="639" spans="1:6">
      <c r="A639" s="3369"/>
      <c r="B639" s="2956" t="s">
        <v>3137</v>
      </c>
      <c r="C639" s="2941">
        <v>17.89</v>
      </c>
      <c r="D639" s="2957" t="s">
        <v>48</v>
      </c>
      <c r="E639" s="3384">
        <f t="shared" ca="1" si="83"/>
        <v>8401</v>
      </c>
      <c r="F639" s="3383">
        <f t="shared" ca="1" si="82"/>
        <v>15</v>
      </c>
    </row>
    <row r="640" spans="1:6">
      <c r="A640" s="3369"/>
      <c r="B640" s="2956" t="s">
        <v>3138</v>
      </c>
      <c r="C640" s="2941">
        <v>17.89</v>
      </c>
      <c r="D640" s="2957" t="s">
        <v>48</v>
      </c>
      <c r="E640" s="3384">
        <f t="shared" ca="1" si="83"/>
        <v>8401</v>
      </c>
      <c r="F640" s="3383">
        <f t="shared" ca="1" si="82"/>
        <v>15</v>
      </c>
    </row>
    <row r="641" spans="1:6">
      <c r="A641" s="3369"/>
      <c r="B641" s="2956" t="s">
        <v>3139</v>
      </c>
      <c r="C641" s="2941">
        <v>17.89</v>
      </c>
      <c r="D641" s="2957" t="s">
        <v>48</v>
      </c>
      <c r="E641" s="3384">
        <f t="shared" ca="1" si="83"/>
        <v>8401</v>
      </c>
      <c r="F641" s="3383">
        <f t="shared" ca="1" si="82"/>
        <v>15</v>
      </c>
    </row>
    <row r="642" spans="1:6">
      <c r="A642" s="3369"/>
      <c r="B642" s="2956" t="s">
        <v>3140</v>
      </c>
      <c r="C642" s="2941">
        <v>17.89</v>
      </c>
      <c r="D642" s="2957" t="s">
        <v>48</v>
      </c>
      <c r="E642" s="3384">
        <f t="shared" ca="1" si="83"/>
        <v>8401</v>
      </c>
      <c r="F642" s="3383">
        <f t="shared" ca="1" si="82"/>
        <v>15</v>
      </c>
    </row>
    <row r="643" spans="1:6">
      <c r="A643" s="3369"/>
      <c r="B643" s="2956" t="s">
        <v>3141</v>
      </c>
      <c r="C643" s="2941">
        <v>17.89</v>
      </c>
      <c r="D643" s="2957" t="s">
        <v>48</v>
      </c>
      <c r="E643" s="3384">
        <f t="shared" ca="1" si="83"/>
        <v>8401</v>
      </c>
      <c r="F643" s="3383">
        <f t="shared" ca="1" si="82"/>
        <v>15</v>
      </c>
    </row>
    <row r="644" spans="1:6">
      <c r="A644" s="3369"/>
      <c r="B644" s="2956" t="s">
        <v>3142</v>
      </c>
      <c r="C644" s="2941">
        <v>17.89</v>
      </c>
      <c r="D644" s="2957" t="s">
        <v>48</v>
      </c>
      <c r="E644" s="3384">
        <f t="shared" ca="1" si="83"/>
        <v>8401</v>
      </c>
      <c r="F644" s="3383">
        <f t="shared" ca="1" si="82"/>
        <v>15</v>
      </c>
    </row>
    <row r="645" spans="1:6">
      <c r="A645" s="3369"/>
      <c r="B645" s="2956" t="s">
        <v>3143</v>
      </c>
      <c r="C645" s="2941">
        <v>17.89</v>
      </c>
      <c r="D645" s="2957" t="s">
        <v>48</v>
      </c>
      <c r="E645" s="3384">
        <f t="shared" ca="1" si="83"/>
        <v>8401</v>
      </c>
      <c r="F645" s="3383">
        <f t="shared" ref="F645:F664" ca="1" si="84">ROUND(C645*E645/10000,0)</f>
        <v>15</v>
      </c>
    </row>
    <row r="646" spans="1:6">
      <c r="A646" s="3369"/>
      <c r="B646" s="2956" t="s">
        <v>3144</v>
      </c>
      <c r="C646" s="2941">
        <v>17.89</v>
      </c>
      <c r="D646" s="2957" t="s">
        <v>48</v>
      </c>
      <c r="E646" s="3384">
        <f t="shared" ca="1" si="83"/>
        <v>8401</v>
      </c>
      <c r="F646" s="3383">
        <f t="shared" ca="1" si="84"/>
        <v>15</v>
      </c>
    </row>
    <row r="647" spans="1:6">
      <c r="A647" s="3369"/>
      <c r="B647" s="2956" t="s">
        <v>3145</v>
      </c>
      <c r="C647" s="2941">
        <v>17.89</v>
      </c>
      <c r="D647" s="2957" t="s">
        <v>48</v>
      </c>
      <c r="E647" s="3384">
        <f t="shared" ca="1" si="83"/>
        <v>8401</v>
      </c>
      <c r="F647" s="3383">
        <f t="shared" ca="1" si="84"/>
        <v>15</v>
      </c>
    </row>
    <row r="648" spans="1:6">
      <c r="A648" s="3369"/>
      <c r="B648" s="2956" t="s">
        <v>3146</v>
      </c>
      <c r="C648" s="2941">
        <v>17.89</v>
      </c>
      <c r="D648" s="2957" t="s">
        <v>48</v>
      </c>
      <c r="E648" s="3384">
        <f t="shared" ca="1" si="83"/>
        <v>8401</v>
      </c>
      <c r="F648" s="3383">
        <f t="shared" ca="1" si="84"/>
        <v>15</v>
      </c>
    </row>
    <row r="649" spans="1:6">
      <c r="A649" s="3369"/>
      <c r="B649" s="2956" t="s">
        <v>3147</v>
      </c>
      <c r="C649" s="2941">
        <v>17.89</v>
      </c>
      <c r="D649" s="2957" t="s">
        <v>48</v>
      </c>
      <c r="E649" s="3384">
        <f t="shared" ca="1" si="83"/>
        <v>8401</v>
      </c>
      <c r="F649" s="3383">
        <f t="shared" ca="1" si="84"/>
        <v>15</v>
      </c>
    </row>
    <row r="650" spans="1:6">
      <c r="A650" s="3369"/>
      <c r="B650" s="2956" t="s">
        <v>3148</v>
      </c>
      <c r="C650" s="2941">
        <v>17.89</v>
      </c>
      <c r="D650" s="2957" t="s">
        <v>48</v>
      </c>
      <c r="E650" s="3384">
        <f t="shared" ref="E650:E664" ca="1" si="85">E649</f>
        <v>8401</v>
      </c>
      <c r="F650" s="3383">
        <f t="shared" ca="1" si="84"/>
        <v>15</v>
      </c>
    </row>
    <row r="651" spans="1:6">
      <c r="A651" s="3369"/>
      <c r="B651" s="2956" t="s">
        <v>3149</v>
      </c>
      <c r="C651" s="2941">
        <v>17.89</v>
      </c>
      <c r="D651" s="2957" t="s">
        <v>48</v>
      </c>
      <c r="E651" s="3384">
        <f t="shared" ca="1" si="85"/>
        <v>8401</v>
      </c>
      <c r="F651" s="3383">
        <f t="shared" ca="1" si="84"/>
        <v>15</v>
      </c>
    </row>
    <row r="652" spans="1:6">
      <c r="A652" s="3369"/>
      <c r="B652" s="2956" t="s">
        <v>3150</v>
      </c>
      <c r="C652" s="2941">
        <v>17.89</v>
      </c>
      <c r="D652" s="2957" t="s">
        <v>48</v>
      </c>
      <c r="E652" s="3384">
        <f t="shared" ca="1" si="85"/>
        <v>8401</v>
      </c>
      <c r="F652" s="3383">
        <f t="shared" ca="1" si="84"/>
        <v>15</v>
      </c>
    </row>
    <row r="653" spans="1:6">
      <c r="A653" s="3369"/>
      <c r="B653" s="2956" t="s">
        <v>3151</v>
      </c>
      <c r="C653" s="2941">
        <v>17.89</v>
      </c>
      <c r="D653" s="2957" t="s">
        <v>48</v>
      </c>
      <c r="E653" s="3384">
        <f t="shared" ca="1" si="85"/>
        <v>8401</v>
      </c>
      <c r="F653" s="3383">
        <f t="shared" ca="1" si="84"/>
        <v>15</v>
      </c>
    </row>
    <row r="654" spans="1:6">
      <c r="A654" s="3369"/>
      <c r="B654" s="2956" t="s">
        <v>3152</v>
      </c>
      <c r="C654" s="2941">
        <v>17.89</v>
      </c>
      <c r="D654" s="2957" t="s">
        <v>48</v>
      </c>
      <c r="E654" s="3384">
        <f t="shared" ca="1" si="85"/>
        <v>8401</v>
      </c>
      <c r="F654" s="3383">
        <f t="shared" ca="1" si="84"/>
        <v>15</v>
      </c>
    </row>
    <row r="655" spans="1:6">
      <c r="A655" s="3369"/>
      <c r="B655" s="2956" t="s">
        <v>3153</v>
      </c>
      <c r="C655" s="2941">
        <v>17.89</v>
      </c>
      <c r="D655" s="2957" t="s">
        <v>48</v>
      </c>
      <c r="E655" s="3384">
        <f t="shared" ca="1" si="85"/>
        <v>8401</v>
      </c>
      <c r="F655" s="3383">
        <f t="shared" ca="1" si="84"/>
        <v>15</v>
      </c>
    </row>
    <row r="656" spans="1:6">
      <c r="A656" s="3369"/>
      <c r="B656" s="2956" t="s">
        <v>3154</v>
      </c>
      <c r="C656" s="2941">
        <v>17.89</v>
      </c>
      <c r="D656" s="2957" t="s">
        <v>48</v>
      </c>
      <c r="E656" s="3384">
        <f t="shared" ca="1" si="85"/>
        <v>8401</v>
      </c>
      <c r="F656" s="3383">
        <f t="shared" ca="1" si="84"/>
        <v>15</v>
      </c>
    </row>
    <row r="657" spans="1:6">
      <c r="A657" s="3369"/>
      <c r="B657" s="2956" t="s">
        <v>3155</v>
      </c>
      <c r="C657" s="2941">
        <v>17.89</v>
      </c>
      <c r="D657" s="2957" t="s">
        <v>48</v>
      </c>
      <c r="E657" s="3384">
        <f t="shared" ca="1" si="85"/>
        <v>8401</v>
      </c>
      <c r="F657" s="3383">
        <f t="shared" ca="1" si="84"/>
        <v>15</v>
      </c>
    </row>
    <row r="658" spans="1:6">
      <c r="A658" s="3369"/>
      <c r="B658" s="2956" t="s">
        <v>3156</v>
      </c>
      <c r="C658" s="2941">
        <v>17.89</v>
      </c>
      <c r="D658" s="2957" t="s">
        <v>48</v>
      </c>
      <c r="E658" s="3384">
        <f t="shared" ca="1" si="85"/>
        <v>8401</v>
      </c>
      <c r="F658" s="3383">
        <f t="shared" ca="1" si="84"/>
        <v>15</v>
      </c>
    </row>
    <row r="659" spans="1:6">
      <c r="A659" s="3369"/>
      <c r="B659" s="2956" t="s">
        <v>3157</v>
      </c>
      <c r="C659" s="2941">
        <v>17.89</v>
      </c>
      <c r="D659" s="2957" t="s">
        <v>48</v>
      </c>
      <c r="E659" s="3384">
        <f t="shared" ca="1" si="85"/>
        <v>8401</v>
      </c>
      <c r="F659" s="3383">
        <f t="shared" ca="1" si="84"/>
        <v>15</v>
      </c>
    </row>
    <row r="660" spans="1:6">
      <c r="A660" s="3369"/>
      <c r="B660" s="2956" t="s">
        <v>3158</v>
      </c>
      <c r="C660" s="2941">
        <v>17.89</v>
      </c>
      <c r="D660" s="2957" t="s">
        <v>48</v>
      </c>
      <c r="E660" s="3384">
        <f t="shared" ca="1" si="85"/>
        <v>8401</v>
      </c>
      <c r="F660" s="3383">
        <f t="shared" ca="1" si="84"/>
        <v>15</v>
      </c>
    </row>
    <row r="661" spans="1:6">
      <c r="A661" s="3369"/>
      <c r="B661" s="2956" t="s">
        <v>3159</v>
      </c>
      <c r="C661" s="2941">
        <v>17.89</v>
      </c>
      <c r="D661" s="2957" t="s">
        <v>48</v>
      </c>
      <c r="E661" s="3384">
        <f t="shared" ca="1" si="85"/>
        <v>8401</v>
      </c>
      <c r="F661" s="3383">
        <f t="shared" ca="1" si="84"/>
        <v>15</v>
      </c>
    </row>
    <row r="662" spans="1:6">
      <c r="A662" s="3369"/>
      <c r="B662" s="2956" t="s">
        <v>3160</v>
      </c>
      <c r="C662" s="2941">
        <v>17.89</v>
      </c>
      <c r="D662" s="2957" t="s">
        <v>48</v>
      </c>
      <c r="E662" s="3384">
        <f t="shared" ca="1" si="85"/>
        <v>8401</v>
      </c>
      <c r="F662" s="3383">
        <f t="shared" ca="1" si="84"/>
        <v>15</v>
      </c>
    </row>
    <row r="663" spans="1:6">
      <c r="A663" s="3369"/>
      <c r="B663" s="2956" t="s">
        <v>3161</v>
      </c>
      <c r="C663" s="2941">
        <v>17.89</v>
      </c>
      <c r="D663" s="2957" t="s">
        <v>48</v>
      </c>
      <c r="E663" s="3384">
        <f t="shared" ca="1" si="85"/>
        <v>8401</v>
      </c>
      <c r="F663" s="3383">
        <f t="shared" ca="1" si="84"/>
        <v>15</v>
      </c>
    </row>
    <row r="664" spans="1:6">
      <c r="A664" s="3369"/>
      <c r="B664" s="2956" t="s">
        <v>3162</v>
      </c>
      <c r="C664" s="2941">
        <v>17.89</v>
      </c>
      <c r="D664" s="2957" t="s">
        <v>48</v>
      </c>
      <c r="E664" s="3384">
        <f t="shared" ca="1" si="85"/>
        <v>8401</v>
      </c>
      <c r="F664" s="3383">
        <f t="shared" ca="1" si="84"/>
        <v>15</v>
      </c>
    </row>
    <row r="665" spans="1:6">
      <c r="A665" s="3368" t="s">
        <v>40</v>
      </c>
      <c r="B665" s="3368"/>
      <c r="C665" s="2955">
        <f>SUM(C584:C664)</f>
        <v>1446.2400000000016</v>
      </c>
      <c r="D665" s="2959" t="s">
        <v>48</v>
      </c>
      <c r="E665" s="3384"/>
      <c r="F665" s="3383">
        <f ca="1">SUM(F584:F664)</f>
        <v>1212</v>
      </c>
    </row>
    <row r="666" spans="1:6">
      <c r="A666" s="3366" t="s">
        <v>3314</v>
      </c>
      <c r="B666" s="3366"/>
      <c r="C666" s="2947">
        <f>C665+C583</f>
        <v>1687.4900000000016</v>
      </c>
      <c r="D666" s="2948" t="s">
        <v>3315</v>
      </c>
      <c r="E666" s="3384"/>
      <c r="F666" s="3384">
        <f ca="1">F583+F665</f>
        <v>1581</v>
      </c>
    </row>
    <row r="667" spans="1:6">
      <c r="A667" s="2938" t="s">
        <v>3072</v>
      </c>
      <c r="B667" s="2938" t="s">
        <v>3073</v>
      </c>
      <c r="C667" s="2938" t="s">
        <v>3074</v>
      </c>
      <c r="D667" s="2938" t="s">
        <v>1375</v>
      </c>
      <c r="E667" s="3384"/>
      <c r="F667" s="3384"/>
    </row>
    <row r="668" spans="1:6">
      <c r="A668" s="3380" t="s">
        <v>3316</v>
      </c>
      <c r="B668" s="2960">
        <v>-112</v>
      </c>
      <c r="C668" s="2941">
        <v>169.49</v>
      </c>
      <c r="D668" s="2960" t="s">
        <v>1377</v>
      </c>
      <c r="E668" s="3384">
        <f ca="1">'结果表（商业）'!I118</f>
        <v>15313</v>
      </c>
      <c r="F668" s="3383">
        <f t="shared" ref="F668:F731" ca="1" si="86">ROUND(C668*E668/10000,0)</f>
        <v>260</v>
      </c>
    </row>
    <row r="669" spans="1:6">
      <c r="A669" s="3377"/>
      <c r="B669" s="2960">
        <v>-123</v>
      </c>
      <c r="C669" s="2941">
        <v>185.99</v>
      </c>
      <c r="D669" s="2960" t="s">
        <v>1377</v>
      </c>
      <c r="E669" s="3384">
        <f ca="1">E668</f>
        <v>15313</v>
      </c>
      <c r="F669" s="3383">
        <f t="shared" ca="1" si="86"/>
        <v>285</v>
      </c>
    </row>
    <row r="670" spans="1:6">
      <c r="A670" s="3363" t="s">
        <v>40</v>
      </c>
      <c r="B670" s="3370"/>
      <c r="C670" s="2942">
        <f>SUM(C668:C669)</f>
        <v>355.48</v>
      </c>
      <c r="D670" s="2942" t="s">
        <v>1377</v>
      </c>
      <c r="E670" s="3384"/>
      <c r="F670" s="3384">
        <f ca="1">F668+F669</f>
        <v>545</v>
      </c>
    </row>
    <row r="671" spans="1:6">
      <c r="A671" s="3361" t="s">
        <v>3316</v>
      </c>
      <c r="B671" s="2943" t="s">
        <v>3079</v>
      </c>
      <c r="C671" s="2941">
        <v>18.82</v>
      </c>
      <c r="D671" s="2961" t="s">
        <v>48</v>
      </c>
      <c r="E671" s="3384">
        <f ca="1">'结果表（地下车库）'!I118</f>
        <v>8401</v>
      </c>
      <c r="F671" s="3383">
        <f t="shared" ca="1" si="86"/>
        <v>16</v>
      </c>
    </row>
    <row r="672" spans="1:6">
      <c r="A672" s="3361"/>
      <c r="B672" s="2943" t="s">
        <v>3080</v>
      </c>
      <c r="C672" s="2941">
        <v>18.82</v>
      </c>
      <c r="D672" s="2961" t="s">
        <v>48</v>
      </c>
      <c r="E672" s="3384">
        <f ca="1">E671</f>
        <v>8401</v>
      </c>
      <c r="F672" s="3383">
        <f t="shared" ca="1" si="86"/>
        <v>16</v>
      </c>
    </row>
    <row r="673" spans="1:6">
      <c r="A673" s="3361"/>
      <c r="B673" s="2943" t="s">
        <v>3081</v>
      </c>
      <c r="C673" s="2941">
        <v>18.82</v>
      </c>
      <c r="D673" s="2961" t="s">
        <v>48</v>
      </c>
      <c r="E673" s="3384">
        <f t="shared" ref="E673:E736" ca="1" si="87">E672</f>
        <v>8401</v>
      </c>
      <c r="F673" s="3383">
        <f t="shared" ca="1" si="86"/>
        <v>16</v>
      </c>
    </row>
    <row r="674" spans="1:6">
      <c r="A674" s="3361"/>
      <c r="B674" s="2943" t="s">
        <v>3082</v>
      </c>
      <c r="C674" s="2941">
        <v>17.190000000000001</v>
      </c>
      <c r="D674" s="2961" t="s">
        <v>48</v>
      </c>
      <c r="E674" s="3384">
        <f t="shared" ca="1" si="87"/>
        <v>8401</v>
      </c>
      <c r="F674" s="3383">
        <f t="shared" ca="1" si="86"/>
        <v>14</v>
      </c>
    </row>
    <row r="675" spans="1:6">
      <c r="A675" s="3361"/>
      <c r="B675" s="2943" t="s">
        <v>3083</v>
      </c>
      <c r="C675" s="2941">
        <v>17.190000000000001</v>
      </c>
      <c r="D675" s="2961" t="s">
        <v>48</v>
      </c>
      <c r="E675" s="3384">
        <f t="shared" ca="1" si="87"/>
        <v>8401</v>
      </c>
      <c r="F675" s="3383">
        <f t="shared" ca="1" si="86"/>
        <v>14</v>
      </c>
    </row>
    <row r="676" spans="1:6">
      <c r="A676" s="3361"/>
      <c r="B676" s="2943" t="s">
        <v>3085</v>
      </c>
      <c r="C676" s="2941">
        <v>13.38</v>
      </c>
      <c r="D676" s="2961" t="s">
        <v>48</v>
      </c>
      <c r="E676" s="3384">
        <f t="shared" ca="1" si="87"/>
        <v>8401</v>
      </c>
      <c r="F676" s="3383">
        <f t="shared" ca="1" si="86"/>
        <v>11</v>
      </c>
    </row>
    <row r="677" spans="1:6">
      <c r="A677" s="3361"/>
      <c r="B677" s="2943" t="s">
        <v>3086</v>
      </c>
      <c r="C677" s="2941">
        <v>17.190000000000001</v>
      </c>
      <c r="D677" s="2961" t="s">
        <v>48</v>
      </c>
      <c r="E677" s="3384">
        <f t="shared" ca="1" si="87"/>
        <v>8401</v>
      </c>
      <c r="F677" s="3383">
        <f t="shared" ca="1" si="86"/>
        <v>14</v>
      </c>
    </row>
    <row r="678" spans="1:6">
      <c r="A678" s="3361"/>
      <c r="B678" s="2943" t="s">
        <v>3087</v>
      </c>
      <c r="C678" s="2941">
        <v>17.190000000000001</v>
      </c>
      <c r="D678" s="2961" t="s">
        <v>48</v>
      </c>
      <c r="E678" s="3384">
        <f t="shared" ca="1" si="87"/>
        <v>8401</v>
      </c>
      <c r="F678" s="3383">
        <f t="shared" ca="1" si="86"/>
        <v>14</v>
      </c>
    </row>
    <row r="679" spans="1:6">
      <c r="A679" s="3361"/>
      <c r="B679" s="2943" t="s">
        <v>3088</v>
      </c>
      <c r="C679" s="2941">
        <v>17.190000000000001</v>
      </c>
      <c r="D679" s="2961" t="s">
        <v>48</v>
      </c>
      <c r="E679" s="3384">
        <f t="shared" ca="1" si="87"/>
        <v>8401</v>
      </c>
      <c r="F679" s="3383">
        <f t="shared" ca="1" si="86"/>
        <v>14</v>
      </c>
    </row>
    <row r="680" spans="1:6">
      <c r="A680" s="3361"/>
      <c r="B680" s="2943" t="s">
        <v>3089</v>
      </c>
      <c r="C680" s="2941">
        <v>13.38</v>
      </c>
      <c r="D680" s="2961" t="s">
        <v>48</v>
      </c>
      <c r="E680" s="3384">
        <f t="shared" ca="1" si="87"/>
        <v>8401</v>
      </c>
      <c r="F680" s="3383">
        <f t="shared" ca="1" si="86"/>
        <v>11</v>
      </c>
    </row>
    <row r="681" spans="1:6">
      <c r="A681" s="3361"/>
      <c r="B681" s="2943" t="s">
        <v>3090</v>
      </c>
      <c r="C681" s="2941">
        <v>17.190000000000001</v>
      </c>
      <c r="D681" s="2961" t="s">
        <v>48</v>
      </c>
      <c r="E681" s="3384">
        <f t="shared" ca="1" si="87"/>
        <v>8401</v>
      </c>
      <c r="F681" s="3383">
        <f t="shared" ca="1" si="86"/>
        <v>14</v>
      </c>
    </row>
    <row r="682" spans="1:6">
      <c r="A682" s="3361"/>
      <c r="B682" s="2943" t="s">
        <v>3091</v>
      </c>
      <c r="C682" s="2941">
        <v>17.190000000000001</v>
      </c>
      <c r="D682" s="2961" t="s">
        <v>48</v>
      </c>
      <c r="E682" s="3384">
        <f t="shared" ca="1" si="87"/>
        <v>8401</v>
      </c>
      <c r="F682" s="3383">
        <f t="shared" ca="1" si="86"/>
        <v>14</v>
      </c>
    </row>
    <row r="683" spans="1:6">
      <c r="A683" s="3361"/>
      <c r="B683" s="2943" t="s">
        <v>3092</v>
      </c>
      <c r="C683" s="2941">
        <v>17.190000000000001</v>
      </c>
      <c r="D683" s="2961" t="s">
        <v>48</v>
      </c>
      <c r="E683" s="3384">
        <f t="shared" ca="1" si="87"/>
        <v>8401</v>
      </c>
      <c r="F683" s="3383">
        <f t="shared" ca="1" si="86"/>
        <v>14</v>
      </c>
    </row>
    <row r="684" spans="1:6">
      <c r="A684" s="3361"/>
      <c r="B684" s="2943" t="s">
        <v>3093</v>
      </c>
      <c r="C684" s="2941">
        <v>17.190000000000001</v>
      </c>
      <c r="D684" s="2961" t="s">
        <v>48</v>
      </c>
      <c r="E684" s="3384">
        <f t="shared" ca="1" si="87"/>
        <v>8401</v>
      </c>
      <c r="F684" s="3383">
        <f t="shared" ca="1" si="86"/>
        <v>14</v>
      </c>
    </row>
    <row r="685" spans="1:6">
      <c r="A685" s="3361"/>
      <c r="B685" s="2943" t="s">
        <v>3094</v>
      </c>
      <c r="C685" s="2941">
        <v>17.190000000000001</v>
      </c>
      <c r="D685" s="2961" t="s">
        <v>48</v>
      </c>
      <c r="E685" s="3384">
        <f t="shared" ca="1" si="87"/>
        <v>8401</v>
      </c>
      <c r="F685" s="3383">
        <f t="shared" ca="1" si="86"/>
        <v>14</v>
      </c>
    </row>
    <row r="686" spans="1:6">
      <c r="A686" s="3361"/>
      <c r="B686" s="2943" t="s">
        <v>3095</v>
      </c>
      <c r="C686" s="2941">
        <v>17.190000000000001</v>
      </c>
      <c r="D686" s="2961" t="s">
        <v>48</v>
      </c>
      <c r="E686" s="3384">
        <f t="shared" ca="1" si="87"/>
        <v>8401</v>
      </c>
      <c r="F686" s="3383">
        <f t="shared" ca="1" si="86"/>
        <v>14</v>
      </c>
    </row>
    <row r="687" spans="1:6">
      <c r="A687" s="3361"/>
      <c r="B687" s="2943" t="s">
        <v>3096</v>
      </c>
      <c r="C687" s="2941">
        <v>13.38</v>
      </c>
      <c r="D687" s="2961" t="s">
        <v>48</v>
      </c>
      <c r="E687" s="3384">
        <f t="shared" ca="1" si="87"/>
        <v>8401</v>
      </c>
      <c r="F687" s="3383">
        <f t="shared" ca="1" si="86"/>
        <v>11</v>
      </c>
    </row>
    <row r="688" spans="1:6">
      <c r="A688" s="3361"/>
      <c r="B688" s="2943" t="s">
        <v>3097</v>
      </c>
      <c r="C688" s="2941">
        <v>13.38</v>
      </c>
      <c r="D688" s="2961" t="s">
        <v>48</v>
      </c>
      <c r="E688" s="3384">
        <f t="shared" ca="1" si="87"/>
        <v>8401</v>
      </c>
      <c r="F688" s="3383">
        <f t="shared" ca="1" si="86"/>
        <v>11</v>
      </c>
    </row>
    <row r="689" spans="1:6">
      <c r="A689" s="3361"/>
      <c r="B689" s="2943" t="s">
        <v>3098</v>
      </c>
      <c r="C689" s="2941">
        <v>17.190000000000001</v>
      </c>
      <c r="D689" s="2961" t="s">
        <v>48</v>
      </c>
      <c r="E689" s="3384">
        <f t="shared" ca="1" si="87"/>
        <v>8401</v>
      </c>
      <c r="F689" s="3383">
        <f t="shared" ca="1" si="86"/>
        <v>14</v>
      </c>
    </row>
    <row r="690" spans="1:6">
      <c r="A690" s="3361"/>
      <c r="B690" s="2943" t="s">
        <v>3099</v>
      </c>
      <c r="C690" s="2941">
        <v>17.190000000000001</v>
      </c>
      <c r="D690" s="2961" t="s">
        <v>48</v>
      </c>
      <c r="E690" s="3384">
        <f t="shared" ca="1" si="87"/>
        <v>8401</v>
      </c>
      <c r="F690" s="3383">
        <f t="shared" ca="1" si="86"/>
        <v>14</v>
      </c>
    </row>
    <row r="691" spans="1:6">
      <c r="A691" s="3361"/>
      <c r="B691" s="2943" t="s">
        <v>3100</v>
      </c>
      <c r="C691" s="2941">
        <v>17.190000000000001</v>
      </c>
      <c r="D691" s="2961" t="s">
        <v>48</v>
      </c>
      <c r="E691" s="3384">
        <f t="shared" ca="1" si="87"/>
        <v>8401</v>
      </c>
      <c r="F691" s="3383">
        <f t="shared" ca="1" si="86"/>
        <v>14</v>
      </c>
    </row>
    <row r="692" spans="1:6">
      <c r="A692" s="3361"/>
      <c r="B692" s="2943" t="s">
        <v>3101</v>
      </c>
      <c r="C692" s="2941">
        <v>17.190000000000001</v>
      </c>
      <c r="D692" s="2961" t="s">
        <v>48</v>
      </c>
      <c r="E692" s="3384">
        <f t="shared" ca="1" si="87"/>
        <v>8401</v>
      </c>
      <c r="F692" s="3383">
        <f t="shared" ca="1" si="86"/>
        <v>14</v>
      </c>
    </row>
    <row r="693" spans="1:6">
      <c r="A693" s="3361"/>
      <c r="B693" s="2943" t="s">
        <v>3102</v>
      </c>
      <c r="C693" s="2941">
        <v>17.190000000000001</v>
      </c>
      <c r="D693" s="2961" t="s">
        <v>48</v>
      </c>
      <c r="E693" s="3384">
        <f t="shared" ca="1" si="87"/>
        <v>8401</v>
      </c>
      <c r="F693" s="3383">
        <f t="shared" ca="1" si="86"/>
        <v>14</v>
      </c>
    </row>
    <row r="694" spans="1:6">
      <c r="A694" s="3361"/>
      <c r="B694" s="2943" t="s">
        <v>3103</v>
      </c>
      <c r="C694" s="2941">
        <v>17.190000000000001</v>
      </c>
      <c r="D694" s="2961" t="s">
        <v>48</v>
      </c>
      <c r="E694" s="3384">
        <f t="shared" ca="1" si="87"/>
        <v>8401</v>
      </c>
      <c r="F694" s="3383">
        <f t="shared" ca="1" si="86"/>
        <v>14</v>
      </c>
    </row>
    <row r="695" spans="1:6">
      <c r="A695" s="3361"/>
      <c r="B695" s="2943" t="s">
        <v>3104</v>
      </c>
      <c r="C695" s="2941">
        <v>17.190000000000001</v>
      </c>
      <c r="D695" s="2961" t="s">
        <v>48</v>
      </c>
      <c r="E695" s="3384">
        <f t="shared" ca="1" si="87"/>
        <v>8401</v>
      </c>
      <c r="F695" s="3383">
        <f t="shared" ca="1" si="86"/>
        <v>14</v>
      </c>
    </row>
    <row r="696" spans="1:6">
      <c r="A696" s="3361"/>
      <c r="B696" s="2943" t="s">
        <v>3105</v>
      </c>
      <c r="C696" s="2941">
        <v>17.190000000000001</v>
      </c>
      <c r="D696" s="2961" t="s">
        <v>48</v>
      </c>
      <c r="E696" s="3384">
        <f t="shared" ca="1" si="87"/>
        <v>8401</v>
      </c>
      <c r="F696" s="3383">
        <f t="shared" ca="1" si="86"/>
        <v>14</v>
      </c>
    </row>
    <row r="697" spans="1:6">
      <c r="A697" s="3361"/>
      <c r="B697" s="2943" t="s">
        <v>3106</v>
      </c>
      <c r="C697" s="2941">
        <v>17.190000000000001</v>
      </c>
      <c r="D697" s="2961" t="s">
        <v>48</v>
      </c>
      <c r="E697" s="3384">
        <f t="shared" ca="1" si="87"/>
        <v>8401</v>
      </c>
      <c r="F697" s="3383">
        <f t="shared" ca="1" si="86"/>
        <v>14</v>
      </c>
    </row>
    <row r="698" spans="1:6">
      <c r="A698" s="3361"/>
      <c r="B698" s="2943" t="s">
        <v>3107</v>
      </c>
      <c r="C698" s="2941">
        <v>17.190000000000001</v>
      </c>
      <c r="D698" s="2961" t="s">
        <v>48</v>
      </c>
      <c r="E698" s="3384">
        <f t="shared" ca="1" si="87"/>
        <v>8401</v>
      </c>
      <c r="F698" s="3383">
        <f t="shared" ca="1" si="86"/>
        <v>14</v>
      </c>
    </row>
    <row r="699" spans="1:6">
      <c r="A699" s="3361"/>
      <c r="B699" s="2943" t="s">
        <v>3108</v>
      </c>
      <c r="C699" s="2941">
        <v>17.190000000000001</v>
      </c>
      <c r="D699" s="2961" t="s">
        <v>48</v>
      </c>
      <c r="E699" s="3384">
        <f t="shared" ca="1" si="87"/>
        <v>8401</v>
      </c>
      <c r="F699" s="3383">
        <f t="shared" ca="1" si="86"/>
        <v>14</v>
      </c>
    </row>
    <row r="700" spans="1:6">
      <c r="A700" s="3361"/>
      <c r="B700" s="2943" t="s">
        <v>3109</v>
      </c>
      <c r="C700" s="2941">
        <v>17.190000000000001</v>
      </c>
      <c r="D700" s="2961" t="s">
        <v>48</v>
      </c>
      <c r="E700" s="3384">
        <f t="shared" ca="1" si="87"/>
        <v>8401</v>
      </c>
      <c r="F700" s="3383">
        <f t="shared" ca="1" si="86"/>
        <v>14</v>
      </c>
    </row>
    <row r="701" spans="1:6">
      <c r="A701" s="3361"/>
      <c r="B701" s="2943" t="s">
        <v>3110</v>
      </c>
      <c r="C701" s="2941">
        <v>17.190000000000001</v>
      </c>
      <c r="D701" s="2961" t="s">
        <v>48</v>
      </c>
      <c r="E701" s="3384">
        <f t="shared" ca="1" si="87"/>
        <v>8401</v>
      </c>
      <c r="F701" s="3383">
        <f t="shared" ca="1" si="86"/>
        <v>14</v>
      </c>
    </row>
    <row r="702" spans="1:6">
      <c r="A702" s="3361"/>
      <c r="B702" s="2943" t="s">
        <v>3111</v>
      </c>
      <c r="C702" s="2941">
        <v>17.190000000000001</v>
      </c>
      <c r="D702" s="2961" t="s">
        <v>48</v>
      </c>
      <c r="E702" s="3384">
        <f t="shared" ca="1" si="87"/>
        <v>8401</v>
      </c>
      <c r="F702" s="3383">
        <f t="shared" ca="1" si="86"/>
        <v>14</v>
      </c>
    </row>
    <row r="703" spans="1:6">
      <c r="A703" s="3361"/>
      <c r="B703" s="2943" t="s">
        <v>3112</v>
      </c>
      <c r="C703" s="2941">
        <v>17.190000000000001</v>
      </c>
      <c r="D703" s="2961" t="s">
        <v>48</v>
      </c>
      <c r="E703" s="3384">
        <f t="shared" ca="1" si="87"/>
        <v>8401</v>
      </c>
      <c r="F703" s="3383">
        <f t="shared" ca="1" si="86"/>
        <v>14</v>
      </c>
    </row>
    <row r="704" spans="1:6">
      <c r="A704" s="3361"/>
      <c r="B704" s="2943" t="s">
        <v>3113</v>
      </c>
      <c r="C704" s="2941">
        <v>17.190000000000001</v>
      </c>
      <c r="D704" s="2961" t="s">
        <v>48</v>
      </c>
      <c r="E704" s="3384">
        <f t="shared" ca="1" si="87"/>
        <v>8401</v>
      </c>
      <c r="F704" s="3383">
        <f t="shared" ca="1" si="86"/>
        <v>14</v>
      </c>
    </row>
    <row r="705" spans="1:6">
      <c r="A705" s="3361"/>
      <c r="B705" s="2943" t="s">
        <v>3114</v>
      </c>
      <c r="C705" s="2941">
        <v>17.190000000000001</v>
      </c>
      <c r="D705" s="2961" t="s">
        <v>48</v>
      </c>
      <c r="E705" s="3384">
        <f t="shared" ca="1" si="87"/>
        <v>8401</v>
      </c>
      <c r="F705" s="3383">
        <f t="shared" ca="1" si="86"/>
        <v>14</v>
      </c>
    </row>
    <row r="706" spans="1:6">
      <c r="A706" s="3361"/>
      <c r="B706" s="2943" t="s">
        <v>3115</v>
      </c>
      <c r="C706" s="2941">
        <v>17.190000000000001</v>
      </c>
      <c r="D706" s="2961" t="s">
        <v>48</v>
      </c>
      <c r="E706" s="3384">
        <f t="shared" ca="1" si="87"/>
        <v>8401</v>
      </c>
      <c r="F706" s="3383">
        <f t="shared" ca="1" si="86"/>
        <v>14</v>
      </c>
    </row>
    <row r="707" spans="1:6">
      <c r="A707" s="3361"/>
      <c r="B707" s="2943" t="s">
        <v>3116</v>
      </c>
      <c r="C707" s="2941">
        <v>17.190000000000001</v>
      </c>
      <c r="D707" s="2961" t="s">
        <v>48</v>
      </c>
      <c r="E707" s="3384">
        <f t="shared" ca="1" si="87"/>
        <v>8401</v>
      </c>
      <c r="F707" s="3383">
        <f t="shared" ca="1" si="86"/>
        <v>14</v>
      </c>
    </row>
    <row r="708" spans="1:6">
      <c r="A708" s="3361"/>
      <c r="B708" s="2943" t="s">
        <v>3117</v>
      </c>
      <c r="C708" s="2941">
        <v>17.190000000000001</v>
      </c>
      <c r="D708" s="2961" t="s">
        <v>48</v>
      </c>
      <c r="E708" s="3384">
        <f t="shared" ca="1" si="87"/>
        <v>8401</v>
      </c>
      <c r="F708" s="3383">
        <f t="shared" ca="1" si="86"/>
        <v>14</v>
      </c>
    </row>
    <row r="709" spans="1:6">
      <c r="A709" s="3361"/>
      <c r="B709" s="2943" t="s">
        <v>3118</v>
      </c>
      <c r="C709" s="2941">
        <v>17.190000000000001</v>
      </c>
      <c r="D709" s="2961" t="s">
        <v>48</v>
      </c>
      <c r="E709" s="3384">
        <f t="shared" ca="1" si="87"/>
        <v>8401</v>
      </c>
      <c r="F709" s="3383">
        <f t="shared" ca="1" si="86"/>
        <v>14</v>
      </c>
    </row>
    <row r="710" spans="1:6">
      <c r="A710" s="3361"/>
      <c r="B710" s="2943" t="s">
        <v>3119</v>
      </c>
      <c r="C710" s="2941">
        <v>17.190000000000001</v>
      </c>
      <c r="D710" s="2961" t="s">
        <v>48</v>
      </c>
      <c r="E710" s="3384">
        <f t="shared" ca="1" si="87"/>
        <v>8401</v>
      </c>
      <c r="F710" s="3383">
        <f t="shared" ca="1" si="86"/>
        <v>14</v>
      </c>
    </row>
    <row r="711" spans="1:6">
      <c r="A711" s="3361"/>
      <c r="B711" s="2943" t="s">
        <v>3120</v>
      </c>
      <c r="C711" s="2941">
        <v>17.190000000000001</v>
      </c>
      <c r="D711" s="2961" t="s">
        <v>48</v>
      </c>
      <c r="E711" s="3384">
        <f t="shared" ca="1" si="87"/>
        <v>8401</v>
      </c>
      <c r="F711" s="3383">
        <f t="shared" ca="1" si="86"/>
        <v>14</v>
      </c>
    </row>
    <row r="712" spans="1:6">
      <c r="A712" s="3361"/>
      <c r="B712" s="2943" t="s">
        <v>3121</v>
      </c>
      <c r="C712" s="2941">
        <v>17.190000000000001</v>
      </c>
      <c r="D712" s="2961" t="s">
        <v>48</v>
      </c>
      <c r="E712" s="3384">
        <f t="shared" ca="1" si="87"/>
        <v>8401</v>
      </c>
      <c r="F712" s="3383">
        <f t="shared" ca="1" si="86"/>
        <v>14</v>
      </c>
    </row>
    <row r="713" spans="1:6">
      <c r="A713" s="3361"/>
      <c r="B713" s="2943" t="s">
        <v>3122</v>
      </c>
      <c r="C713" s="2941">
        <v>17.190000000000001</v>
      </c>
      <c r="D713" s="2961" t="s">
        <v>48</v>
      </c>
      <c r="E713" s="3384">
        <f t="shared" ca="1" si="87"/>
        <v>8401</v>
      </c>
      <c r="F713" s="3383">
        <f t="shared" ca="1" si="86"/>
        <v>14</v>
      </c>
    </row>
    <row r="714" spans="1:6">
      <c r="A714" s="3361"/>
      <c r="B714" s="2943" t="s">
        <v>3123</v>
      </c>
      <c r="C714" s="2941">
        <v>17.190000000000001</v>
      </c>
      <c r="D714" s="2961" t="s">
        <v>48</v>
      </c>
      <c r="E714" s="3384">
        <f t="shared" ca="1" si="87"/>
        <v>8401</v>
      </c>
      <c r="F714" s="3383">
        <f t="shared" ca="1" si="86"/>
        <v>14</v>
      </c>
    </row>
    <row r="715" spans="1:6">
      <c r="A715" s="3361"/>
      <c r="B715" s="2943" t="s">
        <v>3124</v>
      </c>
      <c r="C715" s="2941">
        <v>17.190000000000001</v>
      </c>
      <c r="D715" s="2961" t="s">
        <v>48</v>
      </c>
      <c r="E715" s="3384">
        <f t="shared" ca="1" si="87"/>
        <v>8401</v>
      </c>
      <c r="F715" s="3383">
        <f t="shared" ca="1" si="86"/>
        <v>14</v>
      </c>
    </row>
    <row r="716" spans="1:6">
      <c r="A716" s="3361"/>
      <c r="B716" s="2943" t="s">
        <v>3125</v>
      </c>
      <c r="C716" s="2941">
        <v>13.38</v>
      </c>
      <c r="D716" s="2961" t="s">
        <v>48</v>
      </c>
      <c r="E716" s="3384">
        <f t="shared" ca="1" si="87"/>
        <v>8401</v>
      </c>
      <c r="F716" s="3383">
        <f t="shared" ca="1" si="86"/>
        <v>11</v>
      </c>
    </row>
    <row r="717" spans="1:6">
      <c r="A717" s="3361"/>
      <c r="B717" s="2943" t="s">
        <v>3126</v>
      </c>
      <c r="C717" s="2941">
        <v>17.190000000000001</v>
      </c>
      <c r="D717" s="2961" t="s">
        <v>48</v>
      </c>
      <c r="E717" s="3384">
        <f t="shared" ca="1" si="87"/>
        <v>8401</v>
      </c>
      <c r="F717" s="3383">
        <f t="shared" ca="1" si="86"/>
        <v>14</v>
      </c>
    </row>
    <row r="718" spans="1:6">
      <c r="A718" s="3361"/>
      <c r="B718" s="2943" t="s">
        <v>3127</v>
      </c>
      <c r="C718" s="2941">
        <v>17.190000000000001</v>
      </c>
      <c r="D718" s="2961" t="s">
        <v>48</v>
      </c>
      <c r="E718" s="3384">
        <f t="shared" ca="1" si="87"/>
        <v>8401</v>
      </c>
      <c r="F718" s="3383">
        <f t="shared" ca="1" si="86"/>
        <v>14</v>
      </c>
    </row>
    <row r="719" spans="1:6">
      <c r="A719" s="3361"/>
      <c r="B719" s="2943" t="s">
        <v>3128</v>
      </c>
      <c r="C719" s="2941">
        <v>17.190000000000001</v>
      </c>
      <c r="D719" s="2961" t="s">
        <v>48</v>
      </c>
      <c r="E719" s="3384">
        <f t="shared" ca="1" si="87"/>
        <v>8401</v>
      </c>
      <c r="F719" s="3383">
        <f t="shared" ca="1" si="86"/>
        <v>14</v>
      </c>
    </row>
    <row r="720" spans="1:6">
      <c r="A720" s="3361"/>
      <c r="B720" s="2943" t="s">
        <v>3129</v>
      </c>
      <c r="C720" s="2941">
        <v>17.190000000000001</v>
      </c>
      <c r="D720" s="2961" t="s">
        <v>48</v>
      </c>
      <c r="E720" s="3384">
        <f t="shared" ca="1" si="87"/>
        <v>8401</v>
      </c>
      <c r="F720" s="3383">
        <f t="shared" ca="1" si="86"/>
        <v>14</v>
      </c>
    </row>
    <row r="721" spans="1:6">
      <c r="A721" s="3361"/>
      <c r="B721" s="2943" t="s">
        <v>3130</v>
      </c>
      <c r="C721" s="2941">
        <v>17.190000000000001</v>
      </c>
      <c r="D721" s="2961" t="s">
        <v>48</v>
      </c>
      <c r="E721" s="3384">
        <f t="shared" ca="1" si="87"/>
        <v>8401</v>
      </c>
      <c r="F721" s="3383">
        <f t="shared" ca="1" si="86"/>
        <v>14</v>
      </c>
    </row>
    <row r="722" spans="1:6">
      <c r="A722" s="3361"/>
      <c r="B722" s="2943" t="s">
        <v>3131</v>
      </c>
      <c r="C722" s="2941">
        <v>17.190000000000001</v>
      </c>
      <c r="D722" s="2961" t="s">
        <v>48</v>
      </c>
      <c r="E722" s="3384">
        <f t="shared" ca="1" si="87"/>
        <v>8401</v>
      </c>
      <c r="F722" s="3383">
        <f t="shared" ca="1" si="86"/>
        <v>14</v>
      </c>
    </row>
    <row r="723" spans="1:6">
      <c r="A723" s="3361"/>
      <c r="B723" s="2943" t="s">
        <v>3132</v>
      </c>
      <c r="C723" s="2941">
        <v>17.190000000000001</v>
      </c>
      <c r="D723" s="2961" t="s">
        <v>48</v>
      </c>
      <c r="E723" s="3384">
        <f t="shared" ca="1" si="87"/>
        <v>8401</v>
      </c>
      <c r="F723" s="3383">
        <f t="shared" ca="1" si="86"/>
        <v>14</v>
      </c>
    </row>
    <row r="724" spans="1:6">
      <c r="A724" s="3361"/>
      <c r="B724" s="2943" t="s">
        <v>3133</v>
      </c>
      <c r="C724" s="2941">
        <v>17.190000000000001</v>
      </c>
      <c r="D724" s="2961" t="s">
        <v>48</v>
      </c>
      <c r="E724" s="3384">
        <f t="shared" ca="1" si="87"/>
        <v>8401</v>
      </c>
      <c r="F724" s="3383">
        <f t="shared" ca="1" si="86"/>
        <v>14</v>
      </c>
    </row>
    <row r="725" spans="1:6">
      <c r="A725" s="3361"/>
      <c r="B725" s="2943" t="s">
        <v>3134</v>
      </c>
      <c r="C725" s="2941">
        <v>17.190000000000001</v>
      </c>
      <c r="D725" s="2961" t="s">
        <v>48</v>
      </c>
      <c r="E725" s="3384">
        <f t="shared" ca="1" si="87"/>
        <v>8401</v>
      </c>
      <c r="F725" s="3383">
        <f t="shared" ca="1" si="86"/>
        <v>14</v>
      </c>
    </row>
    <row r="726" spans="1:6">
      <c r="A726" s="3361"/>
      <c r="B726" s="2943" t="s">
        <v>3135</v>
      </c>
      <c r="C726" s="2941">
        <v>17.190000000000001</v>
      </c>
      <c r="D726" s="2961" t="s">
        <v>48</v>
      </c>
      <c r="E726" s="3384">
        <f t="shared" ca="1" si="87"/>
        <v>8401</v>
      </c>
      <c r="F726" s="3383">
        <f t="shared" ca="1" si="86"/>
        <v>14</v>
      </c>
    </row>
    <row r="727" spans="1:6">
      <c r="A727" s="3361"/>
      <c r="B727" s="2943" t="s">
        <v>3136</v>
      </c>
      <c r="C727" s="2941">
        <v>17.190000000000001</v>
      </c>
      <c r="D727" s="2961" t="s">
        <v>48</v>
      </c>
      <c r="E727" s="3384">
        <f t="shared" ca="1" si="87"/>
        <v>8401</v>
      </c>
      <c r="F727" s="3383">
        <f t="shared" ca="1" si="86"/>
        <v>14</v>
      </c>
    </row>
    <row r="728" spans="1:6">
      <c r="A728" s="3361"/>
      <c r="B728" s="2943" t="s">
        <v>3137</v>
      </c>
      <c r="C728" s="2941">
        <v>17.190000000000001</v>
      </c>
      <c r="D728" s="2961" t="s">
        <v>48</v>
      </c>
      <c r="E728" s="3384">
        <f t="shared" ca="1" si="87"/>
        <v>8401</v>
      </c>
      <c r="F728" s="3383">
        <f t="shared" ca="1" si="86"/>
        <v>14</v>
      </c>
    </row>
    <row r="729" spans="1:6">
      <c r="A729" s="3361"/>
      <c r="B729" s="2943" t="s">
        <v>3138</v>
      </c>
      <c r="C729" s="2941">
        <v>17.190000000000001</v>
      </c>
      <c r="D729" s="2961" t="s">
        <v>48</v>
      </c>
      <c r="E729" s="3384">
        <f t="shared" ca="1" si="87"/>
        <v>8401</v>
      </c>
      <c r="F729" s="3383">
        <f t="shared" ca="1" si="86"/>
        <v>14</v>
      </c>
    </row>
    <row r="730" spans="1:6">
      <c r="A730" s="3361"/>
      <c r="B730" s="2943" t="s">
        <v>3139</v>
      </c>
      <c r="C730" s="2941">
        <v>17.190000000000001</v>
      </c>
      <c r="D730" s="2961" t="s">
        <v>48</v>
      </c>
      <c r="E730" s="3384">
        <f t="shared" ca="1" si="87"/>
        <v>8401</v>
      </c>
      <c r="F730" s="3383">
        <f t="shared" ca="1" si="86"/>
        <v>14</v>
      </c>
    </row>
    <row r="731" spans="1:6">
      <c r="A731" s="3361"/>
      <c r="B731" s="2943" t="s">
        <v>3140</v>
      </c>
      <c r="C731" s="2941">
        <v>17.190000000000001</v>
      </c>
      <c r="D731" s="2961" t="s">
        <v>48</v>
      </c>
      <c r="E731" s="3384">
        <f t="shared" ca="1" si="87"/>
        <v>8401</v>
      </c>
      <c r="F731" s="3383">
        <f t="shared" ca="1" si="86"/>
        <v>14</v>
      </c>
    </row>
    <row r="732" spans="1:6">
      <c r="A732" s="3361"/>
      <c r="B732" s="2943" t="s">
        <v>3141</v>
      </c>
      <c r="C732" s="2941">
        <v>17.190000000000001</v>
      </c>
      <c r="D732" s="2961" t="s">
        <v>48</v>
      </c>
      <c r="E732" s="3384">
        <f t="shared" ca="1" si="87"/>
        <v>8401</v>
      </c>
      <c r="F732" s="3383">
        <f t="shared" ref="F732:F763" ca="1" si="88">ROUND(C732*E732/10000,0)</f>
        <v>14</v>
      </c>
    </row>
    <row r="733" spans="1:6">
      <c r="A733" s="3361"/>
      <c r="B733" s="2943" t="s">
        <v>3142</v>
      </c>
      <c r="C733" s="2941">
        <v>17.190000000000001</v>
      </c>
      <c r="D733" s="2961" t="s">
        <v>48</v>
      </c>
      <c r="E733" s="3384">
        <f t="shared" ca="1" si="87"/>
        <v>8401</v>
      </c>
      <c r="F733" s="3383">
        <f t="shared" ca="1" si="88"/>
        <v>14</v>
      </c>
    </row>
    <row r="734" spans="1:6">
      <c r="A734" s="3361"/>
      <c r="B734" s="2943" t="s">
        <v>3143</v>
      </c>
      <c r="C734" s="2941">
        <v>13.38</v>
      </c>
      <c r="D734" s="2961" t="s">
        <v>48</v>
      </c>
      <c r="E734" s="3384">
        <f t="shared" ca="1" si="87"/>
        <v>8401</v>
      </c>
      <c r="F734" s="3383">
        <f t="shared" ca="1" si="88"/>
        <v>11</v>
      </c>
    </row>
    <row r="735" spans="1:6">
      <c r="A735" s="3361"/>
      <c r="B735" s="2943" t="s">
        <v>3144</v>
      </c>
      <c r="C735" s="2941">
        <v>17.190000000000001</v>
      </c>
      <c r="D735" s="2961" t="s">
        <v>48</v>
      </c>
      <c r="E735" s="3384">
        <f t="shared" ca="1" si="87"/>
        <v>8401</v>
      </c>
      <c r="F735" s="3383">
        <f t="shared" ca="1" si="88"/>
        <v>14</v>
      </c>
    </row>
    <row r="736" spans="1:6">
      <c r="A736" s="3361"/>
      <c r="B736" s="2943" t="s">
        <v>3145</v>
      </c>
      <c r="C736" s="2941">
        <v>17.190000000000001</v>
      </c>
      <c r="D736" s="2961" t="s">
        <v>48</v>
      </c>
      <c r="E736" s="3384">
        <f t="shared" ca="1" si="87"/>
        <v>8401</v>
      </c>
      <c r="F736" s="3383">
        <f t="shared" ca="1" si="88"/>
        <v>14</v>
      </c>
    </row>
    <row r="737" spans="1:6">
      <c r="A737" s="3361"/>
      <c r="B737" s="2943" t="s">
        <v>3146</v>
      </c>
      <c r="C737" s="2941">
        <v>17.190000000000001</v>
      </c>
      <c r="D737" s="2961" t="s">
        <v>48</v>
      </c>
      <c r="E737" s="3384">
        <f t="shared" ref="E737:E763" ca="1" si="89">E736</f>
        <v>8401</v>
      </c>
      <c r="F737" s="3383">
        <f t="shared" ca="1" si="88"/>
        <v>14</v>
      </c>
    </row>
    <row r="738" spans="1:6">
      <c r="A738" s="3361"/>
      <c r="B738" s="2943" t="s">
        <v>3147</v>
      </c>
      <c r="C738" s="2941">
        <v>17.190000000000001</v>
      </c>
      <c r="D738" s="2961" t="s">
        <v>48</v>
      </c>
      <c r="E738" s="3384">
        <f t="shared" ca="1" si="89"/>
        <v>8401</v>
      </c>
      <c r="F738" s="3383">
        <f t="shared" ca="1" si="88"/>
        <v>14</v>
      </c>
    </row>
    <row r="739" spans="1:6">
      <c r="A739" s="3361"/>
      <c r="B739" s="2943" t="s">
        <v>3148</v>
      </c>
      <c r="C739" s="2941">
        <v>17.190000000000001</v>
      </c>
      <c r="D739" s="2961" t="s">
        <v>48</v>
      </c>
      <c r="E739" s="3384">
        <f t="shared" ca="1" si="89"/>
        <v>8401</v>
      </c>
      <c r="F739" s="3383">
        <f t="shared" ca="1" si="88"/>
        <v>14</v>
      </c>
    </row>
    <row r="740" spans="1:6">
      <c r="A740" s="3361"/>
      <c r="B740" s="2943" t="s">
        <v>3149</v>
      </c>
      <c r="C740" s="2941">
        <v>17.190000000000001</v>
      </c>
      <c r="D740" s="2961" t="s">
        <v>48</v>
      </c>
      <c r="E740" s="3384">
        <f t="shared" ca="1" si="89"/>
        <v>8401</v>
      </c>
      <c r="F740" s="3383">
        <f t="shared" ca="1" si="88"/>
        <v>14</v>
      </c>
    </row>
    <row r="741" spans="1:6">
      <c r="A741" s="3361"/>
      <c r="B741" s="2943" t="s">
        <v>3150</v>
      </c>
      <c r="C741" s="2941">
        <v>17.190000000000001</v>
      </c>
      <c r="D741" s="2961" t="s">
        <v>48</v>
      </c>
      <c r="E741" s="3384">
        <f t="shared" ca="1" si="89"/>
        <v>8401</v>
      </c>
      <c r="F741" s="3383">
        <f t="shared" ca="1" si="88"/>
        <v>14</v>
      </c>
    </row>
    <row r="742" spans="1:6">
      <c r="A742" s="3361"/>
      <c r="B742" s="2943" t="s">
        <v>3151</v>
      </c>
      <c r="C742" s="2941">
        <v>17.190000000000001</v>
      </c>
      <c r="D742" s="2961" t="s">
        <v>48</v>
      </c>
      <c r="E742" s="3384">
        <f t="shared" ca="1" si="89"/>
        <v>8401</v>
      </c>
      <c r="F742" s="3383">
        <f t="shared" ca="1" si="88"/>
        <v>14</v>
      </c>
    </row>
    <row r="743" spans="1:6">
      <c r="A743" s="3361"/>
      <c r="B743" s="2943" t="s">
        <v>3152</v>
      </c>
      <c r="C743" s="2941">
        <v>17.190000000000001</v>
      </c>
      <c r="D743" s="2961" t="s">
        <v>48</v>
      </c>
      <c r="E743" s="3384">
        <f t="shared" ca="1" si="89"/>
        <v>8401</v>
      </c>
      <c r="F743" s="3383">
        <f t="shared" ca="1" si="88"/>
        <v>14</v>
      </c>
    </row>
    <row r="744" spans="1:6">
      <c r="A744" s="3361"/>
      <c r="B744" s="2943" t="s">
        <v>3153</v>
      </c>
      <c r="C744" s="2941">
        <v>17.190000000000001</v>
      </c>
      <c r="D744" s="2961" t="s">
        <v>48</v>
      </c>
      <c r="E744" s="3384">
        <f t="shared" ca="1" si="89"/>
        <v>8401</v>
      </c>
      <c r="F744" s="3383">
        <f t="shared" ca="1" si="88"/>
        <v>14</v>
      </c>
    </row>
    <row r="745" spans="1:6">
      <c r="A745" s="3361"/>
      <c r="B745" s="2943" t="s">
        <v>3154</v>
      </c>
      <c r="C745" s="2941">
        <v>17.190000000000001</v>
      </c>
      <c r="D745" s="2961" t="s">
        <v>48</v>
      </c>
      <c r="E745" s="3384">
        <f t="shared" ca="1" si="89"/>
        <v>8401</v>
      </c>
      <c r="F745" s="3383">
        <f t="shared" ca="1" si="88"/>
        <v>14</v>
      </c>
    </row>
    <row r="746" spans="1:6">
      <c r="A746" s="3361"/>
      <c r="B746" s="2943" t="s">
        <v>3155</v>
      </c>
      <c r="C746" s="2941">
        <v>17.190000000000001</v>
      </c>
      <c r="D746" s="2961" t="s">
        <v>48</v>
      </c>
      <c r="E746" s="3384">
        <f t="shared" ca="1" si="89"/>
        <v>8401</v>
      </c>
      <c r="F746" s="3383">
        <f t="shared" ca="1" si="88"/>
        <v>14</v>
      </c>
    </row>
    <row r="747" spans="1:6">
      <c r="A747" s="3361"/>
      <c r="B747" s="2943" t="s">
        <v>3156</v>
      </c>
      <c r="C747" s="2941">
        <v>17.190000000000001</v>
      </c>
      <c r="D747" s="2961" t="s">
        <v>48</v>
      </c>
      <c r="E747" s="3384">
        <f t="shared" ca="1" si="89"/>
        <v>8401</v>
      </c>
      <c r="F747" s="3383">
        <f t="shared" ca="1" si="88"/>
        <v>14</v>
      </c>
    </row>
    <row r="748" spans="1:6">
      <c r="A748" s="3361"/>
      <c r="B748" s="2943" t="s">
        <v>3157</v>
      </c>
      <c r="C748" s="2941">
        <v>17.190000000000001</v>
      </c>
      <c r="D748" s="2961" t="s">
        <v>48</v>
      </c>
      <c r="E748" s="3384">
        <f t="shared" ca="1" si="89"/>
        <v>8401</v>
      </c>
      <c r="F748" s="3383">
        <f t="shared" ca="1" si="88"/>
        <v>14</v>
      </c>
    </row>
    <row r="749" spans="1:6">
      <c r="A749" s="3361"/>
      <c r="B749" s="2943" t="s">
        <v>3158</v>
      </c>
      <c r="C749" s="2941">
        <v>17.190000000000001</v>
      </c>
      <c r="D749" s="2961" t="s">
        <v>48</v>
      </c>
      <c r="E749" s="3384">
        <f t="shared" ca="1" si="89"/>
        <v>8401</v>
      </c>
      <c r="F749" s="3383">
        <f t="shared" ca="1" si="88"/>
        <v>14</v>
      </c>
    </row>
    <row r="750" spans="1:6">
      <c r="A750" s="3361"/>
      <c r="B750" s="2943" t="s">
        <v>3159</v>
      </c>
      <c r="C750" s="2941">
        <v>17.190000000000001</v>
      </c>
      <c r="D750" s="2961" t="s">
        <v>48</v>
      </c>
      <c r="E750" s="3384">
        <f t="shared" ca="1" si="89"/>
        <v>8401</v>
      </c>
      <c r="F750" s="3383">
        <f t="shared" ca="1" si="88"/>
        <v>14</v>
      </c>
    </row>
    <row r="751" spans="1:6">
      <c r="A751" s="3361"/>
      <c r="B751" s="2943" t="s">
        <v>3160</v>
      </c>
      <c r="C751" s="2941">
        <v>17.190000000000001</v>
      </c>
      <c r="D751" s="2961" t="s">
        <v>48</v>
      </c>
      <c r="E751" s="3384">
        <f t="shared" ca="1" si="89"/>
        <v>8401</v>
      </c>
      <c r="F751" s="3383">
        <f t="shared" ca="1" si="88"/>
        <v>14</v>
      </c>
    </row>
    <row r="752" spans="1:6">
      <c r="A752" s="3361"/>
      <c r="B752" s="2943" t="s">
        <v>3161</v>
      </c>
      <c r="C752" s="2941">
        <v>17.190000000000001</v>
      </c>
      <c r="D752" s="2961" t="s">
        <v>48</v>
      </c>
      <c r="E752" s="3384">
        <f t="shared" ca="1" si="89"/>
        <v>8401</v>
      </c>
      <c r="F752" s="3383">
        <f t="shared" ca="1" si="88"/>
        <v>14</v>
      </c>
    </row>
    <row r="753" spans="1:6">
      <c r="A753" s="3361"/>
      <c r="B753" s="2943" t="s">
        <v>3162</v>
      </c>
      <c r="C753" s="2941">
        <v>17.190000000000001</v>
      </c>
      <c r="D753" s="2961" t="s">
        <v>48</v>
      </c>
      <c r="E753" s="3384">
        <f t="shared" ca="1" si="89"/>
        <v>8401</v>
      </c>
      <c r="F753" s="3383">
        <f t="shared" ca="1" si="88"/>
        <v>14</v>
      </c>
    </row>
    <row r="754" spans="1:6">
      <c r="A754" s="3361"/>
      <c r="B754" s="2943" t="s">
        <v>3163</v>
      </c>
      <c r="C754" s="2941">
        <v>17.190000000000001</v>
      </c>
      <c r="D754" s="2961" t="s">
        <v>48</v>
      </c>
      <c r="E754" s="3384">
        <f t="shared" ca="1" si="89"/>
        <v>8401</v>
      </c>
      <c r="F754" s="3383">
        <f t="shared" ca="1" si="88"/>
        <v>14</v>
      </c>
    </row>
    <row r="755" spans="1:6">
      <c r="A755" s="3361"/>
      <c r="B755" s="2943" t="s">
        <v>3164</v>
      </c>
      <c r="C755" s="2941">
        <v>17.190000000000001</v>
      </c>
      <c r="D755" s="2961" t="s">
        <v>48</v>
      </c>
      <c r="E755" s="3384">
        <f t="shared" ca="1" si="89"/>
        <v>8401</v>
      </c>
      <c r="F755" s="3383">
        <f t="shared" ca="1" si="88"/>
        <v>14</v>
      </c>
    </row>
    <row r="756" spans="1:6">
      <c r="A756" s="3361"/>
      <c r="B756" s="2943" t="s">
        <v>3165</v>
      </c>
      <c r="C756" s="2941">
        <v>17.190000000000001</v>
      </c>
      <c r="D756" s="2961" t="s">
        <v>48</v>
      </c>
      <c r="E756" s="3384">
        <f t="shared" ca="1" si="89"/>
        <v>8401</v>
      </c>
      <c r="F756" s="3383">
        <f t="shared" ca="1" si="88"/>
        <v>14</v>
      </c>
    </row>
    <row r="757" spans="1:6">
      <c r="A757" s="3361"/>
      <c r="B757" s="2943" t="s">
        <v>3166</v>
      </c>
      <c r="C757" s="2941">
        <v>17.190000000000001</v>
      </c>
      <c r="D757" s="2961" t="s">
        <v>48</v>
      </c>
      <c r="E757" s="3384">
        <f t="shared" ca="1" si="89"/>
        <v>8401</v>
      </c>
      <c r="F757" s="3383">
        <f t="shared" ca="1" si="88"/>
        <v>14</v>
      </c>
    </row>
    <row r="758" spans="1:6">
      <c r="A758" s="3361"/>
      <c r="B758" s="2943" t="s">
        <v>3167</v>
      </c>
      <c r="C758" s="2941">
        <v>17.190000000000001</v>
      </c>
      <c r="D758" s="2961" t="s">
        <v>48</v>
      </c>
      <c r="E758" s="3384">
        <f t="shared" ca="1" si="89"/>
        <v>8401</v>
      </c>
      <c r="F758" s="3383">
        <f t="shared" ca="1" si="88"/>
        <v>14</v>
      </c>
    </row>
    <row r="759" spans="1:6">
      <c r="A759" s="3361"/>
      <c r="B759" s="2943" t="s">
        <v>3168</v>
      </c>
      <c r="C759" s="2941">
        <v>17.190000000000001</v>
      </c>
      <c r="D759" s="2961" t="s">
        <v>48</v>
      </c>
      <c r="E759" s="3384">
        <f t="shared" ca="1" si="89"/>
        <v>8401</v>
      </c>
      <c r="F759" s="3383">
        <f t="shared" ca="1" si="88"/>
        <v>14</v>
      </c>
    </row>
    <row r="760" spans="1:6">
      <c r="A760" s="3361"/>
      <c r="B760" s="2943" t="s">
        <v>3169</v>
      </c>
      <c r="C760" s="2941">
        <v>17.190000000000001</v>
      </c>
      <c r="D760" s="2961" t="s">
        <v>48</v>
      </c>
      <c r="E760" s="3384">
        <f t="shared" ca="1" si="89"/>
        <v>8401</v>
      </c>
      <c r="F760" s="3383">
        <f t="shared" ca="1" si="88"/>
        <v>14</v>
      </c>
    </row>
    <row r="761" spans="1:6">
      <c r="A761" s="3361"/>
      <c r="B761" s="2943" t="s">
        <v>3170</v>
      </c>
      <c r="C761" s="2941">
        <v>17.190000000000001</v>
      </c>
      <c r="D761" s="2961" t="s">
        <v>48</v>
      </c>
      <c r="E761" s="3384">
        <f t="shared" ca="1" si="89"/>
        <v>8401</v>
      </c>
      <c r="F761" s="3383">
        <f t="shared" ca="1" si="88"/>
        <v>14</v>
      </c>
    </row>
    <row r="762" spans="1:6">
      <c r="A762" s="3361"/>
      <c r="B762" s="2943" t="s">
        <v>3171</v>
      </c>
      <c r="C762" s="2941">
        <v>17.190000000000001</v>
      </c>
      <c r="D762" s="2961" t="s">
        <v>48</v>
      </c>
      <c r="E762" s="3384">
        <f t="shared" ca="1" si="89"/>
        <v>8401</v>
      </c>
      <c r="F762" s="3383">
        <f t="shared" ca="1" si="88"/>
        <v>14</v>
      </c>
    </row>
    <row r="763" spans="1:6">
      <c r="A763" s="3361"/>
      <c r="B763" s="2943" t="s">
        <v>3172</v>
      </c>
      <c r="C763" s="2941">
        <v>17.190000000000001</v>
      </c>
      <c r="D763" s="2961" t="s">
        <v>48</v>
      </c>
      <c r="E763" s="3384">
        <f t="shared" ca="1" si="89"/>
        <v>8401</v>
      </c>
      <c r="F763" s="3383">
        <f t="shared" ca="1" si="88"/>
        <v>14</v>
      </c>
    </row>
    <row r="764" spans="1:6">
      <c r="A764" s="3365" t="s">
        <v>40</v>
      </c>
      <c r="B764" s="3365"/>
      <c r="C764" s="2942">
        <f>SUM(C671:C763)</f>
        <v>1580.7000000000032</v>
      </c>
      <c r="D764" s="2962" t="s">
        <v>48</v>
      </c>
      <c r="E764" s="3384"/>
      <c r="F764" s="3383">
        <f ca="1">SUM(F671:F763)</f>
        <v>1290</v>
      </c>
    </row>
    <row r="765" spans="1:6">
      <c r="A765" s="3366" t="s">
        <v>3317</v>
      </c>
      <c r="B765" s="3366"/>
      <c r="C765" s="2947">
        <f>C764+C670</f>
        <v>1936.1800000000032</v>
      </c>
      <c r="D765" s="2948" t="s">
        <v>3318</v>
      </c>
      <c r="E765" s="3384"/>
      <c r="F765" s="3384">
        <f ca="1">F670+F764</f>
        <v>1835</v>
      </c>
    </row>
    <row r="766" spans="1:6">
      <c r="A766" s="2938" t="s">
        <v>3072</v>
      </c>
      <c r="B766" s="2938" t="s">
        <v>3073</v>
      </c>
      <c r="C766" s="2938" t="s">
        <v>3074</v>
      </c>
      <c r="D766" s="2938" t="s">
        <v>1375</v>
      </c>
      <c r="E766" s="3384"/>
      <c r="F766" s="3384"/>
    </row>
    <row r="767" spans="1:6">
      <c r="A767" s="3378" t="s">
        <v>3319</v>
      </c>
      <c r="B767" s="2960">
        <v>-115</v>
      </c>
      <c r="C767" s="2941">
        <v>72.650000000000006</v>
      </c>
      <c r="D767" s="2960" t="s">
        <v>1377</v>
      </c>
      <c r="E767" s="3384">
        <f ca="1">'结果表（商业）'!I118</f>
        <v>15313</v>
      </c>
      <c r="F767" s="3383">
        <f t="shared" ref="F767:F821" ca="1" si="90">ROUND(C767*E767/10000,0)</f>
        <v>111</v>
      </c>
    </row>
    <row r="768" spans="1:6" s="3386" customFormat="1">
      <c r="A768" s="3377"/>
      <c r="B768" s="3390">
        <v>-116</v>
      </c>
      <c r="C768" s="3391">
        <v>200.53</v>
      </c>
      <c r="D768" s="3390" t="s">
        <v>1377</v>
      </c>
      <c r="E768" s="3389">
        <f ca="1">ROUND(F768*10000/C768,0)</f>
        <v>15359</v>
      </c>
      <c r="F768" s="3389">
        <f ca="1">M35-M30</f>
        <v>308</v>
      </c>
    </row>
    <row r="769" spans="1:6">
      <c r="A769" s="3365" t="s">
        <v>40</v>
      </c>
      <c r="B769" s="3365"/>
      <c r="C769" s="2942">
        <f>SUM(C767:C768)</f>
        <v>273.18</v>
      </c>
      <c r="D769" s="2942" t="s">
        <v>1377</v>
      </c>
      <c r="E769" s="3384"/>
      <c r="F769" s="3384">
        <f ca="1">F767+F768</f>
        <v>419</v>
      </c>
    </row>
    <row r="770" spans="1:6">
      <c r="A770" s="3361" t="s">
        <v>3319</v>
      </c>
      <c r="B770" s="2943" t="s">
        <v>3079</v>
      </c>
      <c r="C770" s="2941">
        <v>16.73</v>
      </c>
      <c r="D770" s="2963" t="s">
        <v>48</v>
      </c>
      <c r="E770" s="3384">
        <f ca="1">'结果表（地下车库）'!I118</f>
        <v>8401</v>
      </c>
      <c r="F770" s="3383">
        <f t="shared" ca="1" si="90"/>
        <v>14</v>
      </c>
    </row>
    <row r="771" spans="1:6">
      <c r="A771" s="3361"/>
      <c r="B771" s="2943" t="s">
        <v>3080</v>
      </c>
      <c r="C771" s="2941">
        <v>18.3</v>
      </c>
      <c r="D771" s="2963" t="s">
        <v>48</v>
      </c>
      <c r="E771" s="3385">
        <f ca="1">E770</f>
        <v>8401</v>
      </c>
      <c r="F771" s="3383">
        <f t="shared" ca="1" si="90"/>
        <v>15</v>
      </c>
    </row>
    <row r="772" spans="1:6">
      <c r="A772" s="3361"/>
      <c r="B772" s="2943" t="s">
        <v>3081</v>
      </c>
      <c r="C772" s="2941">
        <v>18.3</v>
      </c>
      <c r="D772" s="2963" t="s">
        <v>48</v>
      </c>
      <c r="E772" s="3385">
        <f t="shared" ref="E772:E821" ca="1" si="91">E771</f>
        <v>8401</v>
      </c>
      <c r="F772" s="3383">
        <f t="shared" ca="1" si="90"/>
        <v>15</v>
      </c>
    </row>
    <row r="773" spans="1:6">
      <c r="A773" s="3361"/>
      <c r="B773" s="2943" t="s">
        <v>3082</v>
      </c>
      <c r="C773" s="2941">
        <v>18.3</v>
      </c>
      <c r="D773" s="2963" t="s">
        <v>48</v>
      </c>
      <c r="E773" s="3385">
        <f t="shared" ca="1" si="91"/>
        <v>8401</v>
      </c>
      <c r="F773" s="3383">
        <f t="shared" ca="1" si="90"/>
        <v>15</v>
      </c>
    </row>
    <row r="774" spans="1:6">
      <c r="A774" s="3361"/>
      <c r="B774" s="2943" t="s">
        <v>3085</v>
      </c>
      <c r="C774" s="2941">
        <v>54.91</v>
      </c>
      <c r="D774" s="2963" t="s">
        <v>48</v>
      </c>
      <c r="E774" s="3385">
        <f t="shared" ca="1" si="91"/>
        <v>8401</v>
      </c>
      <c r="F774" s="3383">
        <f t="shared" ca="1" si="90"/>
        <v>46</v>
      </c>
    </row>
    <row r="775" spans="1:6">
      <c r="A775" s="3361"/>
      <c r="B775" s="2943" t="s">
        <v>3086</v>
      </c>
      <c r="C775" s="2941">
        <v>16.73</v>
      </c>
      <c r="D775" s="2963" t="s">
        <v>48</v>
      </c>
      <c r="E775" s="3385">
        <f t="shared" ca="1" si="91"/>
        <v>8401</v>
      </c>
      <c r="F775" s="3383">
        <f t="shared" ca="1" si="90"/>
        <v>14</v>
      </c>
    </row>
    <row r="776" spans="1:6">
      <c r="A776" s="3361"/>
      <c r="B776" s="2943" t="s">
        <v>3087</v>
      </c>
      <c r="C776" s="2941">
        <v>16.73</v>
      </c>
      <c r="D776" s="2963" t="s">
        <v>48</v>
      </c>
      <c r="E776" s="3385">
        <f t="shared" ca="1" si="91"/>
        <v>8401</v>
      </c>
      <c r="F776" s="3383">
        <f t="shared" ca="1" si="90"/>
        <v>14</v>
      </c>
    </row>
    <row r="777" spans="1:6">
      <c r="A777" s="3361"/>
      <c r="B777" s="2943" t="s">
        <v>3088</v>
      </c>
      <c r="C777" s="2941">
        <v>16.73</v>
      </c>
      <c r="D777" s="2963" t="s">
        <v>48</v>
      </c>
      <c r="E777" s="3385">
        <f t="shared" ca="1" si="91"/>
        <v>8401</v>
      </c>
      <c r="F777" s="3383">
        <f t="shared" ca="1" si="90"/>
        <v>14</v>
      </c>
    </row>
    <row r="778" spans="1:6">
      <c r="A778" s="3361"/>
      <c r="B778" s="2943" t="s">
        <v>3089</v>
      </c>
      <c r="C778" s="2941">
        <v>16.73</v>
      </c>
      <c r="D778" s="2963" t="s">
        <v>48</v>
      </c>
      <c r="E778" s="3385">
        <f t="shared" ca="1" si="91"/>
        <v>8401</v>
      </c>
      <c r="F778" s="3383">
        <f t="shared" ca="1" si="90"/>
        <v>14</v>
      </c>
    </row>
    <row r="779" spans="1:6">
      <c r="A779" s="3361"/>
      <c r="B779" s="2943" t="s">
        <v>3090</v>
      </c>
      <c r="C779" s="2941">
        <v>13.02</v>
      </c>
      <c r="D779" s="2963" t="s">
        <v>48</v>
      </c>
      <c r="E779" s="3385">
        <f t="shared" ca="1" si="91"/>
        <v>8401</v>
      </c>
      <c r="F779" s="3383">
        <f t="shared" ca="1" si="90"/>
        <v>11</v>
      </c>
    </row>
    <row r="780" spans="1:6">
      <c r="A780" s="3361"/>
      <c r="B780" s="2943" t="s">
        <v>3091</v>
      </c>
      <c r="C780" s="2941">
        <v>13.02</v>
      </c>
      <c r="D780" s="2963" t="s">
        <v>48</v>
      </c>
      <c r="E780" s="3385">
        <f t="shared" ca="1" si="91"/>
        <v>8401</v>
      </c>
      <c r="F780" s="3383">
        <f t="shared" ca="1" si="90"/>
        <v>11</v>
      </c>
    </row>
    <row r="781" spans="1:6">
      <c r="A781" s="3361"/>
      <c r="B781" s="2943" t="s">
        <v>3092</v>
      </c>
      <c r="C781" s="2941">
        <v>16.73</v>
      </c>
      <c r="D781" s="2963" t="s">
        <v>48</v>
      </c>
      <c r="E781" s="3385">
        <f t="shared" ca="1" si="91"/>
        <v>8401</v>
      </c>
      <c r="F781" s="3383">
        <f t="shared" ca="1" si="90"/>
        <v>14</v>
      </c>
    </row>
    <row r="782" spans="1:6">
      <c r="A782" s="3361"/>
      <c r="B782" s="2943" t="s">
        <v>3093</v>
      </c>
      <c r="C782" s="2941">
        <v>16.73</v>
      </c>
      <c r="D782" s="2963" t="s">
        <v>48</v>
      </c>
      <c r="E782" s="3385">
        <f t="shared" ca="1" si="91"/>
        <v>8401</v>
      </c>
      <c r="F782" s="3383">
        <f t="shared" ca="1" si="90"/>
        <v>14</v>
      </c>
    </row>
    <row r="783" spans="1:6">
      <c r="A783" s="3361"/>
      <c r="B783" s="2943" t="s">
        <v>3094</v>
      </c>
      <c r="C783" s="2941">
        <v>13.02</v>
      </c>
      <c r="D783" s="2963" t="s">
        <v>48</v>
      </c>
      <c r="E783" s="3385">
        <f t="shared" ca="1" si="91"/>
        <v>8401</v>
      </c>
      <c r="F783" s="3383">
        <f t="shared" ca="1" si="90"/>
        <v>11</v>
      </c>
    </row>
    <row r="784" spans="1:6">
      <c r="A784" s="3361"/>
      <c r="B784" s="2943" t="s">
        <v>3095</v>
      </c>
      <c r="C784" s="2941">
        <v>54.91</v>
      </c>
      <c r="D784" s="2963" t="s">
        <v>48</v>
      </c>
      <c r="E784" s="3385">
        <f t="shared" ca="1" si="91"/>
        <v>8401</v>
      </c>
      <c r="F784" s="3383">
        <f t="shared" ca="1" si="90"/>
        <v>46</v>
      </c>
    </row>
    <row r="785" spans="1:6">
      <c r="A785" s="3361"/>
      <c r="B785" s="2943" t="s">
        <v>3096</v>
      </c>
      <c r="C785" s="2941">
        <v>54.91</v>
      </c>
      <c r="D785" s="2963" t="s">
        <v>48</v>
      </c>
      <c r="E785" s="3385">
        <f t="shared" ca="1" si="91"/>
        <v>8401</v>
      </c>
      <c r="F785" s="3383">
        <f t="shared" ca="1" si="90"/>
        <v>46</v>
      </c>
    </row>
    <row r="786" spans="1:6">
      <c r="A786" s="3361"/>
      <c r="B786" s="2943" t="s">
        <v>3097</v>
      </c>
      <c r="C786" s="2941">
        <v>54.91</v>
      </c>
      <c r="D786" s="2963" t="s">
        <v>48</v>
      </c>
      <c r="E786" s="3385">
        <f t="shared" ca="1" si="91"/>
        <v>8401</v>
      </c>
      <c r="F786" s="3383">
        <f t="shared" ca="1" si="90"/>
        <v>46</v>
      </c>
    </row>
    <row r="787" spans="1:6">
      <c r="A787" s="3361"/>
      <c r="B787" s="2943" t="s">
        <v>3098</v>
      </c>
      <c r="C787" s="2941">
        <v>18.3</v>
      </c>
      <c r="D787" s="2963" t="s">
        <v>48</v>
      </c>
      <c r="E787" s="3385">
        <f t="shared" ca="1" si="91"/>
        <v>8401</v>
      </c>
      <c r="F787" s="3383">
        <f t="shared" ca="1" si="90"/>
        <v>15</v>
      </c>
    </row>
    <row r="788" spans="1:6">
      <c r="A788" s="3361"/>
      <c r="B788" s="2943" t="s">
        <v>3099</v>
      </c>
      <c r="C788" s="2941">
        <v>18.3</v>
      </c>
      <c r="D788" s="2963" t="s">
        <v>48</v>
      </c>
      <c r="E788" s="3385">
        <f t="shared" ca="1" si="91"/>
        <v>8401</v>
      </c>
      <c r="F788" s="3383">
        <f t="shared" ca="1" si="90"/>
        <v>15</v>
      </c>
    </row>
    <row r="789" spans="1:6">
      <c r="A789" s="3361"/>
      <c r="B789" s="2943" t="s">
        <v>3100</v>
      </c>
      <c r="C789" s="2941">
        <v>54.91</v>
      </c>
      <c r="D789" s="2963" t="s">
        <v>48</v>
      </c>
      <c r="E789" s="3385">
        <f t="shared" ca="1" si="91"/>
        <v>8401</v>
      </c>
      <c r="F789" s="3383">
        <f t="shared" ca="1" si="90"/>
        <v>46</v>
      </c>
    </row>
    <row r="790" spans="1:6">
      <c r="A790" s="3361"/>
      <c r="B790" s="2943" t="s">
        <v>3101</v>
      </c>
      <c r="C790" s="2941">
        <v>54.91</v>
      </c>
      <c r="D790" s="2963" t="s">
        <v>48</v>
      </c>
      <c r="E790" s="3385">
        <f t="shared" ca="1" si="91"/>
        <v>8401</v>
      </c>
      <c r="F790" s="3383">
        <f t="shared" ca="1" si="90"/>
        <v>46</v>
      </c>
    </row>
    <row r="791" spans="1:6">
      <c r="A791" s="3361"/>
      <c r="B791" s="2943" t="s">
        <v>3102</v>
      </c>
      <c r="C791" s="2941">
        <v>54.91</v>
      </c>
      <c r="D791" s="2963" t="s">
        <v>48</v>
      </c>
      <c r="E791" s="3385">
        <f t="shared" ca="1" si="91"/>
        <v>8401</v>
      </c>
      <c r="F791" s="3383">
        <f t="shared" ca="1" si="90"/>
        <v>46</v>
      </c>
    </row>
    <row r="792" spans="1:6">
      <c r="A792" s="3361"/>
      <c r="B792" s="2943" t="s">
        <v>3103</v>
      </c>
      <c r="C792" s="2941">
        <v>18.3</v>
      </c>
      <c r="D792" s="2963" t="s">
        <v>48</v>
      </c>
      <c r="E792" s="3385">
        <f t="shared" ca="1" si="91"/>
        <v>8401</v>
      </c>
      <c r="F792" s="3383">
        <f t="shared" ca="1" si="90"/>
        <v>15</v>
      </c>
    </row>
    <row r="793" spans="1:6">
      <c r="A793" s="3361"/>
      <c r="B793" s="2943" t="s">
        <v>3104</v>
      </c>
      <c r="C793" s="2941">
        <v>54.91</v>
      </c>
      <c r="D793" s="2963" t="s">
        <v>48</v>
      </c>
      <c r="E793" s="3385">
        <f t="shared" ca="1" si="91"/>
        <v>8401</v>
      </c>
      <c r="F793" s="3383">
        <f t="shared" ca="1" si="90"/>
        <v>46</v>
      </c>
    </row>
    <row r="794" spans="1:6">
      <c r="A794" s="3361"/>
      <c r="B794" s="2943" t="s">
        <v>3105</v>
      </c>
      <c r="C794" s="2941">
        <v>54.91</v>
      </c>
      <c r="D794" s="2963" t="s">
        <v>48</v>
      </c>
      <c r="E794" s="3385">
        <f t="shared" ca="1" si="91"/>
        <v>8401</v>
      </c>
      <c r="F794" s="3383">
        <f t="shared" ca="1" si="90"/>
        <v>46</v>
      </c>
    </row>
    <row r="795" spans="1:6">
      <c r="A795" s="3361"/>
      <c r="B795" s="2943" t="s">
        <v>3106</v>
      </c>
      <c r="C795" s="2941">
        <v>18.3</v>
      </c>
      <c r="D795" s="2963" t="s">
        <v>48</v>
      </c>
      <c r="E795" s="3385">
        <f t="shared" ca="1" si="91"/>
        <v>8401</v>
      </c>
      <c r="F795" s="3383">
        <f t="shared" ca="1" si="90"/>
        <v>15</v>
      </c>
    </row>
    <row r="796" spans="1:6">
      <c r="A796" s="3361"/>
      <c r="B796" s="2943" t="s">
        <v>3107</v>
      </c>
      <c r="C796" s="2941">
        <v>18.3</v>
      </c>
      <c r="D796" s="2963" t="s">
        <v>48</v>
      </c>
      <c r="E796" s="3385">
        <f t="shared" ca="1" si="91"/>
        <v>8401</v>
      </c>
      <c r="F796" s="3383">
        <f t="shared" ca="1" si="90"/>
        <v>15</v>
      </c>
    </row>
    <row r="797" spans="1:6">
      <c r="A797" s="3361"/>
      <c r="B797" s="2943" t="s">
        <v>3108</v>
      </c>
      <c r="C797" s="2941">
        <v>54.91</v>
      </c>
      <c r="D797" s="2963" t="s">
        <v>48</v>
      </c>
      <c r="E797" s="3385">
        <f t="shared" ca="1" si="91"/>
        <v>8401</v>
      </c>
      <c r="F797" s="3383">
        <f t="shared" ca="1" si="90"/>
        <v>46</v>
      </c>
    </row>
    <row r="798" spans="1:6">
      <c r="A798" s="3361"/>
      <c r="B798" s="2943" t="s">
        <v>3109</v>
      </c>
      <c r="C798" s="2941">
        <v>54.91</v>
      </c>
      <c r="D798" s="2963" t="s">
        <v>48</v>
      </c>
      <c r="E798" s="3385">
        <f t="shared" ca="1" si="91"/>
        <v>8401</v>
      </c>
      <c r="F798" s="3383">
        <f t="shared" ca="1" si="90"/>
        <v>46</v>
      </c>
    </row>
    <row r="799" spans="1:6">
      <c r="A799" s="3361"/>
      <c r="B799" s="2943" t="s">
        <v>3110</v>
      </c>
      <c r="C799" s="2941">
        <v>54.91</v>
      </c>
      <c r="D799" s="2963" t="s">
        <v>48</v>
      </c>
      <c r="E799" s="3385">
        <f t="shared" ca="1" si="91"/>
        <v>8401</v>
      </c>
      <c r="F799" s="3383">
        <f t="shared" ca="1" si="90"/>
        <v>46</v>
      </c>
    </row>
    <row r="800" spans="1:6">
      <c r="A800" s="3361"/>
      <c r="B800" s="2943" t="s">
        <v>3111</v>
      </c>
      <c r="C800" s="2941">
        <v>54.91</v>
      </c>
      <c r="D800" s="2963" t="s">
        <v>48</v>
      </c>
      <c r="E800" s="3385">
        <f t="shared" ca="1" si="91"/>
        <v>8401</v>
      </c>
      <c r="F800" s="3383">
        <f t="shared" ca="1" si="90"/>
        <v>46</v>
      </c>
    </row>
    <row r="801" spans="1:6">
      <c r="A801" s="3361"/>
      <c r="B801" s="2943" t="s">
        <v>3112</v>
      </c>
      <c r="C801" s="2941">
        <v>54.91</v>
      </c>
      <c r="D801" s="2963" t="s">
        <v>48</v>
      </c>
      <c r="E801" s="3385">
        <f t="shared" ca="1" si="91"/>
        <v>8401</v>
      </c>
      <c r="F801" s="3383">
        <f t="shared" ca="1" si="90"/>
        <v>46</v>
      </c>
    </row>
    <row r="802" spans="1:6">
      <c r="A802" s="3361"/>
      <c r="B802" s="2943" t="s">
        <v>3113</v>
      </c>
      <c r="C802" s="2941">
        <v>18.3</v>
      </c>
      <c r="D802" s="2963" t="s">
        <v>48</v>
      </c>
      <c r="E802" s="3385">
        <f t="shared" ca="1" si="91"/>
        <v>8401</v>
      </c>
      <c r="F802" s="3383">
        <f t="shared" ca="1" si="90"/>
        <v>15</v>
      </c>
    </row>
    <row r="803" spans="1:6">
      <c r="A803" s="3361"/>
      <c r="B803" s="2943" t="s">
        <v>3114</v>
      </c>
      <c r="C803" s="2941">
        <v>18.3</v>
      </c>
      <c r="D803" s="2963" t="s">
        <v>48</v>
      </c>
      <c r="E803" s="3385">
        <f t="shared" ca="1" si="91"/>
        <v>8401</v>
      </c>
      <c r="F803" s="3383">
        <f t="shared" ca="1" si="90"/>
        <v>15</v>
      </c>
    </row>
    <row r="804" spans="1:6">
      <c r="A804" s="3361"/>
      <c r="B804" s="2943" t="s">
        <v>3115</v>
      </c>
      <c r="C804" s="2941">
        <v>18.3</v>
      </c>
      <c r="D804" s="2963" t="s">
        <v>48</v>
      </c>
      <c r="E804" s="3385">
        <f t="shared" ca="1" si="91"/>
        <v>8401</v>
      </c>
      <c r="F804" s="3383">
        <f t="shared" ca="1" si="90"/>
        <v>15</v>
      </c>
    </row>
    <row r="805" spans="1:6">
      <c r="A805" s="3361"/>
      <c r="B805" s="2943" t="s">
        <v>3116</v>
      </c>
      <c r="C805" s="2941">
        <v>54.91</v>
      </c>
      <c r="D805" s="2963" t="s">
        <v>48</v>
      </c>
      <c r="E805" s="3385">
        <f t="shared" ca="1" si="91"/>
        <v>8401</v>
      </c>
      <c r="F805" s="3383">
        <f t="shared" ca="1" si="90"/>
        <v>46</v>
      </c>
    </row>
    <row r="806" spans="1:6">
      <c r="A806" s="3361"/>
      <c r="B806" s="2943" t="s">
        <v>3117</v>
      </c>
      <c r="C806" s="2941">
        <v>54.91</v>
      </c>
      <c r="D806" s="2963" t="s">
        <v>48</v>
      </c>
      <c r="E806" s="3385">
        <f t="shared" ca="1" si="91"/>
        <v>8401</v>
      </c>
      <c r="F806" s="3383">
        <f t="shared" ca="1" si="90"/>
        <v>46</v>
      </c>
    </row>
    <row r="807" spans="1:6">
      <c r="A807" s="3361"/>
      <c r="B807" s="2943" t="s">
        <v>3118</v>
      </c>
      <c r="C807" s="2941">
        <v>18.3</v>
      </c>
      <c r="D807" s="2963" t="s">
        <v>48</v>
      </c>
      <c r="E807" s="3385">
        <f t="shared" ca="1" si="91"/>
        <v>8401</v>
      </c>
      <c r="F807" s="3383">
        <f t="shared" ca="1" si="90"/>
        <v>15</v>
      </c>
    </row>
    <row r="808" spans="1:6">
      <c r="A808" s="3361"/>
      <c r="B808" s="2943" t="s">
        <v>3119</v>
      </c>
      <c r="C808" s="2941">
        <v>54.91</v>
      </c>
      <c r="D808" s="2963" t="s">
        <v>48</v>
      </c>
      <c r="E808" s="3385">
        <f t="shared" ca="1" si="91"/>
        <v>8401</v>
      </c>
      <c r="F808" s="3383">
        <f t="shared" ca="1" si="90"/>
        <v>46</v>
      </c>
    </row>
    <row r="809" spans="1:6">
      <c r="A809" s="3361"/>
      <c r="B809" s="2943" t="s">
        <v>3120</v>
      </c>
      <c r="C809" s="2941">
        <v>54.91</v>
      </c>
      <c r="D809" s="2963" t="s">
        <v>48</v>
      </c>
      <c r="E809" s="3385">
        <f t="shared" ca="1" si="91"/>
        <v>8401</v>
      </c>
      <c r="F809" s="3383">
        <f t="shared" ca="1" si="90"/>
        <v>46</v>
      </c>
    </row>
    <row r="810" spans="1:6">
      <c r="A810" s="3361"/>
      <c r="B810" s="2943" t="s">
        <v>3121</v>
      </c>
      <c r="C810" s="2941">
        <v>54.91</v>
      </c>
      <c r="D810" s="2963" t="s">
        <v>48</v>
      </c>
      <c r="E810" s="3385">
        <f t="shared" ca="1" si="91"/>
        <v>8401</v>
      </c>
      <c r="F810" s="3383">
        <f t="shared" ca="1" si="90"/>
        <v>46</v>
      </c>
    </row>
    <row r="811" spans="1:6">
      <c r="A811" s="3361"/>
      <c r="B811" s="2943" t="s">
        <v>3122</v>
      </c>
      <c r="C811" s="2941">
        <v>18.3</v>
      </c>
      <c r="D811" s="2963" t="s">
        <v>48</v>
      </c>
      <c r="E811" s="3385">
        <f t="shared" ca="1" si="91"/>
        <v>8401</v>
      </c>
      <c r="F811" s="3383">
        <f t="shared" ca="1" si="90"/>
        <v>15</v>
      </c>
    </row>
    <row r="812" spans="1:6">
      <c r="A812" s="3361"/>
      <c r="B812" s="2943" t="s">
        <v>3123</v>
      </c>
      <c r="C812" s="2941">
        <v>54.91</v>
      </c>
      <c r="D812" s="2963" t="s">
        <v>48</v>
      </c>
      <c r="E812" s="3385">
        <f t="shared" ca="1" si="91"/>
        <v>8401</v>
      </c>
      <c r="F812" s="3383">
        <f t="shared" ca="1" si="90"/>
        <v>46</v>
      </c>
    </row>
    <row r="813" spans="1:6">
      <c r="A813" s="3361"/>
      <c r="B813" s="2943" t="s">
        <v>3124</v>
      </c>
      <c r="C813" s="2941">
        <v>54.91</v>
      </c>
      <c r="D813" s="2963" t="s">
        <v>48</v>
      </c>
      <c r="E813" s="3385">
        <f t="shared" ca="1" si="91"/>
        <v>8401</v>
      </c>
      <c r="F813" s="3383">
        <f t="shared" ca="1" si="90"/>
        <v>46</v>
      </c>
    </row>
    <row r="814" spans="1:6">
      <c r="A814" s="3361"/>
      <c r="B814" s="2943" t="s">
        <v>3125</v>
      </c>
      <c r="C814" s="2941">
        <v>54.91</v>
      </c>
      <c r="D814" s="2963" t="s">
        <v>48</v>
      </c>
      <c r="E814" s="3385">
        <f t="shared" ca="1" si="91"/>
        <v>8401</v>
      </c>
      <c r="F814" s="3383">
        <f t="shared" ca="1" si="90"/>
        <v>46</v>
      </c>
    </row>
    <row r="815" spans="1:6">
      <c r="A815" s="3361"/>
      <c r="B815" s="2943" t="s">
        <v>3126</v>
      </c>
      <c r="C815" s="2941">
        <v>54.91</v>
      </c>
      <c r="D815" s="2963" t="s">
        <v>48</v>
      </c>
      <c r="E815" s="3385">
        <f t="shared" ca="1" si="91"/>
        <v>8401</v>
      </c>
      <c r="F815" s="3383">
        <f t="shared" ca="1" si="90"/>
        <v>46</v>
      </c>
    </row>
    <row r="816" spans="1:6">
      <c r="A816" s="3361"/>
      <c r="B816" s="2943" t="s">
        <v>3127</v>
      </c>
      <c r="C816" s="2941">
        <v>54.91</v>
      </c>
      <c r="D816" s="2963" t="s">
        <v>48</v>
      </c>
      <c r="E816" s="3385">
        <f t="shared" ca="1" si="91"/>
        <v>8401</v>
      </c>
      <c r="F816" s="3383">
        <f t="shared" ca="1" si="90"/>
        <v>46</v>
      </c>
    </row>
    <row r="817" spans="1:6">
      <c r="A817" s="3361"/>
      <c r="B817" s="2943" t="s">
        <v>3128</v>
      </c>
      <c r="C817" s="2941">
        <v>18.3</v>
      </c>
      <c r="D817" s="2963" t="s">
        <v>48</v>
      </c>
      <c r="E817" s="3385">
        <f t="shared" ca="1" si="91"/>
        <v>8401</v>
      </c>
      <c r="F817" s="3383">
        <f t="shared" ca="1" si="90"/>
        <v>15</v>
      </c>
    </row>
    <row r="818" spans="1:6">
      <c r="A818" s="3361"/>
      <c r="B818" s="2943" t="s">
        <v>3129</v>
      </c>
      <c r="C818" s="2941">
        <v>18.3</v>
      </c>
      <c r="D818" s="2963" t="s">
        <v>48</v>
      </c>
      <c r="E818" s="3385">
        <f t="shared" ca="1" si="91"/>
        <v>8401</v>
      </c>
      <c r="F818" s="3383">
        <f t="shared" ca="1" si="90"/>
        <v>15</v>
      </c>
    </row>
    <row r="819" spans="1:6">
      <c r="A819" s="3361"/>
      <c r="B819" s="2943" t="s">
        <v>3130</v>
      </c>
      <c r="C819" s="2941">
        <v>18.3</v>
      </c>
      <c r="D819" s="2963" t="s">
        <v>48</v>
      </c>
      <c r="E819" s="3385">
        <f t="shared" ca="1" si="91"/>
        <v>8401</v>
      </c>
      <c r="F819" s="3383">
        <f t="shared" ca="1" si="90"/>
        <v>15</v>
      </c>
    </row>
    <row r="820" spans="1:6">
      <c r="A820" s="3361"/>
      <c r="B820" s="2943" t="s">
        <v>3131</v>
      </c>
      <c r="C820" s="2941">
        <v>179.22</v>
      </c>
      <c r="D820" s="2963" t="s">
        <v>48</v>
      </c>
      <c r="E820" s="3385">
        <f t="shared" ca="1" si="91"/>
        <v>8401</v>
      </c>
      <c r="F820" s="3383">
        <f t="shared" ca="1" si="90"/>
        <v>151</v>
      </c>
    </row>
    <row r="821" spans="1:6" s="3386" customFormat="1">
      <c r="A821" s="3361"/>
      <c r="B821" s="3392" t="s">
        <v>3132</v>
      </c>
      <c r="C821" s="3391">
        <v>159.38999999999999</v>
      </c>
      <c r="D821" s="3393" t="s">
        <v>48</v>
      </c>
      <c r="E821" s="3394">
        <f ca="1">ROUND(F821*10000/C821,0)</f>
        <v>8972</v>
      </c>
      <c r="F821" s="3389">
        <f ca="1">N35-N30</f>
        <v>143</v>
      </c>
    </row>
    <row r="822" spans="1:6">
      <c r="A822" s="3365" t="s">
        <v>40</v>
      </c>
      <c r="B822" s="3365"/>
      <c r="C822" s="2942">
        <f>SUM(C770:C821)</f>
        <v>2105.42</v>
      </c>
      <c r="D822" s="2964" t="s">
        <v>48</v>
      </c>
      <c r="E822" s="3384"/>
      <c r="F822" s="3383">
        <f ca="1">SUM(F770:F821)</f>
        <v>1769</v>
      </c>
    </row>
    <row r="823" spans="1:6">
      <c r="A823" s="3366" t="s">
        <v>3261</v>
      </c>
      <c r="B823" s="3366"/>
      <c r="C823" s="2947">
        <f>C822+C769</f>
        <v>2378.6</v>
      </c>
      <c r="D823" s="2948" t="s">
        <v>3320</v>
      </c>
      <c r="E823" s="3384"/>
      <c r="F823" s="3384">
        <f ca="1">F769+F822</f>
        <v>2188</v>
      </c>
    </row>
    <row r="825" spans="1:6">
      <c r="F825" s="1631">
        <f ca="1">F26+F68+F97+F299+F373+F416+F478+F534+F579+F666+F765+F823</f>
        <v>171537</v>
      </c>
    </row>
    <row r="828" spans="1:6">
      <c r="F828" s="1631">
        <f>C118+C774+C784+C785+C786+C789+C790+C791+C793+C794+C797+C798+C799+C800+C801+C805+C806+C808+C809+C810+C812+C813+C814+C815+C816+C820+C821</f>
        <v>1712.6100000000001</v>
      </c>
    </row>
  </sheetData>
  <autoFilter ref="A2:L823"/>
  <mergeCells count="38">
    <mergeCell ref="A668:A669"/>
    <mergeCell ref="A767:A768"/>
    <mergeCell ref="A581:A582"/>
    <mergeCell ref="A536:A578"/>
    <mergeCell ref="A822:B822"/>
    <mergeCell ref="A823:B823"/>
    <mergeCell ref="A670:B670"/>
    <mergeCell ref="A671:A763"/>
    <mergeCell ref="A764:B764"/>
    <mergeCell ref="A765:B765"/>
    <mergeCell ref="A769:B769"/>
    <mergeCell ref="A770:A821"/>
    <mergeCell ref="A666:B666"/>
    <mergeCell ref="A298:B298"/>
    <mergeCell ref="A299:B299"/>
    <mergeCell ref="A373:B373"/>
    <mergeCell ref="A416:B416"/>
    <mergeCell ref="A417:B417"/>
    <mergeCell ref="A478:B478"/>
    <mergeCell ref="A534:B534"/>
    <mergeCell ref="A579:B579"/>
    <mergeCell ref="A583:B583"/>
    <mergeCell ref="A584:A664"/>
    <mergeCell ref="A665:B665"/>
    <mergeCell ref="A301:A372"/>
    <mergeCell ref="A374:A415"/>
    <mergeCell ref="A419:A477"/>
    <mergeCell ref="A480:A533"/>
    <mergeCell ref="A116:A297"/>
    <mergeCell ref="A1:D1"/>
    <mergeCell ref="A26:B26"/>
    <mergeCell ref="A68:B68"/>
    <mergeCell ref="A97:B97"/>
    <mergeCell ref="A115:B115"/>
    <mergeCell ref="A3:A25"/>
    <mergeCell ref="A27:A67"/>
    <mergeCell ref="A69:A96"/>
    <mergeCell ref="A98:A114"/>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58276</v>
      </c>
      <c r="C2" s="2" t="s">
        <v>133</v>
      </c>
      <c r="D2" s="242"/>
      <c r="E2" s="242"/>
      <c r="F2" s="242"/>
      <c r="G2" s="242"/>
    </row>
    <row r="3" spans="1:7" s="243" customFormat="1" ht="18" customHeight="1" thickBot="1">
      <c r="A3" s="246" t="s">
        <v>85</v>
      </c>
      <c r="B3" s="247">
        <f ca="1">ROUND(B2*10000/'数据-汇总表'!E3,0)</f>
        <v>12094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1148</v>
      </c>
    </row>
    <row r="9" spans="1:7" s="257" customFormat="1" ht="13.5" customHeight="1">
      <c r="A9" s="946" t="s">
        <v>800</v>
      </c>
      <c r="B9" s="267" t="s">
        <v>93</v>
      </c>
      <c r="C9" s="268">
        <f>ROUND(D9*E9/10000,0)</f>
        <v>0</v>
      </c>
      <c r="D9" s="1028">
        <f>'数据-汇总表'!E5</f>
        <v>0</v>
      </c>
      <c r="E9" s="268">
        <f>'数据-取费表'!B27</f>
        <v>0</v>
      </c>
      <c r="F9" s="264"/>
      <c r="G9" s="269"/>
    </row>
    <row r="10" spans="1:7" s="257" customFormat="1" ht="13.5" customHeight="1">
      <c r="A10" s="946" t="s">
        <v>801</v>
      </c>
      <c r="B10" s="267" t="s">
        <v>94</v>
      </c>
      <c r="C10" s="268">
        <f>ROUND(D10*E10/10000,0)</f>
        <v>964</v>
      </c>
      <c r="D10" s="1028">
        <f>'数据-汇总表'!E6</f>
        <v>48185.319999999992</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1055</v>
      </c>
      <c r="B19" s="253" t="s">
        <v>111</v>
      </c>
      <c r="C19" s="254">
        <f>IF(G19="已包含在土地取得成本中","0",ROUND(D19*E19/10000,0))</f>
        <v>964</v>
      </c>
      <c r="D19" s="1032">
        <f>'数据-汇总表'!E3</f>
        <v>48185.319999999992</v>
      </c>
      <c r="E19" s="254">
        <f>'数据-取费表'!B31</f>
        <v>200</v>
      </c>
      <c r="F19" s="274"/>
      <c r="G19" s="1" t="s">
        <v>1074</v>
      </c>
    </row>
    <row r="20" spans="1:7" s="257" customFormat="1" ht="13.5" customHeight="1">
      <c r="A20" s="944" t="s">
        <v>1057</v>
      </c>
      <c r="B20" s="253" t="s">
        <v>104</v>
      </c>
      <c r="C20" s="275">
        <f>ROUND((C5+C19)*F20,0)</f>
        <v>431</v>
      </c>
      <c r="D20" s="275"/>
      <c r="E20" s="275"/>
      <c r="F20" s="276">
        <f>'数据-取费表'!B37</f>
        <v>0.02</v>
      </c>
      <c r="G20" s="1285" t="s">
        <v>1068</v>
      </c>
    </row>
    <row r="21" spans="1:7" s="257" customFormat="1" ht="13.5" customHeight="1">
      <c r="A21" s="944" t="s">
        <v>1059</v>
      </c>
      <c r="B21" s="253" t="s">
        <v>105</v>
      </c>
      <c r="C21" s="278">
        <f>F21</f>
        <v>0.02</v>
      </c>
      <c r="D21" s="279" t="s">
        <v>126</v>
      </c>
      <c r="E21" s="275"/>
      <c r="F21" s="276">
        <f>'数据-取费表'!B38</f>
        <v>0.02</v>
      </c>
      <c r="G21" s="277" t="s">
        <v>106</v>
      </c>
    </row>
    <row r="22" spans="1:7" s="257" customFormat="1" ht="13.5" customHeight="1">
      <c r="A22" s="944" t="s">
        <v>786</v>
      </c>
      <c r="B22" s="253" t="s">
        <v>107</v>
      </c>
      <c r="C22" s="1350">
        <f ca="1">ROUND(SUM(C23:C25),0)</f>
        <v>3254</v>
      </c>
      <c r="D22" s="278">
        <f ca="1">C26</f>
        <v>1.4E-3</v>
      </c>
      <c r="E22" s="279" t="s">
        <v>126</v>
      </c>
      <c r="F22" s="280">
        <f ca="1">'数据-取费表'!B40</f>
        <v>4.7500000000000001E-2</v>
      </c>
      <c r="G22" s="1285" t="str">
        <f>IF('数据-取费表'!B22&lt;=1,"单利计息","复利计息")</f>
        <v>复利计息</v>
      </c>
    </row>
    <row r="23" spans="1:7" s="257" customFormat="1" ht="13.5" customHeight="1">
      <c r="A23" s="947" t="s">
        <v>794</v>
      </c>
      <c r="B23" s="258" t="s">
        <v>1061</v>
      </c>
      <c r="C23" s="1351">
        <f ca="1">ROUND(IF('数据-取费表'!B22&lt;=1,C5*F22*'数据-取费表'!B23,C5*(POWER((1+F22),'数据-取费表'!B23)-1)),0)</f>
        <v>3079</v>
      </c>
      <c r="D23" s="281"/>
      <c r="E23" s="281"/>
      <c r="F23" s="282"/>
      <c r="G23" s="283" t="s">
        <v>108</v>
      </c>
    </row>
    <row r="24" spans="1:7" s="257" customFormat="1" ht="13.5" customHeight="1">
      <c r="A24" s="947" t="s">
        <v>792</v>
      </c>
      <c r="B24" s="258" t="s">
        <v>1056</v>
      </c>
      <c r="C24" s="1351">
        <f ca="1">ROUND(IF('数据-取费表'!B22&lt;=1,C19*F22*('数据-取费表'!B19/2+'数据-取费表'!B21),C19*(POWER((1+F22),('数据-取费表'!B19/2+'数据-取费表'!B21))-1)),0)</f>
        <v>144</v>
      </c>
      <c r="D24" s="281"/>
      <c r="E24" s="281"/>
      <c r="F24" s="282"/>
      <c r="G24" s="283" t="s">
        <v>109</v>
      </c>
    </row>
    <row r="25" spans="1:7" s="257" customFormat="1" ht="24">
      <c r="A25" s="947" t="s">
        <v>793</v>
      </c>
      <c r="B25" s="258" t="s">
        <v>1058</v>
      </c>
      <c r="C25" s="1351">
        <f ca="1">ROUND(IF('数据-取费表'!B22&lt;=1,C20*F22*'数据-取费表'!B23/2,C20*(POWER((1+F22),'数据-取费表'!B23/2)-1)),0)</f>
        <v>31</v>
      </c>
      <c r="D25" s="281"/>
      <c r="E25" s="284"/>
      <c r="F25" s="282"/>
      <c r="G25" s="285" t="s">
        <v>110</v>
      </c>
    </row>
    <row r="26" spans="1:7" s="257" customFormat="1">
      <c r="A26" s="947" t="s">
        <v>795</v>
      </c>
      <c r="B26" s="258" t="s">
        <v>1060</v>
      </c>
      <c r="C26" s="281">
        <f ca="1">ROUND(IF('数据-取费表'!B22&lt;=1,F21*F22*'数据-取费表'!B23/2,F21*(POWER((1+F22),'数据-取费表'!B23/2)-1)),4)</f>
        <v>1.4E-3</v>
      </c>
      <c r="D26" s="281"/>
      <c r="E26" s="284"/>
      <c r="F26" s="282"/>
      <c r="G26" s="286"/>
    </row>
    <row r="27" spans="1:7" s="257" customFormat="1" ht="24.75">
      <c r="A27" s="944" t="s">
        <v>787</v>
      </c>
      <c r="B27" s="287" t="s">
        <v>112</v>
      </c>
      <c r="C27" s="288">
        <f>C28</f>
        <v>3961</v>
      </c>
      <c r="D27" s="278">
        <f>C29</f>
        <v>3.5999999999999999E-3</v>
      </c>
      <c r="E27" s="279" t="s">
        <v>126</v>
      </c>
      <c r="F27" s="289">
        <f>'数据-取费表'!Q16</f>
        <v>0.18</v>
      </c>
      <c r="G27" s="290" t="s">
        <v>1069</v>
      </c>
    </row>
    <row r="28" spans="1:7" s="257" customFormat="1" ht="13.5" customHeight="1">
      <c r="A28" s="947" t="s">
        <v>794</v>
      </c>
      <c r="B28" s="291" t="s">
        <v>1062</v>
      </c>
      <c r="C28" s="292">
        <f>ROUND((C5+C19+C20)*F27*'数据-取费表'!B21/'数据-取费表'!B20,0)</f>
        <v>3961</v>
      </c>
      <c r="D28" s="278"/>
      <c r="E28" s="279"/>
      <c r="F28" s="289"/>
      <c r="G28" s="290"/>
    </row>
    <row r="29" spans="1:7" s="257" customFormat="1" ht="13.5" customHeight="1">
      <c r="A29" s="947" t="s">
        <v>792</v>
      </c>
      <c r="B29" s="291" t="s">
        <v>1063</v>
      </c>
      <c r="C29" s="281">
        <f>ROUND(C21*F27*'数据-取费表'!B21/'数据-取费表'!B20,4)</f>
        <v>3.5999999999999999E-3</v>
      </c>
      <c r="D29" s="278"/>
      <c r="E29" s="279"/>
      <c r="F29" s="289"/>
      <c r="G29" s="290"/>
    </row>
    <row r="30" spans="1:7" s="257" customFormat="1" ht="13.5" customHeight="1">
      <c r="A30" s="944"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31671</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19612</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17845</v>
      </c>
      <c r="D34" s="260"/>
      <c r="E34" s="263"/>
      <c r="F34" s="300">
        <f>IF('数据-取费表'!B24=0,1,'数据-取费表'!N16)</f>
        <v>1</v>
      </c>
      <c r="G34" s="262" t="s">
        <v>116</v>
      </c>
    </row>
    <row r="35" spans="1:7" ht="13.5" customHeight="1">
      <c r="A35" s="947" t="s">
        <v>796</v>
      </c>
      <c r="B35" s="258" t="s">
        <v>60</v>
      </c>
      <c r="C35" s="263">
        <f>ROUND(C34*F35,0)</f>
        <v>535</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7" t="s">
        <v>798</v>
      </c>
      <c r="B37" s="258" t="s">
        <v>118</v>
      </c>
      <c r="C37" s="292">
        <f>ROUND(E37*D37*F34/10000,0)</f>
        <v>964</v>
      </c>
      <c r="D37" s="260">
        <f>'数据-汇总表'!E3</f>
        <v>48185.319999999992</v>
      </c>
      <c r="E37" s="292">
        <f>'数据-取费表'!B35</f>
        <v>200</v>
      </c>
      <c r="F37" s="302"/>
      <c r="G37" s="304" t="s">
        <v>119</v>
      </c>
    </row>
    <row r="38" spans="1:7" ht="13.5" customHeight="1">
      <c r="A38" s="947" t="s">
        <v>799</v>
      </c>
      <c r="B38" s="258" t="s">
        <v>63</v>
      </c>
      <c r="C38" s="263">
        <f>ROUND(C34*F38,0)</f>
        <v>268</v>
      </c>
      <c r="D38" s="263"/>
      <c r="E38" s="263"/>
      <c r="F38" s="302">
        <f>'数据-取费表'!B36</f>
        <v>1.4999999999999999E-2</v>
      </c>
      <c r="G38" s="262" t="s">
        <v>117</v>
      </c>
    </row>
    <row r="39" spans="1:7" s="257" customFormat="1" ht="13.5" customHeight="1">
      <c r="A39" s="944" t="s">
        <v>783</v>
      </c>
      <c r="B39" s="253" t="s">
        <v>104</v>
      </c>
      <c r="C39" s="275">
        <f>ROUND(C33*F20,0)</f>
        <v>392</v>
      </c>
      <c r="D39" s="275"/>
      <c r="E39" s="275"/>
      <c r="F39" s="276"/>
      <c r="G39" s="1285" t="s">
        <v>1071</v>
      </c>
    </row>
    <row r="40" spans="1:7" s="257" customFormat="1" ht="13.5" customHeight="1">
      <c r="A40" s="944" t="s">
        <v>784</v>
      </c>
      <c r="B40" s="253" t="s">
        <v>105</v>
      </c>
      <c r="C40" s="305">
        <f>F21</f>
        <v>0.02</v>
      </c>
      <c r="D40" s="279" t="s">
        <v>129</v>
      </c>
      <c r="E40" s="275"/>
      <c r="F40" s="276"/>
      <c r="G40" s="277" t="s">
        <v>120</v>
      </c>
    </row>
    <row r="41" spans="1:7" s="257" customFormat="1" ht="13.5" customHeight="1">
      <c r="A41" s="944" t="s">
        <v>785</v>
      </c>
      <c r="B41" s="253" t="s">
        <v>107</v>
      </c>
      <c r="C41" s="275">
        <f ca="1">ROUND(SUM(C42:C43),0)</f>
        <v>1442</v>
      </c>
      <c r="D41" s="278">
        <f ca="1">C44</f>
        <v>1.4E-3</v>
      </c>
      <c r="E41" s="279" t="s">
        <v>129</v>
      </c>
      <c r="F41" s="280"/>
      <c r="G41" s="1285" t="str">
        <f>IF('数据-取费表'!B22&lt;=1,"单利计息","复利计息")</f>
        <v>复利计息</v>
      </c>
    </row>
    <row r="42" spans="1:7" ht="13.5" customHeight="1">
      <c r="A42" s="947" t="s">
        <v>794</v>
      </c>
      <c r="B42" s="258" t="s">
        <v>1061</v>
      </c>
      <c r="C42" s="281">
        <f ca="1">ROUND(IF('数据-取费表'!B22&lt;=1,C33*F22*'数据-取费表'!B21/2,C33*(POWER((1+F22),'数据-取费表'!B21/2)-1)),0)</f>
        <v>1414</v>
      </c>
      <c r="D42" s="281"/>
      <c r="E42" s="281"/>
      <c r="F42" s="282"/>
      <c r="G42" s="3224" t="s">
        <v>121</v>
      </c>
    </row>
    <row r="43" spans="1:7" ht="13.5" customHeight="1">
      <c r="A43" s="947" t="s">
        <v>792</v>
      </c>
      <c r="B43" s="258" t="s">
        <v>1064</v>
      </c>
      <c r="C43" s="281">
        <f ca="1">ROUND(IF('数据-取费表'!B22&lt;=1,C39*F22*'数据-取费表'!B21/2,C39*(POWER((1+F22),'数据-取费表'!B21/2)-1)),0)</f>
        <v>28</v>
      </c>
      <c r="D43" s="281"/>
      <c r="E43" s="281"/>
      <c r="F43" s="282"/>
      <c r="G43" s="3225"/>
    </row>
    <row r="44" spans="1:7" ht="13.5" customHeight="1">
      <c r="A44" s="947" t="s">
        <v>793</v>
      </c>
      <c r="B44" s="258" t="s">
        <v>1066</v>
      </c>
      <c r="C44" s="281">
        <f ca="1">ROUND(IF('数据-取费表'!B22&lt;=1,C40*F22*'数据-取费表'!B21/2,C40*(POWER((1+F22),'数据-取费表'!B21/2)-1)),4)</f>
        <v>1.4E-3</v>
      </c>
      <c r="D44" s="281"/>
      <c r="E44" s="281"/>
      <c r="F44" s="282"/>
      <c r="G44" s="3226"/>
    </row>
    <row r="45" spans="1:7" s="257" customFormat="1" ht="13.5" customHeight="1">
      <c r="A45" s="944" t="s">
        <v>786</v>
      </c>
      <c r="B45" s="287" t="s">
        <v>112</v>
      </c>
      <c r="C45" s="288">
        <f>C46</f>
        <v>3601</v>
      </c>
      <c r="D45" s="278">
        <f>C47</f>
        <v>3.5999999999999999E-3</v>
      </c>
      <c r="E45" s="279" t="s">
        <v>129</v>
      </c>
      <c r="F45" s="289"/>
      <c r="G45" s="290" t="s">
        <v>1072</v>
      </c>
    </row>
    <row r="46" spans="1:7" s="257" customFormat="1" ht="13.5" customHeight="1">
      <c r="A46" s="947" t="s">
        <v>794</v>
      </c>
      <c r="B46" s="291" t="s">
        <v>1065</v>
      </c>
      <c r="C46" s="292">
        <f>ROUND((C33+C39)*F27,0)</f>
        <v>3601</v>
      </c>
      <c r="D46" s="306"/>
      <c r="E46" s="279"/>
      <c r="F46" s="289"/>
      <c r="G46" s="290"/>
    </row>
    <row r="47" spans="1:7" s="257" customFormat="1" ht="13.5" customHeight="1">
      <c r="A47" s="947" t="s">
        <v>792</v>
      </c>
      <c r="B47" s="291" t="s">
        <v>1067</v>
      </c>
      <c r="C47" s="281">
        <f>ROUND(C40*F27,4)</f>
        <v>3.5999999999999999E-3</v>
      </c>
      <c r="D47" s="306"/>
      <c r="E47" s="279"/>
      <c r="F47" s="289"/>
      <c r="G47" s="290"/>
    </row>
    <row r="48" spans="1:7" s="257" customFormat="1" ht="13.5" customHeight="1">
      <c r="A48" s="944" t="s">
        <v>787</v>
      </c>
      <c r="B48" s="253" t="s">
        <v>122</v>
      </c>
      <c r="C48" s="305">
        <f>F30</f>
        <v>5.5000000000000007E-2</v>
      </c>
      <c r="D48" s="279" t="s">
        <v>130</v>
      </c>
      <c r="E48" s="275"/>
      <c r="F48" s="280"/>
      <c r="G48" s="277" t="s">
        <v>123</v>
      </c>
    </row>
    <row r="49" spans="1:7" ht="16.5" customHeight="1">
      <c r="A49" s="944" t="s">
        <v>788</v>
      </c>
      <c r="B49" s="253" t="s">
        <v>131</v>
      </c>
      <c r="C49" s="275">
        <f ca="1">ROUND((C33+C39+C41+C45)/(1-C40-D41-D45-C48/(1+'数据-取费表'!B42)),0)</f>
        <v>27148</v>
      </c>
      <c r="D49" s="275"/>
      <c r="E49" s="275"/>
      <c r="F49" s="307"/>
      <c r="G49" s="277" t="s">
        <v>1073</v>
      </c>
    </row>
    <row r="50" spans="1:7" s="301" customFormat="1" ht="24">
      <c r="A50" s="944" t="s">
        <v>789</v>
      </c>
      <c r="B50" s="253" t="s">
        <v>124</v>
      </c>
      <c r="C50" s="275"/>
      <c r="D50" s="275"/>
      <c r="E50" s="275"/>
      <c r="F50" s="307">
        <f>IF('数据-取费表'!B24=0,'数据-取费表'!N16,1)</f>
        <v>0.98</v>
      </c>
      <c r="G50" s="290" t="s">
        <v>125</v>
      </c>
    </row>
    <row r="51" spans="1:7" ht="16.5" customHeight="1">
      <c r="A51" s="944" t="s">
        <v>790</v>
      </c>
      <c r="B51" s="253" t="s">
        <v>132</v>
      </c>
      <c r="C51" s="275">
        <f ca="1">ROUND(C49*F50,0)</f>
        <v>26605</v>
      </c>
      <c r="D51" s="275"/>
      <c r="E51" s="275"/>
      <c r="F51" s="307"/>
      <c r="G51" s="277" t="s">
        <v>64</v>
      </c>
    </row>
    <row r="52" spans="1:7" s="251" customFormat="1" ht="16.5" thickBot="1">
      <c r="A52" s="308" t="s">
        <v>65</v>
      </c>
      <c r="B52" s="309"/>
      <c r="C52" s="310">
        <f ca="1">C31+C51</f>
        <v>58276</v>
      </c>
      <c r="D52" s="309"/>
      <c r="E52" s="309"/>
      <c r="F52" s="309"/>
      <c r="G52" s="311"/>
    </row>
    <row r="55" spans="1:7" ht="15">
      <c r="B55" s="313" t="s">
        <v>66</v>
      </c>
      <c r="C55" s="314"/>
    </row>
    <row r="56" spans="1:7">
      <c r="B56" s="316" t="s">
        <v>67</v>
      </c>
      <c r="C56" s="317">
        <f ca="1">ROUND(C51/C52,3)</f>
        <v>0.45700000000000002</v>
      </c>
    </row>
    <row r="57" spans="1:7">
      <c r="B57" s="316" t="s">
        <v>68</v>
      </c>
      <c r="C57" s="318">
        <f ca="1">1-C56</f>
        <v>0.54299999999999993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71" t="s">
        <v>156</v>
      </c>
      <c r="B1" s="3371"/>
      <c r="C1" s="3371"/>
      <c r="D1" s="3371"/>
      <c r="E1" s="3371"/>
      <c r="F1" s="3371"/>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72" t="s">
        <v>169</v>
      </c>
      <c r="B2" s="3372"/>
      <c r="C2" s="3372"/>
      <c r="D2" s="3372"/>
      <c r="E2" s="3372"/>
      <c r="F2" s="3372"/>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73"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74"/>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71" t="s">
        <v>871</v>
      </c>
      <c r="B1" s="3371"/>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43182</v>
      </c>
      <c r="D1" s="1696" t="s">
        <v>1301</v>
      </c>
      <c r="E1" s="1691">
        <f>'数据-取费表'!B22</f>
        <v>3</v>
      </c>
      <c r="F1" s="1696" t="s">
        <v>1302</v>
      </c>
      <c r="G1" s="1692">
        <f ca="1">INDIRECT("d"&amp;$K$1)/100</f>
        <v>4.7500000000000001E-2</v>
      </c>
      <c r="H1" s="1696" t="s">
        <v>1332</v>
      </c>
      <c r="I1" s="1692">
        <f ca="1">F4/100</f>
        <v>1.4999999999999999E-2</v>
      </c>
      <c r="J1" s="1697">
        <f>IF(C1&gt;C13,0,MATCH(C1,C$13:C$100,-1))+IF(SUMIF(C13:C100,C1,D13:D100)=0,13,12)</f>
        <v>13</v>
      </c>
      <c r="K1" s="1697">
        <f ca="1">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29" sqref="B29"/>
    </sheetView>
  </sheetViews>
  <sheetFormatPr defaultRowHeight="13.5"/>
  <cols>
    <col min="1" max="1" width="24.5" customWidth="1"/>
    <col min="8" max="8" width="12.25" customWidth="1"/>
  </cols>
  <sheetData>
    <row r="1" spans="1:13">
      <c r="A1" s="1734" t="s">
        <v>3326</v>
      </c>
      <c r="B1" s="1734" t="s">
        <v>3327</v>
      </c>
      <c r="C1" s="1734" t="s">
        <v>3328</v>
      </c>
      <c r="D1" s="1734" t="s">
        <v>3329</v>
      </c>
      <c r="E1" s="1734" t="s">
        <v>3330</v>
      </c>
      <c r="F1" s="1734" t="s">
        <v>3331</v>
      </c>
      <c r="G1" s="1734" t="s">
        <v>3332</v>
      </c>
      <c r="H1" s="1734" t="s">
        <v>3333</v>
      </c>
      <c r="I1" s="1734" t="s">
        <v>3334</v>
      </c>
      <c r="J1" s="1734" t="s">
        <v>3335</v>
      </c>
      <c r="K1" s="1734" t="s">
        <v>3336</v>
      </c>
      <c r="L1" s="1734" t="s">
        <v>3337</v>
      </c>
      <c r="M1" s="1734" t="s">
        <v>3338</v>
      </c>
    </row>
    <row r="2" spans="1:13" s="2990" customFormat="1" ht="14.25">
      <c r="A2" s="2989" t="s">
        <v>3339</v>
      </c>
      <c r="B2" s="2989" t="s">
        <v>3062</v>
      </c>
      <c r="C2" s="2989" t="s">
        <v>3340</v>
      </c>
      <c r="D2" s="2989">
        <v>18303.330000000002</v>
      </c>
      <c r="E2" s="2989">
        <v>58571</v>
      </c>
      <c r="F2" s="2989">
        <v>3.2</v>
      </c>
      <c r="G2" s="2989" t="s">
        <v>3341</v>
      </c>
      <c r="H2" s="2989" t="s">
        <v>3342</v>
      </c>
      <c r="I2" s="2989">
        <v>79600</v>
      </c>
      <c r="J2" s="2989">
        <v>129000</v>
      </c>
      <c r="K2" s="2989">
        <v>22024.54</v>
      </c>
      <c r="L2" s="2989">
        <v>62.06</v>
      </c>
      <c r="M2" s="2989" t="s">
        <v>3343</v>
      </c>
    </row>
    <row r="3" spans="1:13">
      <c r="A3" s="1734" t="s">
        <v>3344</v>
      </c>
      <c r="B3" s="1734" t="s">
        <v>3062</v>
      </c>
      <c r="C3" s="1734" t="s">
        <v>3340</v>
      </c>
      <c r="D3" s="1734">
        <v>29183.54</v>
      </c>
      <c r="E3" s="1734">
        <v>72959</v>
      </c>
      <c r="F3" s="1734">
        <v>2.5</v>
      </c>
      <c r="G3" s="1734" t="s">
        <v>3341</v>
      </c>
      <c r="H3" s="1734" t="s">
        <v>3345</v>
      </c>
      <c r="I3" s="1734">
        <v>83000</v>
      </c>
      <c r="J3" s="1734">
        <v>106000</v>
      </c>
      <c r="K3" s="1734">
        <v>14528.7</v>
      </c>
      <c r="L3" s="1734">
        <v>27.71</v>
      </c>
      <c r="M3" s="1734" t="s">
        <v>3346</v>
      </c>
    </row>
    <row r="4" spans="1:13">
      <c r="A4" s="1734" t="s">
        <v>3347</v>
      </c>
      <c r="B4" s="1734" t="s">
        <v>3062</v>
      </c>
      <c r="C4" s="1734" t="s">
        <v>3340</v>
      </c>
      <c r="D4" s="1734">
        <v>23639.39</v>
      </c>
      <c r="E4" s="1734">
        <v>75646</v>
      </c>
      <c r="F4" s="1734">
        <v>3.2</v>
      </c>
      <c r="G4" s="1734" t="s">
        <v>3341</v>
      </c>
      <c r="H4" s="1734" t="s">
        <v>3348</v>
      </c>
      <c r="I4" s="1734">
        <v>102000</v>
      </c>
      <c r="J4" s="1734">
        <v>103020</v>
      </c>
      <c r="K4" s="1734">
        <v>13618.7</v>
      </c>
      <c r="L4" s="1734">
        <v>1</v>
      </c>
      <c r="M4" s="1734" t="s">
        <v>3349</v>
      </c>
    </row>
    <row r="5" spans="1:13" s="2990" customFormat="1">
      <c r="A5" s="2989" t="s">
        <v>3350</v>
      </c>
      <c r="B5" s="2989" t="s">
        <v>3062</v>
      </c>
      <c r="C5" s="2989" t="s">
        <v>3340</v>
      </c>
      <c r="D5" s="2989">
        <v>33619.79</v>
      </c>
      <c r="E5" s="2989">
        <v>134479</v>
      </c>
      <c r="F5" s="2989">
        <v>4</v>
      </c>
      <c r="G5" s="2989" t="s">
        <v>3341</v>
      </c>
      <c r="H5" s="2989" t="s">
        <v>3351</v>
      </c>
      <c r="I5" s="2989">
        <v>153000</v>
      </c>
      <c r="J5" s="2989">
        <v>334000</v>
      </c>
      <c r="K5" s="2989">
        <v>24836.59</v>
      </c>
      <c r="L5" s="2989">
        <v>118.3</v>
      </c>
      <c r="M5" s="2989" t="s">
        <v>3352</v>
      </c>
    </row>
    <row r="6" spans="1:13">
      <c r="A6" s="1734" t="s">
        <v>3353</v>
      </c>
      <c r="B6" s="1734" t="s">
        <v>3062</v>
      </c>
      <c r="C6" s="1734" t="s">
        <v>3340</v>
      </c>
      <c r="D6" s="1734">
        <v>71916.58</v>
      </c>
      <c r="E6" s="1734">
        <v>107875</v>
      </c>
      <c r="F6" s="1734">
        <v>1.5</v>
      </c>
      <c r="G6" s="1734" t="s">
        <v>3341</v>
      </c>
      <c r="H6" s="1734" t="s">
        <v>3354</v>
      </c>
      <c r="I6" s="1734">
        <v>90000</v>
      </c>
      <c r="J6" s="1734">
        <v>181000</v>
      </c>
      <c r="K6" s="1734">
        <v>16778.68</v>
      </c>
      <c r="L6" s="1734">
        <v>101.11</v>
      </c>
      <c r="M6" s="1734" t="s">
        <v>3355</v>
      </c>
    </row>
    <row r="7" spans="1:13">
      <c r="A7" s="1734" t="s">
        <v>3356</v>
      </c>
      <c r="B7" s="1734" t="s">
        <v>3062</v>
      </c>
      <c r="C7" s="1734" t="s">
        <v>3340</v>
      </c>
      <c r="D7" s="1734">
        <v>47919.26</v>
      </c>
      <c r="E7" s="1734">
        <v>143758</v>
      </c>
      <c r="F7" s="1734">
        <v>3</v>
      </c>
      <c r="G7" s="1734" t="s">
        <v>3341</v>
      </c>
      <c r="H7" s="1734" t="s">
        <v>3357</v>
      </c>
      <c r="I7" s="1734">
        <v>120000</v>
      </c>
      <c r="J7" s="1734">
        <v>130000</v>
      </c>
      <c r="K7" s="1734">
        <v>9042.9599999999991</v>
      </c>
      <c r="L7" s="1734">
        <v>8.33</v>
      </c>
      <c r="M7" s="1734" t="s">
        <v>3355</v>
      </c>
    </row>
    <row r="8" spans="1:13">
      <c r="A8" s="1734" t="s">
        <v>3358</v>
      </c>
      <c r="B8" s="1734" t="s">
        <v>3062</v>
      </c>
      <c r="C8" s="1734" t="s">
        <v>3340</v>
      </c>
      <c r="D8" s="1734">
        <v>61900.3</v>
      </c>
      <c r="E8" s="1734">
        <v>111421</v>
      </c>
      <c r="F8" s="1734">
        <v>1.8</v>
      </c>
      <c r="G8" s="1734" t="s">
        <v>3341</v>
      </c>
      <c r="H8" s="1734" t="s">
        <v>3359</v>
      </c>
      <c r="I8" s="1734">
        <v>89500</v>
      </c>
      <c r="J8" s="1734">
        <v>197000</v>
      </c>
      <c r="K8" s="1734">
        <v>17680.68</v>
      </c>
      <c r="L8" s="1734">
        <v>120.11</v>
      </c>
      <c r="M8" s="1734" t="s">
        <v>3355</v>
      </c>
    </row>
    <row r="9" spans="1:13">
      <c r="A9" s="1734" t="s">
        <v>3360</v>
      </c>
      <c r="B9" s="1734" t="s">
        <v>3062</v>
      </c>
      <c r="C9" s="1734" t="s">
        <v>3340</v>
      </c>
      <c r="D9" s="1734">
        <v>66594.820000000007</v>
      </c>
      <c r="E9" s="1734">
        <v>119871</v>
      </c>
      <c r="F9" s="1734">
        <v>1.8</v>
      </c>
      <c r="G9" s="1734" t="s">
        <v>3341</v>
      </c>
      <c r="H9" s="1734" t="s">
        <v>3359</v>
      </c>
      <c r="I9" s="1734">
        <v>96000</v>
      </c>
      <c r="J9" s="1734">
        <v>196000</v>
      </c>
      <c r="K9" s="1734">
        <v>16350.9</v>
      </c>
      <c r="L9" s="1734">
        <v>104.17</v>
      </c>
      <c r="M9" s="1734" t="s">
        <v>3355</v>
      </c>
    </row>
    <row r="10" spans="1:13">
      <c r="A10" s="1734" t="s">
        <v>3361</v>
      </c>
      <c r="B10" s="1734" t="s">
        <v>3062</v>
      </c>
      <c r="C10" s="1734" t="s">
        <v>3340</v>
      </c>
      <c r="D10" s="1734">
        <v>24464</v>
      </c>
      <c r="E10" s="1734">
        <v>48928</v>
      </c>
      <c r="F10" s="1734">
        <v>2</v>
      </c>
      <c r="G10" s="1734" t="s">
        <v>3341</v>
      </c>
      <c r="H10" s="1734" t="s">
        <v>3362</v>
      </c>
      <c r="I10" s="1734">
        <v>28200</v>
      </c>
      <c r="J10" s="1734">
        <v>46800</v>
      </c>
      <c r="K10" s="1734">
        <v>9565.07</v>
      </c>
      <c r="L10" s="1734">
        <v>65.959999999999994</v>
      </c>
      <c r="M10" s="1734" t="s">
        <v>3363</v>
      </c>
    </row>
    <row r="11" spans="1:13">
      <c r="A11" s="1734" t="s">
        <v>3364</v>
      </c>
      <c r="B11" s="1734" t="s">
        <v>3062</v>
      </c>
      <c r="C11" s="1734" t="s">
        <v>3340</v>
      </c>
      <c r="D11" s="1734">
        <v>38024.39</v>
      </c>
      <c r="E11" s="1734">
        <v>106468</v>
      </c>
      <c r="F11" s="1734">
        <v>2.8</v>
      </c>
      <c r="G11" s="1734" t="s">
        <v>3341</v>
      </c>
      <c r="H11" s="1734" t="s">
        <v>3365</v>
      </c>
      <c r="I11" s="1734">
        <v>87000</v>
      </c>
      <c r="J11" s="1734">
        <v>97000</v>
      </c>
      <c r="K11" s="1734">
        <v>9110.7099999999991</v>
      </c>
      <c r="L11" s="1734">
        <v>11.49</v>
      </c>
      <c r="M11" s="1734" t="s">
        <v>3366</v>
      </c>
    </row>
    <row r="12" spans="1:13">
      <c r="A12" s="1734" t="s">
        <v>3367</v>
      </c>
      <c r="B12" s="1734" t="s">
        <v>3062</v>
      </c>
      <c r="C12" s="1734" t="s">
        <v>3340</v>
      </c>
      <c r="D12" s="1734">
        <v>13920.77</v>
      </c>
      <c r="E12" s="1734">
        <v>16705</v>
      </c>
      <c r="F12" s="1734">
        <v>1.2</v>
      </c>
      <c r="G12" s="1734" t="s">
        <v>3341</v>
      </c>
      <c r="H12" s="1734" t="s">
        <v>3368</v>
      </c>
      <c r="I12" s="1734">
        <v>10500</v>
      </c>
      <c r="J12" s="1734">
        <v>12200</v>
      </c>
      <c r="K12" s="1734">
        <v>7303.19</v>
      </c>
      <c r="L12" s="1734">
        <v>16.190000000000001</v>
      </c>
      <c r="M12" s="1734" t="s">
        <v>3369</v>
      </c>
    </row>
    <row r="13" spans="1:13" s="2992" customFormat="1">
      <c r="A13" s="2991" t="s">
        <v>3370</v>
      </c>
      <c r="B13" s="2991" t="s">
        <v>3062</v>
      </c>
      <c r="C13" s="2991" t="s">
        <v>3340</v>
      </c>
      <c r="D13" s="2991">
        <v>6189.23</v>
      </c>
      <c r="E13" s="2991">
        <v>6189</v>
      </c>
      <c r="F13" s="2991">
        <v>1</v>
      </c>
      <c r="G13" s="2991" t="s">
        <v>3341</v>
      </c>
      <c r="H13" s="2991" t="s">
        <v>3371</v>
      </c>
      <c r="I13" s="2991">
        <v>7500</v>
      </c>
      <c r="J13" s="2991">
        <v>12900</v>
      </c>
      <c r="K13" s="2991">
        <v>20843.43</v>
      </c>
      <c r="L13" s="2991">
        <v>72</v>
      </c>
      <c r="M13" s="2991" t="s">
        <v>3372</v>
      </c>
    </row>
    <row r="14" spans="1:13">
      <c r="A14" s="1734" t="s">
        <v>3373</v>
      </c>
      <c r="B14" s="1734" t="s">
        <v>3062</v>
      </c>
      <c r="C14" s="1734" t="s">
        <v>3340</v>
      </c>
      <c r="D14" s="1734">
        <v>40417.42</v>
      </c>
      <c r="E14" s="1734">
        <v>121252</v>
      </c>
      <c r="F14" s="1734">
        <v>3</v>
      </c>
      <c r="G14" s="1734" t="s">
        <v>3341</v>
      </c>
      <c r="H14" s="1734" t="s">
        <v>3374</v>
      </c>
      <c r="I14" s="1734">
        <v>103000</v>
      </c>
      <c r="J14" s="1734">
        <v>191000</v>
      </c>
      <c r="K14" s="1734">
        <v>15752.31</v>
      </c>
      <c r="L14" s="1734">
        <v>85.44</v>
      </c>
      <c r="M14" s="1734" t="s">
        <v>3375</v>
      </c>
    </row>
    <row r="15" spans="1:13">
      <c r="A15" s="1734" t="s">
        <v>3376</v>
      </c>
      <c r="B15" s="1734" t="s">
        <v>3062</v>
      </c>
      <c r="C15" s="1734" t="s">
        <v>3340</v>
      </c>
      <c r="D15" s="1734">
        <v>48028.78</v>
      </c>
      <c r="E15" s="1734">
        <v>122714</v>
      </c>
      <c r="F15" s="1734">
        <v>2.56</v>
      </c>
      <c r="G15" s="1734" t="s">
        <v>3341</v>
      </c>
      <c r="H15" s="1734" t="s">
        <v>3374</v>
      </c>
      <c r="I15" s="1734">
        <v>98000</v>
      </c>
      <c r="J15" s="1734">
        <v>108000</v>
      </c>
      <c r="K15" s="1734">
        <v>8800.9500000000007</v>
      </c>
      <c r="L15" s="1734">
        <v>10.199999999999999</v>
      </c>
      <c r="M15" s="1734" t="s">
        <v>3377</v>
      </c>
    </row>
    <row r="16" spans="1:13">
      <c r="A16" s="1734" t="s">
        <v>3378</v>
      </c>
      <c r="B16" s="1734" t="s">
        <v>3062</v>
      </c>
      <c r="C16" s="1734" t="s">
        <v>3340</v>
      </c>
      <c r="D16" s="1734">
        <v>46923.74</v>
      </c>
      <c r="E16" s="1734">
        <v>94797</v>
      </c>
      <c r="F16" s="1734">
        <v>2.02</v>
      </c>
      <c r="G16" s="1734" t="s">
        <v>3341</v>
      </c>
      <c r="H16" s="1734" t="s">
        <v>3379</v>
      </c>
      <c r="I16" s="1734">
        <v>75900</v>
      </c>
      <c r="J16" s="1734">
        <v>76300</v>
      </c>
      <c r="K16" s="1734">
        <v>8048.77</v>
      </c>
      <c r="L16" s="1734">
        <v>0.53</v>
      </c>
      <c r="M16" s="1734" t="s">
        <v>3380</v>
      </c>
    </row>
    <row r="17" spans="1:13">
      <c r="A17" s="1734" t="s">
        <v>3381</v>
      </c>
      <c r="B17" s="1734" t="s">
        <v>3062</v>
      </c>
      <c r="C17" s="1734" t="s">
        <v>3340</v>
      </c>
      <c r="D17" s="1734">
        <v>51666</v>
      </c>
      <c r="E17" s="1734">
        <v>129165</v>
      </c>
      <c r="F17" s="1734" t="s">
        <v>3382</v>
      </c>
      <c r="G17" s="1734" t="s">
        <v>3341</v>
      </c>
      <c r="H17" s="1734" t="s">
        <v>3379</v>
      </c>
      <c r="I17" s="1734">
        <v>64600</v>
      </c>
      <c r="J17" s="1734">
        <v>81000</v>
      </c>
      <c r="K17" s="1734">
        <v>6271.05</v>
      </c>
      <c r="L17" s="1734">
        <v>25.39</v>
      </c>
      <c r="M17" s="1734" t="s">
        <v>3383</v>
      </c>
    </row>
    <row r="18" spans="1:13">
      <c r="A18" s="1734" t="s">
        <v>3384</v>
      </c>
      <c r="B18" s="1734" t="s">
        <v>3062</v>
      </c>
      <c r="C18" s="1734" t="s">
        <v>3340</v>
      </c>
      <c r="D18" s="1734">
        <v>85515.199999999997</v>
      </c>
      <c r="E18" s="1734">
        <v>283835.3</v>
      </c>
      <c r="F18" s="1734" t="s">
        <v>3385</v>
      </c>
      <c r="G18" s="1734" t="s">
        <v>3341</v>
      </c>
      <c r="H18" s="1734" t="s">
        <v>3379</v>
      </c>
      <c r="I18" s="1734">
        <v>142000</v>
      </c>
      <c r="J18" s="1734">
        <v>145000</v>
      </c>
      <c r="K18" s="1734">
        <v>5108.6000000000004</v>
      </c>
      <c r="L18" s="1734">
        <v>2.11</v>
      </c>
      <c r="M18" s="1734" t="s">
        <v>3386</v>
      </c>
    </row>
    <row r="19" spans="1:13" s="2992" customFormat="1">
      <c r="A19" s="2991" t="s">
        <v>3387</v>
      </c>
      <c r="B19" s="2991" t="s">
        <v>3062</v>
      </c>
      <c r="C19" s="2991" t="s">
        <v>3340</v>
      </c>
      <c r="D19" s="2991">
        <v>33628.9</v>
      </c>
      <c r="E19" s="2991">
        <v>82719</v>
      </c>
      <c r="F19" s="2991">
        <v>2.5</v>
      </c>
      <c r="G19" s="2991" t="s">
        <v>3341</v>
      </c>
      <c r="H19" s="2991" t="s">
        <v>3388</v>
      </c>
      <c r="I19" s="2991">
        <v>66200</v>
      </c>
      <c r="J19" s="2991">
        <v>171000</v>
      </c>
      <c r="K19" s="2991">
        <v>20672.400000000001</v>
      </c>
      <c r="L19" s="2991">
        <v>158.31</v>
      </c>
      <c r="M19" s="2991" t="s">
        <v>3389</v>
      </c>
    </row>
    <row r="20" spans="1:13">
      <c r="A20" s="1734" t="s">
        <v>3390</v>
      </c>
      <c r="B20" s="1734" t="s">
        <v>3062</v>
      </c>
      <c r="C20" s="1734" t="s">
        <v>3340</v>
      </c>
      <c r="D20" s="1734">
        <v>47871.43</v>
      </c>
      <c r="E20" s="1734">
        <v>176549</v>
      </c>
      <c r="F20" s="1734">
        <v>3.69</v>
      </c>
      <c r="G20" s="1734" t="s">
        <v>3341</v>
      </c>
      <c r="H20" s="1734" t="s">
        <v>3388</v>
      </c>
      <c r="I20" s="1734">
        <v>141000</v>
      </c>
      <c r="J20" s="1734">
        <v>346000</v>
      </c>
      <c r="K20" s="1734">
        <v>19597.95</v>
      </c>
      <c r="L20" s="1734">
        <v>145.38999999999999</v>
      </c>
      <c r="M20" s="1734" t="s">
        <v>3389</v>
      </c>
    </row>
    <row r="21" spans="1:13">
      <c r="A21" s="1734" t="s">
        <v>3391</v>
      </c>
      <c r="B21" s="1734" t="s">
        <v>3062</v>
      </c>
      <c r="C21" s="1734" t="s">
        <v>3340</v>
      </c>
      <c r="D21" s="1734">
        <v>50532</v>
      </c>
      <c r="E21" s="1734">
        <v>90958</v>
      </c>
      <c r="F21" s="1734">
        <v>1.8</v>
      </c>
      <c r="G21" s="1734" t="s">
        <v>3341</v>
      </c>
      <c r="H21" s="1734" t="s">
        <v>3392</v>
      </c>
      <c r="I21" s="1734">
        <v>45500</v>
      </c>
      <c r="J21" s="1734">
        <v>46000</v>
      </c>
      <c r="K21" s="1734">
        <v>5057.2700000000004</v>
      </c>
      <c r="L21" s="1734">
        <v>1.1000000000000001</v>
      </c>
      <c r="M21" s="1734" t="s">
        <v>3393</v>
      </c>
    </row>
    <row r="22" spans="1:13">
      <c r="A22" s="1734" t="s">
        <v>3394</v>
      </c>
      <c r="B22" s="1734" t="s">
        <v>3062</v>
      </c>
      <c r="C22" s="1734" t="s">
        <v>3340</v>
      </c>
      <c r="D22" s="1734">
        <v>92124</v>
      </c>
      <c r="E22" s="1734">
        <v>184248</v>
      </c>
      <c r="F22" s="1734">
        <v>2</v>
      </c>
      <c r="G22" s="1734" t="s">
        <v>3341</v>
      </c>
      <c r="H22" s="1734" t="s">
        <v>3395</v>
      </c>
      <c r="I22" s="1734">
        <v>55300</v>
      </c>
      <c r="J22" s="1734">
        <v>111500</v>
      </c>
      <c r="K22" s="1734">
        <v>6051.63</v>
      </c>
      <c r="L22" s="1734">
        <v>101.63</v>
      </c>
      <c r="M22" s="1734" t="s">
        <v>3393</v>
      </c>
    </row>
    <row r="23" spans="1:13">
      <c r="A23" s="1734" t="s">
        <v>3396</v>
      </c>
      <c r="B23" s="1734" t="s">
        <v>3062</v>
      </c>
      <c r="C23" s="1734" t="s">
        <v>3340</v>
      </c>
      <c r="D23" s="1734">
        <v>64322.98</v>
      </c>
      <c r="E23" s="1734">
        <v>126996</v>
      </c>
      <c r="F23" s="1734">
        <v>1.97</v>
      </c>
      <c r="G23" s="1734" t="s">
        <v>3341</v>
      </c>
      <c r="H23" s="1734" t="s">
        <v>3395</v>
      </c>
      <c r="I23" s="1734" t="s">
        <v>1331</v>
      </c>
      <c r="J23" s="1734">
        <v>112500</v>
      </c>
      <c r="K23" s="1734">
        <v>8858.5400000000009</v>
      </c>
      <c r="L23" s="1734" t="s">
        <v>1331</v>
      </c>
      <c r="M23" s="1734" t="s">
        <v>3397</v>
      </c>
    </row>
    <row r="24" spans="1:13">
      <c r="A24" s="1734" t="s">
        <v>3398</v>
      </c>
      <c r="B24" s="1734" t="s">
        <v>3062</v>
      </c>
      <c r="C24" s="1734" t="s">
        <v>3340</v>
      </c>
      <c r="D24" s="1734">
        <v>34970</v>
      </c>
      <c r="E24" s="1734">
        <v>87425</v>
      </c>
      <c r="F24" s="1734">
        <v>2.5</v>
      </c>
      <c r="G24" s="1734" t="s">
        <v>3341</v>
      </c>
      <c r="H24" s="1734" t="s">
        <v>3399</v>
      </c>
      <c r="I24" s="1734">
        <v>20500</v>
      </c>
      <c r="J24" s="1734">
        <v>69500</v>
      </c>
      <c r="K24" s="1734">
        <v>7949.67</v>
      </c>
      <c r="L24" s="1734">
        <v>239.02</v>
      </c>
      <c r="M24" s="1734" t="s">
        <v>3400</v>
      </c>
    </row>
    <row r="25" spans="1:13">
      <c r="A25" s="1734" t="s">
        <v>3401</v>
      </c>
      <c r="B25" s="1734" t="s">
        <v>3062</v>
      </c>
      <c r="C25" s="1734" t="s">
        <v>3340</v>
      </c>
      <c r="D25" s="1734">
        <v>73208.92</v>
      </c>
      <c r="E25" s="1734">
        <v>73209</v>
      </c>
      <c r="F25" s="1734">
        <v>1</v>
      </c>
      <c r="G25" s="1734" t="s">
        <v>3341</v>
      </c>
      <c r="H25" s="1734" t="s">
        <v>3399</v>
      </c>
      <c r="I25" s="1734">
        <v>39300</v>
      </c>
      <c r="J25" s="1734">
        <v>91000</v>
      </c>
      <c r="K25" s="1734">
        <v>12430.17</v>
      </c>
      <c r="L25" s="1734">
        <v>131.55000000000001</v>
      </c>
      <c r="M25" s="1734" t="s">
        <v>3402</v>
      </c>
    </row>
    <row r="26" spans="1:13">
      <c r="A26" s="1734" t="s">
        <v>3403</v>
      </c>
      <c r="B26" s="1734" t="s">
        <v>3062</v>
      </c>
      <c r="C26" s="1734" t="s">
        <v>3340</v>
      </c>
      <c r="D26" s="1734">
        <v>97991.86</v>
      </c>
      <c r="E26" s="1734">
        <v>97992</v>
      </c>
      <c r="F26" s="1734">
        <v>1</v>
      </c>
      <c r="G26" s="1734" t="s">
        <v>3404</v>
      </c>
      <c r="H26" s="1734" t="s">
        <v>3405</v>
      </c>
      <c r="I26" s="1734" t="s">
        <v>1331</v>
      </c>
      <c r="J26" s="1734">
        <v>28380</v>
      </c>
      <c r="K26" s="1734">
        <v>2896.15</v>
      </c>
      <c r="L26" s="1734" t="s">
        <v>1331</v>
      </c>
      <c r="M26" s="1734" t="s">
        <v>3406</v>
      </c>
    </row>
    <row r="27" spans="1:13">
      <c r="A27" s="1734" t="s">
        <v>3407</v>
      </c>
      <c r="B27" s="1734" t="s">
        <v>3062</v>
      </c>
      <c r="C27" s="1734" t="s">
        <v>3340</v>
      </c>
      <c r="D27" s="1734">
        <v>61102.5</v>
      </c>
      <c r="E27" s="1734">
        <v>213858.8</v>
      </c>
      <c r="F27" s="1734">
        <v>3.5</v>
      </c>
      <c r="G27" s="1734" t="s">
        <v>3341</v>
      </c>
      <c r="H27" s="1734" t="s">
        <v>3408</v>
      </c>
      <c r="I27" s="1734">
        <v>34500</v>
      </c>
      <c r="J27" s="1734">
        <v>34500</v>
      </c>
      <c r="K27" s="1734">
        <v>1613.21</v>
      </c>
      <c r="L27" s="1734">
        <v>0</v>
      </c>
      <c r="M27" s="1734" t="s">
        <v>3409</v>
      </c>
    </row>
    <row r="28" spans="1:13">
      <c r="A28" s="1734" t="s">
        <v>3410</v>
      </c>
      <c r="B28" s="1734" t="s">
        <v>3062</v>
      </c>
      <c r="C28" s="1734" t="s">
        <v>3340</v>
      </c>
      <c r="D28" s="1734">
        <v>11827.6</v>
      </c>
      <c r="E28" s="1734">
        <v>29569</v>
      </c>
      <c r="F28" s="1734">
        <v>2.5</v>
      </c>
      <c r="G28" s="1734" t="s">
        <v>3341</v>
      </c>
      <c r="H28" s="1734" t="s">
        <v>3411</v>
      </c>
      <c r="I28" s="1734">
        <v>4400</v>
      </c>
      <c r="J28" s="1734">
        <v>4400</v>
      </c>
      <c r="K28" s="1734">
        <v>1488.03</v>
      </c>
      <c r="L28" s="1734">
        <v>0</v>
      </c>
      <c r="M28" s="1734" t="s">
        <v>3412</v>
      </c>
    </row>
    <row r="29" spans="1:13">
      <c r="A29" s="1734" t="s">
        <v>3413</v>
      </c>
      <c r="B29" s="1734" t="s">
        <v>3062</v>
      </c>
      <c r="C29" s="1734" t="s">
        <v>3340</v>
      </c>
      <c r="D29" s="1734">
        <v>45012.4</v>
      </c>
      <c r="E29" s="1734">
        <v>209402.4</v>
      </c>
      <c r="F29" s="1734">
        <v>4.6500000000000004</v>
      </c>
      <c r="G29" s="1734" t="s">
        <v>3341</v>
      </c>
      <c r="H29" s="1734" t="s">
        <v>3414</v>
      </c>
      <c r="I29" s="1734">
        <v>29500</v>
      </c>
      <c r="J29" s="1734">
        <v>29500</v>
      </c>
      <c r="K29" s="1734">
        <v>1408.76</v>
      </c>
      <c r="L29" s="1734">
        <v>0</v>
      </c>
      <c r="M29" s="1734" t="s">
        <v>3415</v>
      </c>
    </row>
    <row r="30" spans="1:13">
      <c r="A30" s="1734" t="s">
        <v>3416</v>
      </c>
      <c r="B30" s="1734" t="s">
        <v>3062</v>
      </c>
      <c r="C30" s="1734" t="s">
        <v>3340</v>
      </c>
      <c r="D30" s="1734">
        <v>46375</v>
      </c>
      <c r="E30" s="1734">
        <v>139125</v>
      </c>
      <c r="F30" s="1734">
        <v>3</v>
      </c>
      <c r="G30" s="1734" t="s">
        <v>3341</v>
      </c>
      <c r="H30" s="1734" t="s">
        <v>3417</v>
      </c>
      <c r="I30" s="1734">
        <v>27825</v>
      </c>
      <c r="J30" s="1734">
        <v>27825</v>
      </c>
      <c r="K30" s="1734">
        <v>2000</v>
      </c>
      <c r="L30" s="1734">
        <v>0</v>
      </c>
      <c r="M30" s="1734" t="s">
        <v>3418</v>
      </c>
    </row>
    <row r="31" spans="1:13">
      <c r="A31" s="1734" t="s">
        <v>3419</v>
      </c>
      <c r="B31" s="1734" t="s">
        <v>3062</v>
      </c>
      <c r="C31" s="1734" t="s">
        <v>3340</v>
      </c>
      <c r="D31" s="1734">
        <v>10868.5</v>
      </c>
      <c r="E31" s="1734">
        <v>27171.25</v>
      </c>
      <c r="F31" s="1734">
        <v>2.5</v>
      </c>
      <c r="G31" s="1734" t="s">
        <v>3341</v>
      </c>
      <c r="H31" s="1734" t="s">
        <v>3420</v>
      </c>
      <c r="I31" s="1734">
        <v>3550</v>
      </c>
      <c r="J31" s="1734">
        <v>3550</v>
      </c>
      <c r="K31" s="1734">
        <v>1306.52</v>
      </c>
      <c r="L31" s="1734">
        <v>0</v>
      </c>
      <c r="M31" s="1734" t="s">
        <v>3421</v>
      </c>
    </row>
    <row r="32" spans="1:13">
      <c r="A32" s="1734"/>
      <c r="B32" s="1734"/>
      <c r="C32" s="1734"/>
      <c r="D32" s="1734"/>
      <c r="E32" s="1734"/>
      <c r="F32" s="1734"/>
      <c r="G32" s="1734"/>
      <c r="H32" s="1734"/>
      <c r="I32" s="1734"/>
      <c r="J32" s="1734"/>
      <c r="K32" s="1734"/>
      <c r="L32" s="1734"/>
      <c r="M32" s="1734"/>
    </row>
    <row r="33" spans="1:14">
      <c r="A33" s="2993" t="s">
        <v>3326</v>
      </c>
      <c r="B33" s="2993" t="s">
        <v>3327</v>
      </c>
      <c r="C33" s="2993" t="s">
        <v>3328</v>
      </c>
      <c r="D33" s="2993" t="s">
        <v>3332</v>
      </c>
      <c r="E33" s="2993" t="s">
        <v>3329</v>
      </c>
      <c r="F33" s="2993" t="s">
        <v>3330</v>
      </c>
      <c r="G33" s="2993" t="s">
        <v>3331</v>
      </c>
      <c r="H33" s="2993" t="s">
        <v>3422</v>
      </c>
      <c r="I33" s="2993" t="s">
        <v>3338</v>
      </c>
      <c r="J33" s="2993" t="s">
        <v>3335</v>
      </c>
      <c r="K33" s="2993" t="s">
        <v>3423</v>
      </c>
      <c r="L33" s="2993" t="s">
        <v>3336</v>
      </c>
      <c r="M33" s="2993" t="s">
        <v>3337</v>
      </c>
      <c r="N33" s="2993" t="s">
        <v>3424</v>
      </c>
    </row>
    <row r="34" spans="1:14">
      <c r="A34" s="2993" t="s">
        <v>3425</v>
      </c>
      <c r="B34" s="2993" t="s">
        <v>3062</v>
      </c>
      <c r="C34" s="2993" t="s">
        <v>3340</v>
      </c>
      <c r="D34" s="2993" t="s">
        <v>3341</v>
      </c>
      <c r="E34" s="2993">
        <v>120885</v>
      </c>
      <c r="F34" s="2993">
        <v>256512</v>
      </c>
      <c r="G34" s="2993" t="s">
        <v>1331</v>
      </c>
      <c r="H34" s="2993" t="s">
        <v>3426</v>
      </c>
      <c r="I34" s="2993" t="s">
        <v>3427</v>
      </c>
      <c r="J34" s="2993">
        <v>250000</v>
      </c>
      <c r="K34" s="2993">
        <v>1378.72</v>
      </c>
      <c r="L34" s="2993">
        <v>9746.1200000000008</v>
      </c>
      <c r="M34" s="2993">
        <v>0</v>
      </c>
      <c r="N34" s="2993" t="s">
        <v>3428</v>
      </c>
    </row>
    <row r="35" spans="1:14" s="2990" customFormat="1">
      <c r="A35" s="2994" t="s">
        <v>3429</v>
      </c>
      <c r="B35" s="2994" t="s">
        <v>3062</v>
      </c>
      <c r="C35" s="2994" t="s">
        <v>3340</v>
      </c>
      <c r="D35" s="2994" t="s">
        <v>3341</v>
      </c>
      <c r="E35" s="2994">
        <v>85709</v>
      </c>
      <c r="F35" s="2994">
        <v>179122</v>
      </c>
      <c r="G35" s="2994">
        <v>2.09</v>
      </c>
      <c r="H35" s="2994" t="s">
        <v>3430</v>
      </c>
      <c r="I35" s="2994" t="s">
        <v>3431</v>
      </c>
      <c r="J35" s="2994">
        <v>378000</v>
      </c>
      <c r="K35" s="2994">
        <v>2940.18</v>
      </c>
      <c r="L35" s="2994">
        <v>21102.93</v>
      </c>
      <c r="M35" s="2994">
        <v>200</v>
      </c>
      <c r="N35" s="2994" t="s">
        <v>3432</v>
      </c>
    </row>
    <row r="36" spans="1:14">
      <c r="A36" s="2993" t="s">
        <v>3433</v>
      </c>
      <c r="B36" s="2993" t="s">
        <v>3062</v>
      </c>
      <c r="C36" s="2993" t="s">
        <v>3340</v>
      </c>
      <c r="D36" s="2993" t="s">
        <v>3341</v>
      </c>
      <c r="E36" s="2993">
        <v>10384</v>
      </c>
      <c r="F36" s="2993">
        <v>25960</v>
      </c>
      <c r="G36" s="2993">
        <v>2.5</v>
      </c>
      <c r="H36" s="2993" t="s">
        <v>3430</v>
      </c>
      <c r="I36" s="2993" t="s">
        <v>3434</v>
      </c>
      <c r="J36" s="2993">
        <v>51300</v>
      </c>
      <c r="K36" s="2993">
        <v>3293.53</v>
      </c>
      <c r="L36" s="2993">
        <v>19761.16</v>
      </c>
      <c r="M36" s="2993">
        <v>0</v>
      </c>
      <c r="N36" s="2993" t="s">
        <v>3432</v>
      </c>
    </row>
    <row r="37" spans="1:14">
      <c r="A37" s="2993" t="s">
        <v>3435</v>
      </c>
      <c r="B37" s="2993" t="s">
        <v>3062</v>
      </c>
      <c r="C37" s="2993" t="s">
        <v>3340</v>
      </c>
      <c r="D37" s="2993" t="s">
        <v>3341</v>
      </c>
      <c r="E37" s="2993">
        <v>8466</v>
      </c>
      <c r="F37" s="2993">
        <v>21165</v>
      </c>
      <c r="G37" s="2993">
        <v>2.5</v>
      </c>
      <c r="H37" s="2993" t="s">
        <v>3436</v>
      </c>
      <c r="I37" s="2993" t="s">
        <v>3437</v>
      </c>
      <c r="J37" s="2993">
        <v>42000</v>
      </c>
      <c r="K37" s="2993">
        <v>3307.35</v>
      </c>
      <c r="L37" s="2993">
        <v>19844.080000000002</v>
      </c>
      <c r="M37" s="2993">
        <v>3.45</v>
      </c>
      <c r="N37" s="2993" t="s">
        <v>3432</v>
      </c>
    </row>
    <row r="38" spans="1:14">
      <c r="A38" s="2993" t="s">
        <v>3438</v>
      </c>
      <c r="B38" s="2993" t="s">
        <v>3062</v>
      </c>
      <c r="C38" s="2993" t="s">
        <v>3340</v>
      </c>
      <c r="D38" s="2993" t="s">
        <v>3341</v>
      </c>
      <c r="E38" s="2993">
        <v>33776</v>
      </c>
      <c r="F38" s="2993">
        <v>94573</v>
      </c>
      <c r="G38" s="2993">
        <v>2.8</v>
      </c>
      <c r="H38" s="2993" t="s">
        <v>3439</v>
      </c>
      <c r="I38" s="2993" t="s">
        <v>3440</v>
      </c>
      <c r="J38" s="2993">
        <v>99500</v>
      </c>
      <c r="K38" s="2993">
        <v>1963.92</v>
      </c>
      <c r="L38" s="2993">
        <v>10520.96</v>
      </c>
      <c r="M38" s="2993">
        <v>197.01</v>
      </c>
      <c r="N38" s="2993" t="s">
        <v>3441</v>
      </c>
    </row>
    <row r="39" spans="1:14">
      <c r="A39" s="2993" t="s">
        <v>3442</v>
      </c>
      <c r="B39" s="2993" t="s">
        <v>3062</v>
      </c>
      <c r="C39" s="2993" t="s">
        <v>3340</v>
      </c>
      <c r="D39" s="2993" t="s">
        <v>3341</v>
      </c>
      <c r="E39" s="2993">
        <v>15192</v>
      </c>
      <c r="F39" s="2993">
        <v>42538</v>
      </c>
      <c r="G39" s="2993">
        <v>2.8</v>
      </c>
      <c r="H39" s="2993" t="s">
        <v>3439</v>
      </c>
      <c r="I39" s="2993" t="s">
        <v>3440</v>
      </c>
      <c r="J39" s="2993">
        <v>46500</v>
      </c>
      <c r="K39" s="2993">
        <v>2040.55</v>
      </c>
      <c r="L39" s="2993">
        <v>10931.39</v>
      </c>
      <c r="M39" s="2993">
        <v>210</v>
      </c>
      <c r="N39" s="2993" t="s">
        <v>3441</v>
      </c>
    </row>
    <row r="40" spans="1:14">
      <c r="A40" s="2993" t="s">
        <v>3443</v>
      </c>
      <c r="B40" s="2993" t="s">
        <v>3062</v>
      </c>
      <c r="C40" s="2993" t="s">
        <v>3340</v>
      </c>
      <c r="D40" s="2993" t="s">
        <v>3341</v>
      </c>
      <c r="E40" s="2993">
        <v>63879</v>
      </c>
      <c r="F40" s="2993">
        <v>185533</v>
      </c>
      <c r="G40" s="2993">
        <v>2.9</v>
      </c>
      <c r="H40" s="2993" t="s">
        <v>3439</v>
      </c>
      <c r="I40" s="2993" t="s">
        <v>3440</v>
      </c>
      <c r="J40" s="2993">
        <v>115500</v>
      </c>
      <c r="K40" s="2993">
        <v>1205.4000000000001</v>
      </c>
      <c r="L40" s="2993">
        <v>6225.31</v>
      </c>
      <c r="M40" s="2993">
        <v>77.69</v>
      </c>
      <c r="N40" s="2993" t="s">
        <v>3441</v>
      </c>
    </row>
    <row r="41" spans="1:14">
      <c r="A41" s="2993" t="s">
        <v>3444</v>
      </c>
      <c r="B41" s="2993" t="s">
        <v>3062</v>
      </c>
      <c r="C41" s="2993" t="s">
        <v>3340</v>
      </c>
      <c r="D41" s="2993" t="s">
        <v>3341</v>
      </c>
      <c r="E41" s="2993">
        <v>64413</v>
      </c>
      <c r="F41" s="2993">
        <v>135267</v>
      </c>
      <c r="G41" s="2993">
        <v>2.1</v>
      </c>
      <c r="H41" s="2993" t="s">
        <v>3445</v>
      </c>
      <c r="I41" s="2993" t="s">
        <v>3446</v>
      </c>
      <c r="J41" s="2993">
        <v>40000</v>
      </c>
      <c r="K41" s="2993">
        <v>414</v>
      </c>
      <c r="L41" s="2993">
        <v>2957.11</v>
      </c>
      <c r="M41" s="2993">
        <v>97.04</v>
      </c>
      <c r="N41" s="2993" t="s">
        <v>3441</v>
      </c>
    </row>
    <row r="42" spans="1:14">
      <c r="A42" s="2993" t="s">
        <v>3447</v>
      </c>
      <c r="B42" s="2993" t="s">
        <v>3062</v>
      </c>
      <c r="C42" s="2993" t="s">
        <v>3340</v>
      </c>
      <c r="D42" s="2993" t="s">
        <v>3341</v>
      </c>
      <c r="E42" s="2993">
        <v>46605</v>
      </c>
      <c r="F42" s="2993">
        <v>163118</v>
      </c>
      <c r="G42" s="2993">
        <v>3.5</v>
      </c>
      <c r="H42" s="2993" t="s">
        <v>3448</v>
      </c>
      <c r="I42" s="2993" t="s">
        <v>3449</v>
      </c>
      <c r="J42" s="2993">
        <v>246000</v>
      </c>
      <c r="K42" s="2993">
        <v>3518.94</v>
      </c>
      <c r="L42" s="2993">
        <v>15081.11</v>
      </c>
      <c r="M42" s="2993">
        <v>214.18</v>
      </c>
      <c r="N42" s="2993" t="s">
        <v>3441</v>
      </c>
    </row>
    <row r="43" spans="1:14">
      <c r="A43" s="2993" t="s">
        <v>3450</v>
      </c>
      <c r="B43" s="2993" t="s">
        <v>3062</v>
      </c>
      <c r="C43" s="2993" t="s">
        <v>3340</v>
      </c>
      <c r="D43" s="2993" t="s">
        <v>3341</v>
      </c>
      <c r="E43" s="2993">
        <v>21431</v>
      </c>
      <c r="F43" s="2993">
        <v>25717</v>
      </c>
      <c r="G43" s="2993">
        <v>1.2</v>
      </c>
      <c r="H43" s="2993" t="s">
        <v>3448</v>
      </c>
      <c r="I43" s="2993" t="s">
        <v>3451</v>
      </c>
      <c r="J43" s="2993">
        <v>10400</v>
      </c>
      <c r="K43" s="2993">
        <v>323.52</v>
      </c>
      <c r="L43" s="2993">
        <v>4044.01</v>
      </c>
      <c r="M43" s="2993">
        <v>0.97</v>
      </c>
      <c r="N43" s="2993" t="s">
        <v>3441</v>
      </c>
    </row>
    <row r="44" spans="1:14">
      <c r="A44" s="2993" t="s">
        <v>3452</v>
      </c>
      <c r="B44" s="2993" t="s">
        <v>3062</v>
      </c>
      <c r="C44" s="2993" t="s">
        <v>3340</v>
      </c>
      <c r="D44" s="2993" t="s">
        <v>3341</v>
      </c>
      <c r="E44" s="2993">
        <v>63949</v>
      </c>
      <c r="F44" s="2993">
        <v>156384</v>
      </c>
      <c r="G44" s="2993">
        <v>2.4500000000000002</v>
      </c>
      <c r="H44" s="2993" t="s">
        <v>3392</v>
      </c>
      <c r="I44" s="2993" t="s">
        <v>3453</v>
      </c>
      <c r="J44" s="2993">
        <v>90000</v>
      </c>
      <c r="K44" s="2993">
        <v>938.25</v>
      </c>
      <c r="L44" s="2993">
        <v>5755.06</v>
      </c>
      <c r="M44" s="2993">
        <v>1.1200000000000001</v>
      </c>
      <c r="N44" s="2993" t="s">
        <v>3441</v>
      </c>
    </row>
    <row r="45" spans="1:14">
      <c r="A45" s="2993" t="s">
        <v>3454</v>
      </c>
      <c r="B45" s="2993" t="s">
        <v>3062</v>
      </c>
      <c r="C45" s="2993" t="s">
        <v>3340</v>
      </c>
      <c r="D45" s="2993" t="s">
        <v>3341</v>
      </c>
      <c r="E45" s="2993">
        <v>33260</v>
      </c>
      <c r="F45" s="2993">
        <v>116410</v>
      </c>
      <c r="G45" s="2993">
        <v>3.5</v>
      </c>
      <c r="H45" s="2993" t="s">
        <v>3455</v>
      </c>
      <c r="I45" s="2993" t="s">
        <v>3456</v>
      </c>
      <c r="J45" s="2993">
        <v>55300</v>
      </c>
      <c r="K45" s="2993">
        <v>1108.44</v>
      </c>
      <c r="L45" s="2993">
        <v>4750.4399999999996</v>
      </c>
      <c r="M45" s="2993">
        <v>0.55000000000000004</v>
      </c>
      <c r="N45" s="2993" t="s">
        <v>3441</v>
      </c>
    </row>
    <row r="46" spans="1:14">
      <c r="A46" s="2993" t="s">
        <v>3457</v>
      </c>
      <c r="B46" s="2993" t="s">
        <v>3062</v>
      </c>
      <c r="C46" s="2993" t="s">
        <v>3340</v>
      </c>
      <c r="D46" s="2993" t="s">
        <v>3341</v>
      </c>
      <c r="E46" s="2993">
        <v>24718</v>
      </c>
      <c r="F46" s="2993">
        <v>86513</v>
      </c>
      <c r="G46" s="2993">
        <v>3.5</v>
      </c>
      <c r="H46" s="2993" t="s">
        <v>3458</v>
      </c>
      <c r="I46" s="2993" t="s">
        <v>3456</v>
      </c>
      <c r="J46" s="2993">
        <v>42400</v>
      </c>
      <c r="K46" s="2993">
        <v>1143.57</v>
      </c>
      <c r="L46" s="2993">
        <v>4901</v>
      </c>
      <c r="M46" s="2993">
        <v>0.95</v>
      </c>
      <c r="N46" s="2993" t="s">
        <v>3441</v>
      </c>
    </row>
    <row r="47" spans="1:14">
      <c r="A47" s="2993" t="s">
        <v>3459</v>
      </c>
      <c r="B47" s="2993" t="s">
        <v>3062</v>
      </c>
      <c r="C47" s="2993" t="s">
        <v>3340</v>
      </c>
      <c r="D47" s="2993" t="s">
        <v>3341</v>
      </c>
      <c r="E47" s="2993">
        <v>18153</v>
      </c>
      <c r="F47" s="2993">
        <v>18859</v>
      </c>
      <c r="G47" s="2993">
        <v>1.04</v>
      </c>
      <c r="H47" s="2993" t="s">
        <v>3460</v>
      </c>
      <c r="I47" s="2993" t="s">
        <v>3461</v>
      </c>
      <c r="J47" s="2993">
        <v>3900</v>
      </c>
      <c r="K47" s="2993">
        <v>143.22999999999999</v>
      </c>
      <c r="L47" s="2993">
        <v>2067.98</v>
      </c>
      <c r="M47" s="2993">
        <v>0</v>
      </c>
      <c r="N47" s="2993" t="s">
        <v>3441</v>
      </c>
    </row>
    <row r="48" spans="1:14">
      <c r="A48" s="2993" t="s">
        <v>3462</v>
      </c>
      <c r="B48" s="2993" t="s">
        <v>3062</v>
      </c>
      <c r="C48" s="2993" t="s">
        <v>3340</v>
      </c>
      <c r="D48" s="2993" t="s">
        <v>3404</v>
      </c>
      <c r="E48" s="2993">
        <v>52958</v>
      </c>
      <c r="F48" s="2993">
        <v>121340</v>
      </c>
      <c r="G48" s="2993">
        <v>2.29</v>
      </c>
      <c r="H48" s="2993" t="s">
        <v>3463</v>
      </c>
      <c r="I48" s="2993" t="s">
        <v>3464</v>
      </c>
      <c r="J48" s="2993">
        <v>63600</v>
      </c>
      <c r="K48" s="2993">
        <v>800.63</v>
      </c>
      <c r="L48" s="2993">
        <v>5241.47</v>
      </c>
      <c r="M48" s="2993" t="s">
        <v>1331</v>
      </c>
      <c r="N48" s="2993" t="s">
        <v>3441</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成本法（办公）</vt:lpstr>
      <vt:lpstr>成本法 (元)</vt:lpstr>
      <vt:lpstr>假设开发法</vt:lpstr>
      <vt:lpstr>收益法（办公）</vt:lpstr>
      <vt:lpstr>比较法-办公</vt:lpstr>
      <vt:lpstr>结果表（商业）</vt:lpstr>
      <vt:lpstr>成本法（商业）</vt:lpstr>
      <vt:lpstr>收益法（商业）</vt:lpstr>
      <vt:lpstr>比较法-商业</vt:lpstr>
      <vt:lpstr>结果表（地下车库）</vt:lpstr>
      <vt:lpstr>成本法（地下车库）</vt:lpstr>
      <vt:lpstr>收益法（地下车库）</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面积表</vt:lpstr>
      <vt:lpstr>成本法（废）</vt:lpstr>
      <vt:lpstr>区片价</vt:lpstr>
      <vt:lpstr>因素修正幅度</vt:lpstr>
      <vt:lpstr>存贷款利率</vt:lpstr>
      <vt:lpstr>区片价（范围）</vt:lpstr>
      <vt:lpstr>案例</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2018-03-27T06:37:03Z</dcterms:modified>
</cp:coreProperties>
</file>