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84" yWindow="108" windowWidth="11208" windowHeight="10884"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A10" i="52"/>
  <c r="B55"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1" i="3"/>
  <c r="AZ376" i="3"/>
  <c r="AZ390" i="3"/>
  <c r="AZ382" i="3"/>
  <c r="AZ493" i="3"/>
  <c r="U36" i="40"/>
  <c r="F36" i="43"/>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G59" i="34" s="1"/>
  <c r="H59" i="34" s="1"/>
  <c r="I59" i="34" s="1"/>
  <c r="J59" i="34" s="1"/>
  <c r="K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E56" i="39"/>
  <c r="B6" i="1"/>
  <c r="E6" i="1" s="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D9" i="69"/>
  <c r="C9" i="69" s="1"/>
  <c r="AQ9" i="1"/>
  <c r="T9" i="1"/>
  <c r="T13"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O19" i="43"/>
  <c r="B5" i="62"/>
  <c r="B73" i="72"/>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C13" i="12"/>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D59" i="9"/>
  <c r="M55" i="9"/>
  <c r="AD3" i="71"/>
  <c r="B4" i="62"/>
  <c r="B71" i="72"/>
  <c r="M26" i="15"/>
  <c r="M23" i="15"/>
  <c r="F4" i="73"/>
  <c r="F43" i="67"/>
  <c r="E8" i="76"/>
  <c r="F8" i="67"/>
  <c r="AO11" i="1"/>
  <c r="M28" i="15"/>
  <c r="J15" i="67"/>
  <c r="M22" i="15"/>
  <c r="M21" i="67"/>
  <c r="B10" i="76"/>
  <c r="M24" i="67"/>
  <c r="F13" i="15"/>
  <c r="E13" i="76"/>
  <c r="F38" i="67"/>
  <c r="F6" i="73"/>
  <c r="E7" i="76"/>
  <c r="AO9" i="1"/>
  <c r="F6" i="15"/>
  <c r="M8" i="15"/>
  <c r="F5" i="73"/>
  <c r="D2" i="34"/>
  <c r="F37" i="67"/>
  <c r="F40" i="15"/>
  <c r="F9" i="15"/>
  <c r="M27" i="15"/>
  <c r="F37" i="15"/>
  <c r="F36" i="67"/>
  <c r="C76" i="15"/>
  <c r="F41" i="67"/>
  <c r="F7" i="67"/>
  <c r="F16" i="67"/>
  <c r="M8" i="67"/>
  <c r="M29" i="15"/>
  <c r="L47" i="67"/>
  <c r="E9" i="76"/>
  <c r="M6" i="15"/>
  <c r="M29" i="67"/>
  <c r="L48" i="67"/>
  <c r="F42" i="67"/>
  <c r="F3" i="73"/>
  <c r="D2" i="35"/>
  <c r="M28" i="67"/>
  <c r="M24" i="15"/>
  <c r="E2" i="69"/>
  <c r="F43" i="15"/>
  <c r="B13" i="76"/>
  <c r="AO10" i="1"/>
  <c r="F26" i="67"/>
  <c r="E12" i="76"/>
  <c r="AO8" i="1"/>
  <c r="E10" i="76"/>
  <c r="E2" i="68"/>
  <c r="F35" i="67"/>
  <c r="D2" i="21"/>
  <c r="D2" i="33"/>
  <c r="B12" i="76"/>
  <c r="M22" i="67"/>
  <c r="F40" i="67"/>
  <c r="E11" i="76"/>
  <c r="D2" i="36"/>
  <c r="AO7" i="1"/>
  <c r="B7" i="76"/>
  <c r="F20" i="31"/>
  <c r="B11" i="76"/>
  <c r="M9" i="67"/>
  <c r="AO12" i="1"/>
  <c r="F9" i="67"/>
  <c r="F7" i="73"/>
  <c r="F7" i="15"/>
  <c r="M23" i="67"/>
  <c r="M9" i="15"/>
  <c r="F6" i="67"/>
  <c r="M26" i="67"/>
  <c r="F36" i="15"/>
  <c r="M6" i="67"/>
  <c r="F16" i="15"/>
  <c r="B8" i="76"/>
  <c r="M27" i="67"/>
  <c r="F8" i="15"/>
  <c r="F38" i="15"/>
  <c r="C76" i="67"/>
  <c r="L48" i="15"/>
  <c r="F26" i="15"/>
  <c r="J15" i="15"/>
  <c r="F42" i="15"/>
  <c r="D2" i="37"/>
  <c r="F13" i="67"/>
  <c r="L47" i="15"/>
  <c r="B9" i="76"/>
  <c r="AO13" i="1"/>
  <c r="C6" i="15" l="1"/>
  <c r="D23" i="67"/>
  <c r="D22" i="67"/>
  <c r="C40" i="69"/>
  <c r="J86" i="43"/>
  <c r="J87" i="43"/>
  <c r="J88" i="43"/>
  <c r="D81" i="43"/>
  <c r="E81" i="43" s="1"/>
  <c r="B79" i="43" s="1"/>
  <c r="C24" i="43" s="1"/>
  <c r="E11" i="43"/>
  <c r="E9" i="43"/>
  <c r="E10" i="43"/>
  <c r="E8" i="43"/>
  <c r="F81" i="43"/>
  <c r="N4" i="43"/>
  <c r="N2" i="43"/>
  <c r="P61" i="15"/>
  <c r="J53" i="15"/>
  <c r="F1" i="15" s="1"/>
  <c r="F32" i="15"/>
  <c r="F60" i="15" s="1"/>
  <c r="F31" i="12"/>
  <c r="C31" i="12" s="1"/>
  <c r="F54" i="9"/>
  <c r="F32" i="67"/>
  <c r="F60" i="67" s="1"/>
  <c r="F30" i="11"/>
  <c r="M18" i="15"/>
  <c r="F30" i="69"/>
  <c r="C48" i="69" s="1"/>
  <c r="F28" i="67"/>
  <c r="C28" i="67" s="1"/>
  <c r="F30" i="68"/>
  <c r="C30" i="68" s="1"/>
  <c r="C36" i="11"/>
  <c r="D68" i="9"/>
  <c r="C30" i="69"/>
  <c r="C48" i="68"/>
  <c r="F28" i="15"/>
  <c r="C28" i="15" s="1"/>
  <c r="M18" i="67"/>
  <c r="F52" i="9"/>
  <c r="D93" i="9"/>
  <c r="T7" i="1"/>
  <c r="E2" i="70"/>
  <c r="Q16" i="1"/>
  <c r="F27" i="69" s="1"/>
  <c r="C47" i="69" s="1"/>
  <c r="D45" i="69" s="1"/>
  <c r="G5" i="3"/>
  <c r="B3" i="3" s="1"/>
  <c r="E69" i="3" s="1"/>
  <c r="E196" i="3"/>
  <c r="E525" i="3"/>
  <c r="E527" i="3"/>
  <c r="E562" i="3"/>
  <c r="E450" i="3"/>
  <c r="E16" i="3"/>
  <c r="E228" i="3"/>
  <c r="E213" i="3"/>
  <c r="E515" i="3"/>
  <c r="E542" i="3"/>
  <c r="AD6" i="3"/>
  <c r="E379" i="3"/>
  <c r="E327" i="3"/>
  <c r="E107" i="3"/>
  <c r="E164" i="3"/>
  <c r="E145" i="3"/>
  <c r="E204" i="3"/>
  <c r="E271" i="3"/>
  <c r="E252" i="3"/>
  <c r="E207" i="3"/>
  <c r="E117" i="3"/>
  <c r="E180" i="3"/>
  <c r="E161" i="3"/>
  <c r="E221" i="3"/>
  <c r="E290"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1" i="6"/>
  <c r="E61" i="39" s="1"/>
  <c r="O7" i="1"/>
  <c r="P7" i="1" s="1"/>
  <c r="F27" i="11"/>
  <c r="F28" i="12"/>
  <c r="C29" i="12" s="1"/>
  <c r="D28" i="12" s="1"/>
  <c r="AQ7" i="1"/>
  <c r="P11" i="1"/>
  <c r="E12" i="6"/>
  <c r="E13" i="6"/>
  <c r="E10" i="6"/>
  <c r="E14" i="6"/>
  <c r="E15" i="6"/>
  <c r="E29" i="6"/>
  <c r="K15" i="1" s="1"/>
  <c r="AR8" i="1"/>
  <c r="T8" i="1"/>
  <c r="O9" i="1"/>
  <c r="P9" i="1" s="1"/>
  <c r="F30" i="6"/>
  <c r="F31" i="6" s="1"/>
  <c r="E28" i="6"/>
  <c r="AR11" i="1"/>
  <c r="D19" i="12"/>
  <c r="C19" i="12" s="1"/>
  <c r="T11" i="1"/>
  <c r="E51" i="40"/>
  <c r="P10" i="1"/>
  <c r="BL13" i="3"/>
  <c r="BL5" i="3" s="1"/>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J56" i="9"/>
  <c r="J57" i="9" s="1"/>
  <c r="J59" i="9" s="1"/>
  <c r="J61" i="9" s="1"/>
  <c r="K56" i="9"/>
  <c r="N56" i="9"/>
  <c r="C65" i="40"/>
  <c r="D63" i="40"/>
  <c r="AA7" i="33"/>
  <c r="R48" i="33" s="1"/>
  <c r="E48" i="33" s="1"/>
  <c r="J1" i="73"/>
  <c r="G52" i="33"/>
  <c r="H52" i="33" s="1"/>
  <c r="R49" i="33"/>
  <c r="U7" i="33"/>
  <c r="AC7" i="33"/>
  <c r="V48" i="33" s="1"/>
  <c r="I48" i="33" s="1"/>
  <c r="L59" i="34"/>
  <c r="M59" i="34" s="1"/>
  <c r="N59" i="34" s="1"/>
  <c r="O59" i="34" s="1"/>
  <c r="F7" i="34"/>
  <c r="J7" i="34"/>
  <c r="F48" i="35"/>
  <c r="E46" i="36"/>
  <c r="D58" i="21"/>
  <c r="H7" i="34"/>
  <c r="G52" i="37"/>
  <c r="C70" i="39"/>
  <c r="D68" i="3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D3" i="73"/>
  <c r="D7" i="73"/>
  <c r="C17" i="67"/>
  <c r="C14" i="15"/>
  <c r="C14" i="67"/>
  <c r="C17" i="15"/>
  <c r="AE6" i="1"/>
  <c r="C16" i="15"/>
  <c r="D6" i="73"/>
  <c r="C16" i="67"/>
  <c r="D4" i="73"/>
  <c r="D5" i="73"/>
  <c r="C29" i="69" l="1"/>
  <c r="D27" i="69" s="1"/>
  <c r="C9" i="68"/>
  <c r="C29" i="68"/>
  <c r="D27" i="68" s="1"/>
  <c r="C47" i="68"/>
  <c r="D45" i="68" s="1"/>
  <c r="G17" i="43"/>
  <c r="C16" i="43" s="1"/>
  <c r="H83" i="43"/>
  <c r="H82" i="43"/>
  <c r="H85" i="43"/>
  <c r="H84" i="43"/>
  <c r="H86" i="43"/>
  <c r="H87" i="43"/>
  <c r="H81" i="43"/>
  <c r="H88" i="43"/>
  <c r="Q52" i="15"/>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AC6" i="3"/>
  <c r="E56" i="40"/>
  <c r="C29" i="11"/>
  <c r="D27" i="11" s="1"/>
  <c r="C47" i="11"/>
  <c r="D45" i="11" s="1"/>
  <c r="C15" i="15"/>
  <c r="C18" i="15"/>
  <c r="K14" i="1"/>
  <c r="E30" i="6"/>
  <c r="E60" i="40"/>
  <c r="E65" i="39"/>
  <c r="E16" i="6"/>
  <c r="E57" i="40"/>
  <c r="E62" i="39"/>
  <c r="BA5" i="3"/>
  <c r="E27" i="6" s="1"/>
  <c r="E31" i="6" s="1"/>
  <c r="AZ13" i="3"/>
  <c r="AZ5" i="3" s="1"/>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E20" i="43"/>
  <c r="P28" i="43" s="1"/>
  <c r="G20" i="43" s="1"/>
  <c r="H6" i="1" s="1"/>
  <c r="K1" i="73"/>
  <c r="D65" i="40"/>
  <c r="E63" i="40"/>
  <c r="E68" i="39"/>
  <c r="D70" i="39"/>
  <c r="H52" i="37"/>
  <c r="F46" i="36"/>
  <c r="W7" i="34"/>
  <c r="AC7" i="34"/>
  <c r="V49" i="34" s="1"/>
  <c r="I49" i="34" s="1"/>
  <c r="S7" i="34"/>
  <c r="AA7" i="34"/>
  <c r="R49" i="34" s="1"/>
  <c r="I52" i="33"/>
  <c r="J52" i="33" s="1"/>
  <c r="I53" i="33"/>
  <c r="J53" i="33" s="1"/>
  <c r="C49" i="33"/>
  <c r="C48" i="33"/>
  <c r="G53" i="33"/>
  <c r="H53" i="33" s="1"/>
  <c r="U7" i="34"/>
  <c r="AB7" i="34"/>
  <c r="T49" i="34" s="1"/>
  <c r="G49" i="34" s="1"/>
  <c r="E58" i="21"/>
  <c r="G48" i="35"/>
  <c r="E53" i="33"/>
  <c r="F53" i="33" s="1"/>
  <c r="E52" i="33"/>
  <c r="F52" i="33" s="1"/>
  <c r="P23" i="43"/>
  <c r="B71" i="39" s="1"/>
  <c r="C6" i="71"/>
  <c r="C5" i="71" s="1"/>
  <c r="D5" i="71" s="1"/>
  <c r="D7" i="71"/>
  <c r="P25" i="43"/>
  <c r="C49" i="67"/>
  <c r="C49" i="15"/>
  <c r="C18" i="67"/>
  <c r="C15" i="67"/>
  <c r="M11" i="15"/>
  <c r="J10" i="15" s="1"/>
  <c r="J5" i="15" s="1"/>
  <c r="F11" i="67"/>
  <c r="F11" i="15"/>
  <c r="C10" i="15" s="1"/>
  <c r="M11" i="67"/>
  <c r="J10" i="67" s="1"/>
  <c r="J5" i="67" s="1"/>
  <c r="Q73" i="67"/>
  <c r="Q60" i="67"/>
  <c r="Q60" i="15"/>
  <c r="Q73" i="15"/>
  <c r="Q74" i="15"/>
  <c r="Q61" i="15"/>
  <c r="Q61" i="67"/>
  <c r="Q74" i="67"/>
  <c r="F41" i="15"/>
  <c r="G1" i="73"/>
  <c r="G6" i="1" l="1"/>
  <c r="G16" i="1" s="1"/>
  <c r="H16" i="1"/>
  <c r="M28" i="43"/>
  <c r="F69" i="15"/>
  <c r="O28" i="43"/>
  <c r="E41" i="43"/>
  <c r="C41" i="43" s="1"/>
  <c r="C20" i="43"/>
  <c r="C19" i="15"/>
  <c r="C20" i="15" s="1"/>
  <c r="C26" i="15" s="1"/>
  <c r="N28" i="43"/>
  <c r="H6" i="3"/>
  <c r="E6" i="3" s="1"/>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K20" i="6"/>
  <c r="M20" i="6" s="1"/>
  <c r="I20" i="6" s="1"/>
  <c r="S20" i="6" s="1"/>
  <c r="C23" i="43"/>
  <c r="C21" i="43" s="1"/>
  <c r="S7" i="43"/>
  <c r="S5" i="43"/>
  <c r="S4" i="43"/>
  <c r="S6" i="43"/>
  <c r="S3" i="43"/>
  <c r="S2" i="43"/>
  <c r="C115" i="43"/>
  <c r="D113" i="43" s="1"/>
  <c r="B40" i="1"/>
  <c r="F22" i="68" s="1"/>
  <c r="F63" i="40"/>
  <c r="E65" i="40"/>
  <c r="H48" i="35"/>
  <c r="F58" i="21"/>
  <c r="E49" i="34"/>
  <c r="I54" i="34" s="1"/>
  <c r="J54" i="34" s="1"/>
  <c r="R50" i="34"/>
  <c r="I53" i="34"/>
  <c r="J53" i="34" s="1"/>
  <c r="I52" i="37"/>
  <c r="G53" i="34"/>
  <c r="H53" i="34" s="1"/>
  <c r="G54" i="34"/>
  <c r="H54" i="34" s="1"/>
  <c r="G46" i="36"/>
  <c r="F68" i="39"/>
  <c r="E70" i="39"/>
  <c r="D6" i="71"/>
  <c r="M20" i="43" s="1"/>
  <c r="C19" i="43" s="1"/>
  <c r="C19" i="67"/>
  <c r="C20" i="67" s="1"/>
  <c r="C26" i="67" s="1"/>
  <c r="J24" i="67"/>
  <c r="J26" i="67"/>
  <c r="J29" i="67" s="1"/>
  <c r="J18" i="67"/>
  <c r="C53" i="67"/>
  <c r="C48" i="67" s="1"/>
  <c r="C10" i="67"/>
  <c r="C5" i="67" s="1"/>
  <c r="J24" i="15"/>
  <c r="J18" i="15"/>
  <c r="J26" i="15"/>
  <c r="J29" i="15" s="1"/>
  <c r="C53" i="15"/>
  <c r="C48" i="15" s="1"/>
  <c r="C5" i="15"/>
  <c r="J10" i="40" l="1"/>
  <c r="H10" i="40"/>
  <c r="F10" i="39"/>
  <c r="J10" i="39"/>
  <c r="H10" i="39"/>
  <c r="F10" i="40"/>
  <c r="F25" i="12"/>
  <c r="C26" i="12" s="1"/>
  <c r="D25" i="12" s="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66" i="15"/>
  <c r="C60" i="15"/>
  <c r="C60" i="67"/>
  <c r="C66" i="67"/>
  <c r="C38" i="67"/>
  <c r="C32" i="67"/>
  <c r="AA10" i="40" l="1"/>
  <c r="S10" i="40"/>
  <c r="AC10" i="39"/>
  <c r="W10" i="39"/>
  <c r="AB10" i="40"/>
  <c r="U10" i="40"/>
  <c r="AB10" i="39"/>
  <c r="U10" i="39"/>
  <c r="AA10" i="39"/>
  <c r="S10" i="39"/>
  <c r="AC10" i="40"/>
  <c r="W10" i="40"/>
  <c r="C23" i="67"/>
  <c r="C29" i="67" s="1"/>
  <c r="C33" i="67" s="1"/>
  <c r="C31" i="67" s="1"/>
  <c r="C44" i="11"/>
  <c r="D41" i="11" s="1"/>
  <c r="C26" i="69"/>
  <c r="D22" i="69" s="1"/>
  <c r="C7" i="74"/>
  <c r="M27" i="6"/>
  <c r="I19" i="6"/>
  <c r="H20" i="6"/>
  <c r="D19" i="6"/>
  <c r="C18" i="4"/>
  <c r="D23" i="6"/>
  <c r="D6" i="6"/>
  <c r="D9" i="6"/>
  <c r="D10" i="6"/>
  <c r="L19" i="9"/>
  <c r="D29" i="6"/>
  <c r="H25" i="6"/>
  <c r="H23" i="6"/>
  <c r="H26" i="6"/>
  <c r="M19" i="9"/>
  <c r="C118" i="9" s="1"/>
  <c r="C14" i="74" s="1"/>
  <c r="B2" i="74" s="1"/>
  <c r="D26" i="6"/>
  <c r="R26" i="6" s="1"/>
  <c r="D8" i="6"/>
  <c r="D14" i="6"/>
  <c r="D5" i="6"/>
  <c r="D12" i="6"/>
  <c r="D11" i="6"/>
  <c r="D13" i="6"/>
  <c r="D28" i="6"/>
  <c r="D30" i="6" s="1"/>
  <c r="E61" i="40"/>
  <c r="H22" i="6"/>
  <c r="H21" i="6"/>
  <c r="H24" i="6"/>
  <c r="H19" i="6"/>
  <c r="H27" i="6" s="1"/>
  <c r="D24" i="6"/>
  <c r="R24" i="6" s="1"/>
  <c r="D22" i="6"/>
  <c r="D25" i="6"/>
  <c r="R25" i="6" s="1"/>
  <c r="D20" i="6"/>
  <c r="R20" i="6" s="1"/>
  <c r="D21" i="6"/>
  <c r="D15" i="6"/>
  <c r="P14" i="1"/>
  <c r="P16" i="1" s="1"/>
  <c r="C11" i="12" s="1"/>
  <c r="D17" i="12"/>
  <c r="C17" i="12" s="1"/>
  <c r="C14" i="12"/>
  <c r="D10" i="11"/>
  <c r="C10" i="11" s="1"/>
  <c r="D20" i="12"/>
  <c r="C20" i="12" s="1"/>
  <c r="C18" i="12" s="1"/>
  <c r="D10" i="69"/>
  <c r="N16" i="1"/>
  <c r="L16" i="1"/>
  <c r="C34" i="11"/>
  <c r="C25" i="11"/>
  <c r="C26" i="11"/>
  <c r="D22" i="11" s="1"/>
  <c r="C23" i="11"/>
  <c r="C22" i="11" s="1"/>
  <c r="C23" i="15"/>
  <c r="C29" i="15" s="1"/>
  <c r="J19" i="15" s="1"/>
  <c r="H63" i="40"/>
  <c r="G65" i="40"/>
  <c r="AB7" i="21"/>
  <c r="T48" i="21" s="1"/>
  <c r="G48" i="21" s="1"/>
  <c r="U7" i="21"/>
  <c r="J7" i="21"/>
  <c r="K52" i="37"/>
  <c r="I46" i="36"/>
  <c r="H68" i="39"/>
  <c r="G70" i="39"/>
  <c r="J48" i="35"/>
  <c r="F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D10" i="68"/>
  <c r="C34" i="68"/>
  <c r="J59" i="67" l="1"/>
  <c r="J60" i="67" s="1"/>
  <c r="L46" i="67" s="1"/>
  <c r="C13" i="67"/>
  <c r="C37" i="67" s="1"/>
  <c r="Q49" i="67"/>
  <c r="J14" i="67"/>
  <c r="J22" i="67" s="1"/>
  <c r="C36" i="67"/>
  <c r="J19" i="67"/>
  <c r="J17" i="67" s="1"/>
  <c r="C57" i="67"/>
  <c r="C61" i="67" s="1"/>
  <c r="C59" i="67" s="1"/>
  <c r="R22" i="6"/>
  <c r="C31" i="11"/>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C36" i="15"/>
  <c r="J14" i="15"/>
  <c r="J13" i="15" s="1"/>
  <c r="J23" i="15" s="1"/>
  <c r="Q49" i="15"/>
  <c r="C13" i="15"/>
  <c r="C56" i="15" s="1"/>
  <c r="C65" i="15" s="1"/>
  <c r="C57" i="15"/>
  <c r="C61" i="15" s="1"/>
  <c r="H65" i="40"/>
  <c r="I63" i="40"/>
  <c r="AC7" i="21"/>
  <c r="V48" i="21" s="1"/>
  <c r="I48" i="21" s="1"/>
  <c r="W7" i="21"/>
  <c r="G52" i="21"/>
  <c r="H52" i="21" s="1"/>
  <c r="G53" i="21"/>
  <c r="H53" i="21" s="1"/>
  <c r="S7" i="21"/>
  <c r="AA7" i="21"/>
  <c r="R48" i="21" s="1"/>
  <c r="K48" i="35"/>
  <c r="I68" i="39"/>
  <c r="H70" i="39"/>
  <c r="J46" i="36"/>
  <c r="L52" i="37"/>
  <c r="C26" i="43"/>
  <c r="B2" i="43" s="1"/>
  <c r="C6" i="68" s="1"/>
  <c r="C7" i="68" s="1"/>
  <c r="C5" i="68" s="1"/>
  <c r="C23" i="68" s="1"/>
  <c r="C27" i="43"/>
  <c r="C75" i="67"/>
  <c r="Q70" i="67"/>
  <c r="J13" i="67"/>
  <c r="J23" i="67" s="1"/>
  <c r="Q48" i="15"/>
  <c r="C33" i="15"/>
  <c r="E6" i="76"/>
  <c r="B6" i="76"/>
  <c r="C56" i="67" l="1"/>
  <c r="C65" i="67" s="1"/>
  <c r="C64" i="67"/>
  <c r="Q48" i="67"/>
  <c r="C30" i="67"/>
  <c r="C39" i="67" s="1"/>
  <c r="Q69" i="67" s="1"/>
  <c r="Q68" i="67" s="1"/>
  <c r="R27" i="6"/>
  <c r="R6" i="1"/>
  <c r="C37" i="15"/>
  <c r="Q70" i="15"/>
  <c r="J22" i="15"/>
  <c r="C16" i="12"/>
  <c r="C21" i="12" s="1"/>
  <c r="C22" i="12" s="1"/>
  <c r="C19" i="68"/>
  <c r="D37" i="68"/>
  <c r="C37" i="68" s="1"/>
  <c r="C33" i="68" s="1"/>
  <c r="C91" i="9" s="1"/>
  <c r="C33" i="11"/>
  <c r="I6" i="6"/>
  <c r="I5" i="6"/>
  <c r="C19" i="69"/>
  <c r="C24" i="69" s="1"/>
  <c r="D37" i="69"/>
  <c r="C37" i="69" s="1"/>
  <c r="C33" i="69" s="1"/>
  <c r="C23" i="69"/>
  <c r="C64" i="15"/>
  <c r="C75" i="15"/>
  <c r="I65" i="40"/>
  <c r="J63" i="40"/>
  <c r="M52" i="37"/>
  <c r="R49" i="21"/>
  <c r="E48" i="21"/>
  <c r="I52" i="21"/>
  <c r="J52" i="21" s="1"/>
  <c r="I53" i="21"/>
  <c r="J53" i="21" s="1"/>
  <c r="K46" i="36"/>
  <c r="J68" i="39"/>
  <c r="I70" i="39"/>
  <c r="L48" i="35"/>
  <c r="E2" i="76"/>
  <c r="B2" i="76"/>
  <c r="B3" i="43"/>
  <c r="J16" i="67"/>
  <c r="J25" i="67" s="1"/>
  <c r="C40" i="67"/>
  <c r="F35" i="15"/>
  <c r="L51" i="67"/>
  <c r="M21" i="15"/>
  <c r="C58" i="67" l="1"/>
  <c r="C67" i="67" s="1"/>
  <c r="C68" i="67" s="1"/>
  <c r="C71" i="67" s="1"/>
  <c r="C80" i="67"/>
  <c r="C79" i="67" s="1"/>
  <c r="C92" i="9"/>
  <c r="C94" i="9"/>
  <c r="C20" i="69"/>
  <c r="C28" i="69" s="1"/>
  <c r="C27" i="69" s="1"/>
  <c r="J20" i="15"/>
  <c r="J17" i="15" s="1"/>
  <c r="J16" i="15" s="1"/>
  <c r="J25" i="15" s="1"/>
  <c r="F63" i="15"/>
  <c r="C62" i="15" s="1"/>
  <c r="C59" i="15" s="1"/>
  <c r="C58" i="15" s="1"/>
  <c r="C67" i="15" s="1"/>
  <c r="C68" i="15" s="1"/>
  <c r="C71" i="15" s="1"/>
  <c r="C34" i="15"/>
  <c r="C31" i="15" s="1"/>
  <c r="R16" i="1"/>
  <c r="C30" i="12"/>
  <c r="C28" i="12" s="1"/>
  <c r="C27" i="12"/>
  <c r="C25" i="12" s="1"/>
  <c r="C39" i="69"/>
  <c r="C42" i="69"/>
  <c r="C39" i="11"/>
  <c r="C42" i="11"/>
  <c r="C20" i="68"/>
  <c r="C24" i="68"/>
  <c r="C39" i="68"/>
  <c r="C43" i="68" s="1"/>
  <c r="C42" i="68"/>
  <c r="K63" i="40"/>
  <c r="J65" i="40"/>
  <c r="E52" i="21"/>
  <c r="F52" i="21" s="1"/>
  <c r="E53" i="21"/>
  <c r="F53" i="21" s="1"/>
  <c r="M48" i="35"/>
  <c r="K68" i="39"/>
  <c r="J70" i="39"/>
  <c r="L46" i="36"/>
  <c r="C48" i="21"/>
  <c r="C49" i="21"/>
  <c r="B2" i="21" s="1"/>
  <c r="B3" i="21" s="1"/>
  <c r="N52" i="37"/>
  <c r="B3" i="76"/>
  <c r="Q67" i="67"/>
  <c r="L57" i="67"/>
  <c r="L60" i="67" s="1"/>
  <c r="Q56" i="67"/>
  <c r="Q47" i="67"/>
  <c r="Q53" i="67" s="1"/>
  <c r="Q65" i="67"/>
  <c r="C43" i="67"/>
  <c r="D2" i="67"/>
  <c r="C83" i="67"/>
  <c r="C82" i="67" s="1"/>
  <c r="C30" i="15" l="1"/>
  <c r="C39" i="15" s="1"/>
  <c r="C45" i="67"/>
  <c r="C46" i="67" s="1"/>
  <c r="C25" i="69"/>
  <c r="C22" i="69" s="1"/>
  <c r="C31" i="69" s="1"/>
  <c r="L57" i="15"/>
  <c r="L60" i="15" s="1"/>
  <c r="L46" i="15" s="1"/>
  <c r="C41" i="68"/>
  <c r="C32" i="12"/>
  <c r="B2" i="12" s="1"/>
  <c r="B3" i="12" s="1"/>
  <c r="C46" i="68"/>
  <c r="C45" i="68" s="1"/>
  <c r="C28" i="68"/>
  <c r="C27" i="68" s="1"/>
  <c r="C25" i="68"/>
  <c r="C22" i="68" s="1"/>
  <c r="C46" i="11"/>
  <c r="C45" i="11" s="1"/>
  <c r="C43" i="11"/>
  <c r="C41" i="11" s="1"/>
  <c r="C46" i="69"/>
  <c r="C45" i="69" s="1"/>
  <c r="C43" i="69"/>
  <c r="C41" i="69" s="1"/>
  <c r="K65" i="40"/>
  <c r="L63" i="40"/>
  <c r="O52" i="37"/>
  <c r="J7" i="37"/>
  <c r="M46" i="36"/>
  <c r="N46" i="36" s="1"/>
  <c r="O46" i="36" s="1"/>
  <c r="H7" i="36"/>
  <c r="L68" i="39"/>
  <c r="K70" i="39"/>
  <c r="N48" i="35"/>
  <c r="Q66" i="67"/>
  <c r="Q75" i="67" s="1"/>
  <c r="Q57" i="67"/>
  <c r="Q62" i="67" s="1"/>
  <c r="B2" i="67"/>
  <c r="B3" i="67"/>
  <c r="L51" i="15"/>
  <c r="Q67" i="15" l="1"/>
  <c r="C80" i="15"/>
  <c r="C79" i="15" s="1"/>
  <c r="C40" i="15"/>
  <c r="B2" i="15" s="1"/>
  <c r="Q69" i="15"/>
  <c r="Q68" i="15" s="1"/>
  <c r="Q66" i="15"/>
  <c r="Q57" i="15"/>
  <c r="C49" i="68"/>
  <c r="C51" i="68" s="1"/>
  <c r="C49" i="69"/>
  <c r="C51" i="69" s="1"/>
  <c r="C52" i="69" s="1"/>
  <c r="B2" i="69" s="1"/>
  <c r="B3" i="69" s="1"/>
  <c r="C49" i="11"/>
  <c r="C51" i="11" s="1"/>
  <c r="C52" i="11" s="1"/>
  <c r="B2" i="11" s="1"/>
  <c r="B3" i="11" s="1"/>
  <c r="C31" i="68"/>
  <c r="L65" i="40"/>
  <c r="M63" i="40"/>
  <c r="U7" i="36"/>
  <c r="AB7" i="36"/>
  <c r="T36" i="36" s="1"/>
  <c r="G36" i="36" s="1"/>
  <c r="W7" i="37"/>
  <c r="AC7" i="37"/>
  <c r="V42" i="37" s="1"/>
  <c r="I42" i="37" s="1"/>
  <c r="O48" i="35"/>
  <c r="J7" i="35"/>
  <c r="M68" i="39"/>
  <c r="L70" i="39"/>
  <c r="J7" i="36"/>
  <c r="F7" i="36"/>
  <c r="F7" i="37"/>
  <c r="H7" i="37"/>
  <c r="AO6" i="1"/>
  <c r="D19" i="9"/>
  <c r="C52" i="68" l="1"/>
  <c r="B2" i="68" s="1"/>
  <c r="C43" i="15"/>
  <c r="C46" i="15"/>
  <c r="Q56" i="15"/>
  <c r="Q62" i="15" s="1"/>
  <c r="Q65" i="15"/>
  <c r="Q75" i="15" s="1"/>
  <c r="Q47" i="15"/>
  <c r="Q53" i="15" s="1"/>
  <c r="C83" i="15"/>
  <c r="C82" i="15" s="1"/>
  <c r="D102" i="9"/>
  <c r="D21" i="9"/>
  <c r="B6" i="70"/>
  <c r="B2" i="70" s="1"/>
  <c r="B3" i="70" s="1"/>
  <c r="B3" i="15"/>
  <c r="C57" i="69"/>
  <c r="C56" i="69" s="1"/>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C19" i="9"/>
  <c r="D20" i="9"/>
  <c r="D22" i="9" l="1"/>
  <c r="C21" i="9"/>
  <c r="C102" i="9"/>
  <c r="G19" i="9"/>
  <c r="G21" i="9" s="1"/>
  <c r="B3" i="68"/>
  <c r="C57" i="68"/>
  <c r="C56" i="68" s="1"/>
  <c r="D103" i="9"/>
  <c r="C32" i="9"/>
  <c r="O63" i="40"/>
  <c r="O65" i="40" s="1"/>
  <c r="N65" i="40"/>
  <c r="AA7" i="35"/>
  <c r="R38" i="35" s="1"/>
  <c r="S7" i="35"/>
  <c r="I42" i="35"/>
  <c r="J42" i="35" s="1"/>
  <c r="R37" i="36"/>
  <c r="E36" i="36"/>
  <c r="U7" i="35"/>
  <c r="AB7" i="35"/>
  <c r="T38" i="35" s="1"/>
  <c r="G38" i="35" s="1"/>
  <c r="O68" i="39"/>
  <c r="O70" i="39" s="1"/>
  <c r="N70" i="39"/>
  <c r="I41" i="36"/>
  <c r="J41" i="36" s="1"/>
  <c r="I40" i="36"/>
  <c r="J40" i="36" s="1"/>
  <c r="R43" i="37"/>
  <c r="E42" i="37"/>
  <c r="G46" i="37"/>
  <c r="H46" i="37" s="1"/>
  <c r="G47" i="37"/>
  <c r="H47" i="37" s="1"/>
  <c r="D35" i="9"/>
  <c r="C20" i="9"/>
  <c r="D34" i="9"/>
  <c r="C103" i="9" l="1"/>
  <c r="G20" i="9"/>
  <c r="H118" i="9"/>
  <c r="C35" i="9"/>
  <c r="F118" i="9" s="1"/>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34" i="9" l="1"/>
  <c r="D118" i="9" s="1"/>
  <c r="D4" i="52" s="1"/>
  <c r="B47" i="72" s="1"/>
  <c r="F4" i="52"/>
  <c r="B51" i="72" s="1"/>
  <c r="F119" i="9"/>
  <c r="F5" i="52" s="1"/>
  <c r="B53" i="72" s="1"/>
  <c r="G118" i="9"/>
  <c r="G4" i="52" s="1"/>
  <c r="B52" i="72" s="1"/>
  <c r="D119" i="9"/>
  <c r="D5" i="52" s="1"/>
  <c r="B49" i="72" s="1"/>
  <c r="D14" i="74"/>
  <c r="H119" i="9"/>
  <c r="H5" i="52" s="1"/>
  <c r="C104" i="9"/>
  <c r="I118" i="9"/>
  <c r="H101" i="9"/>
  <c r="H4" i="52"/>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I4" i="52" l="1"/>
  <c r="E118" i="9"/>
  <c r="E4" i="52" s="1"/>
  <c r="B48" i="72" s="1"/>
  <c r="C105" i="9"/>
  <c r="H102" i="9"/>
  <c r="D7" i="53" s="1"/>
  <c r="B21" i="72" s="1"/>
  <c r="D45" i="9"/>
  <c r="M48" i="9"/>
  <c r="H107" i="9"/>
  <c r="M49" i="9" s="1"/>
  <c r="D5" i="53"/>
  <c r="E14" i="74"/>
  <c r="F14" i="74"/>
  <c r="B5" i="74"/>
  <c r="G46" i="40"/>
  <c r="H46" i="40" s="1"/>
  <c r="G47" i="40"/>
  <c r="H47" i="40" s="1"/>
  <c r="E42" i="40"/>
  <c r="R43" i="40"/>
  <c r="E47" i="39"/>
  <c r="I52" i="39" s="1"/>
  <c r="J52" i="39" s="1"/>
  <c r="R48" i="39"/>
  <c r="I51" i="39"/>
  <c r="J51" i="39" s="1"/>
  <c r="G51" i="39"/>
  <c r="H51" i="39" s="1"/>
  <c r="G52" i="39"/>
  <c r="H52" i="39" s="1"/>
  <c r="L68" i="9" l="1"/>
  <c r="M68" i="9" s="1"/>
  <c r="L65" i="9"/>
  <c r="M65" i="9" s="1"/>
  <c r="L66" i="9"/>
  <c r="M66" i="9" s="1"/>
  <c r="L64" i="9"/>
  <c r="M64" i="9" s="1"/>
  <c r="L63" i="9"/>
  <c r="M63" i="9" s="1"/>
  <c r="L67" i="9"/>
  <c r="M67" i="9" s="1"/>
  <c r="D6" i="53"/>
  <c r="B22" i="72" s="1"/>
  <c r="B20" i="72"/>
  <c r="C5" i="74"/>
  <c r="D5" i="74"/>
  <c r="D13" i="53"/>
  <c r="D122" i="9"/>
  <c r="H108" i="9"/>
  <c r="D15" i="53" s="1"/>
  <c r="B31" i="72" s="1"/>
  <c r="C64" i="9"/>
  <c r="C63" i="9" s="1"/>
  <c r="C67" i="9" s="1"/>
  <c r="C68" i="9" s="1"/>
  <c r="D54" i="9" s="1"/>
  <c r="D52" i="9"/>
  <c r="C85" i="9"/>
  <c r="C72" i="9"/>
  <c r="D55" i="9"/>
  <c r="M53" i="9" s="1"/>
  <c r="C93" i="9"/>
  <c r="C86" i="9" s="1"/>
  <c r="C78" i="9"/>
  <c r="C73" i="9" s="1"/>
  <c r="D53" i="9"/>
  <c r="D48" i="9" s="1"/>
  <c r="M52" i="9" s="1"/>
  <c r="C42" i="40"/>
  <c r="C43" i="40"/>
  <c r="I47" i="40"/>
  <c r="J47" i="40" s="1"/>
  <c r="E46" i="40"/>
  <c r="F46" i="40" s="1"/>
  <c r="E47" i="40"/>
  <c r="F47" i="40" s="1"/>
  <c r="C48" i="39"/>
  <c r="C47" i="39"/>
  <c r="E52" i="39"/>
  <c r="F52" i="39" s="1"/>
  <c r="E51" i="39"/>
  <c r="F51" i="39" s="1"/>
  <c r="M69" i="9" l="1"/>
  <c r="N69" i="9" s="1"/>
  <c r="C79" i="9"/>
  <c r="C80" i="9" s="1"/>
  <c r="E80" i="9" s="1"/>
  <c r="E81" i="9" s="1"/>
  <c r="C95" i="9"/>
  <c r="D123" i="9"/>
  <c r="D9" i="52" s="1"/>
  <c r="G14" i="74"/>
  <c r="B6" i="74" s="1"/>
  <c r="D8" i="52"/>
  <c r="D14" i="53"/>
  <c r="B32" i="72" s="1"/>
  <c r="B30" i="72"/>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6" i="74"/>
  <c r="D6" i="74"/>
  <c r="C96" i="9"/>
  <c r="E96" i="9" s="1"/>
  <c r="E97" i="9" s="1"/>
  <c r="C97" i="9" l="1"/>
  <c r="D58" i="9" s="1"/>
  <c r="D56" i="9" s="1"/>
  <c r="M54" i="9" s="1"/>
  <c r="N57" i="9" s="1"/>
  <c r="N58" i="9" l="1"/>
  <c r="P57" i="9"/>
  <c r="N59" i="9"/>
  <c r="H111" i="9" s="1"/>
  <c r="D126" i="9" l="1"/>
  <c r="D19" i="53"/>
  <c r="N60" i="9"/>
  <c r="N61" i="9"/>
  <c r="H112" i="9" s="1"/>
  <c r="D21" i="53" s="1"/>
  <c r="B39" i="72" s="1"/>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<sst xmlns="http://schemas.openxmlformats.org/spreadsheetml/2006/main" count="7326" uniqueCount="3101">
  <si>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</si>
  <si>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</si>
  <si>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</si>
  <si>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</si>
  <si>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</si>
  <si>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</si>
  <si>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</si>
  <si>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</si>
  <si>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</si>
  <si>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</si>
  <si>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</si>
  <si>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</si>
  <si>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</si>
  <si>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</si>
  <si>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</si>
  <si>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</si>
  <si>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</si>
  <si>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</si>
  <si>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</si>
  <si>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</si>
  <si>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</si>
  <si>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</si>
  <si>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</si>
  <si>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</si>
  <si>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</si>
  <si>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</si>
  <si>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</si>
  <si>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</si>
  <si>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</si>
  <si>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</si>
  <si>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</si>
  <si>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</si>
  <si>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</si>
  <si>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</si>
  <si>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</si>
  <si>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</si>
  <si>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</si>
  <si>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</si>
  <si>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</si>
  <si>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</si>
  <si>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</si>
  <si>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</si>
  <si>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</si>
  <si>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</si>
  <si>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</si>
  <si>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</si>
  <si>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</si>
  <si>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</si>
  <si>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</si>
  <si>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</si>
  <si>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</si>
  <si>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</si>
  <si>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</si>
  <si>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</si>
  <si>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</si>
  <si>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</si>
  <si>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</si>
  <si>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</si>
  <si>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</si>
  <si>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</si>
  <si>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</si>
  <si>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</si>
  <si>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</si>
  <si>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</si>
  <si>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</si>
  <si>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</si>
  <si>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</si>
  <si>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</si>
  <si>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</si>
  <si>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</si>
  <si>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</si>
  <si>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</si>
  <si>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</si>
  <si>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</si>
  <si>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</si>
  <si>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</si>
  <si>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</si>
  <si>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</si>
  <si>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</si>
  <si>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</si>
  <si>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</si>
  <si>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</si>
  <si>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</si>
  <si>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</si>
  <si>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</si>
  <si>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</si>
  <si>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</si>
  <si>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</si>
  <si>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</si>
  <si>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</si>
  <si>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</si>
  <si>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</si>
  <si>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</si>
  <si>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</si>
  <si>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</si>
  <si>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</si>
  <si>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</si>
  <si>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</si>
  <si>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</si>
  <si>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</si>
  <si>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</si>
  <si>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</si>
  <si>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</si>
  <si>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</si>
  <si>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</si>
  <si>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</si>
  <si>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</si>
  <si>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</si>
  <si>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</si>
  <si>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</si>
  <si>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</si>
  <si>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</si>
  <si>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</si>
  <si>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</si>
  <si>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</si>
  <si>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</si>
  <si>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</si>
  <si>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</si>
  <si>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</si>
  <si>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</si>
  <si>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</si>
  <si>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</si>
  <si>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</si>
  <si>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</si>
  <si>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</si>
  <si>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</si>
  <si>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</si>
  <si>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</si>
  <si>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</si>
  <si>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</si>
  <si>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</si>
  <si>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</si>
  <si>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</si>
  <si>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</si>
  <si>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</si>
  <si>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</si>
  <si>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</si>
  <si>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</si>
  <si>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</si>
  <si>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</si>
  <si>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</si>
  <si>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</si>
  <si>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</si>
  <si>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</si>
  <si>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</si>
  <si>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</si>
  <si>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</si>
  <si>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</si>
  <si>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</si>
  <si>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</si>
  <si>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</si>
  <si>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</si>
  <si>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</si>
  <si>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</si>
  <si>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</si>
  <si>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</si>
  <si>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</si>
  <si>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</si>
  <si>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</si>
  <si>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</si>
  <si>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</si>
  <si>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</si>
  <si>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</si>
  <si>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</si>
  <si>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</si>
  <si>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</si>
  <si>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</si>
  <si>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</si>
  <si>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</si>
  <si>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</si>
  <si>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</si>
  <si>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</si>
  <si>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</si>
  <si>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</si>
  <si>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</si>
  <si>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</si>
  <si>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</si>
  <si>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</si>
  <si>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</si>
  <si>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</si>
  <si>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</si>
  <si>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</si>
  <si>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</si>
  <si>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</si>
  <si>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</si>
  <si>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</si>
  <si>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</si>
  <si>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</si>
  <si>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</si>
  <si>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</si>
  <si>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</si>
  <si>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</si>
  <si>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</si>
  <si>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</si>
  <si>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</si>
  <si>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</si>
  <si>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</si>
  <si>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</si>
  <si>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</si>
  <si>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</si>
  <si>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</si>
  <si>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</si>
  <si>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</si>
  <si>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</si>
  <si>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</si>
  <si>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</si>
  <si>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</si>
  <si>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</si>
  <si>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</si>
  <si>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</si>
  <si>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</si>
  <si>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</si>
  <si>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</si>
  <si>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</si>
  <si>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</si>
  <si>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</si>
  <si>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</si>
  <si>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</si>
  <si>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</si>
  <si>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</si>
  <si>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</si>
  <si>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</si>
  <si>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</si>
  <si>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</si>
  <si>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</si>
  <si>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</si>
  <si>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</si>
  <si>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</si>
  <si>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</si>
  <si>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</si>
  <si>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</si>
  <si>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</si>
  <si>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</si>
  <si>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</si>
  <si>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</si>
  <si>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</si>
  <si>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</si>
  <si>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</si>
  <si>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</si>
  <si>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</si>
  <si>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</si>
  <si>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</si>
  <si>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</si>
  <si>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</si>
  <si>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</si>
  <si>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</si>
  <si>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</si>
  <si>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</si>
  <si>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</si>
  <si>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</si>
  <si>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</si>
  <si>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</si>
  <si>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</si>
  <si>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</si>
  <si>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</si>
  <si>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</si>
  <si>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</si>
  <si>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</si>
  <si>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</si>
  <si>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</si>
  <si>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</si>
  <si>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</si>
  <si>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</si>
  <si>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</si>
  <si>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</si>
  <si>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</si>
  <si>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</si>
  <si>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</si>
  <si>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</si>
  <si>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</si>
  <si>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</si>
  <si>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</si>
  <si>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</si>
  <si>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</si>
  <si>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</si>
  <si>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</si>
  <si>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</si>
  <si>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</si>
  <si>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</si>
  <si>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</si>
  <si>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</si>
  <si>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</si>
  <si>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</si>
  <si>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</si>
  <si>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</si>
  <si>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</si>
  <si>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</si>
  <si>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</si>
  <si>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</si>
  <si>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</si>
  <si>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</si>
  <si>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</si>
  <si>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</si>
  <si>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</si>
  <si>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</si>
  <si>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</si>
  <si>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</si>
  <si>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</si>
  <si>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</si>
  <si>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</si>
  <si>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</si>
  <si>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</si>
  <si>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</si>
  <si>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</si>
  <si>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</si>
  <si>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</si>
  <si>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</si>
  <si>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</si>
  <si>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</si>
  <si>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</si>
  <si>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</si>
  <si>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</si>
  <si>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</si>
  <si>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</si>
  <si>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</si>
  <si>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</si>
  <si>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</si>
  <si>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</si>
  <si>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</si>
  <si>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</si>
  <si>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</si>
  <si>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</si>
  <si>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</si>
  <si>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</si>
  <si>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</si>
  <si>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</si>
  <si>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</si>
  <si>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</si>
  <si>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</si>
  <si>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</si>
  <si>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</si>
  <si>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</si>
  <si>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</si>
  <si>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</si>
  <si>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</si>
  <si>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</si>
  <si>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</si>
  <si>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</si>
  <si>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</si>
  <si>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</si>
  <si>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</si>
  <si>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</si>
  <si>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</si>
  <si>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</si>
  <si>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</si>
  <si>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</si>
  <si>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</si>
  <si>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</si>
  <si>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</si>
  <si>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</si>
  <si>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</si>
  <si>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</si>
  <si>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</si>
  <si>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</si>
  <si>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</si>
  <si>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</si>
  <si>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</si>
  <si>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</si>
  <si>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</si>
  <si>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</si>
  <si>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</si>
  <si>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</si>
  <si>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</si>
  <si>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</si>
  <si>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</si>
  <si>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</si>
  <si>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</si>
  <si>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</si>
  <si>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</si>
  <si>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</si>
  <si>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</si>
  <si>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</si>
  <si>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</si>
  <si>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</si>
  <si>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</si>
  <si>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</si>
  <si>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</si>
  <si>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</si>
  <si>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</si>
  <si>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</si>
  <si>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</si>
  <si>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</si>
  <si>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</si>
  <si>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</si>
  <si>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</si>
  <si>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</si>
  <si>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</si>
  <si>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</si>
  <si>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</si>
  <si>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</si>
  <si>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</si>
  <si>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</si>
  <si>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</si>
  <si>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</si>
  <si>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</si>
  <si>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</si>
  <si>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</si>
  <si>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</si>
  <si>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</si>
  <si>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</si>
  <si>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</si>
  <si>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</si>
  <si>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</si>
  <si>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</si>
  <si>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</si>
  <si>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</si>
  <si>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</si>
  <si>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</si>
  <si>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</si>
  <si>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</si>
  <si>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</si>
  <si>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</si>
  <si>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</si>
  <si>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</si>
  <si>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</si>
  <si>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</si>
  <si>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</si>
  <si>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</si>
  <si>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</si>
  <si>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</si>
  <si>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</si>
  <si>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</si>
  <si>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</si>
  <si>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</si>
  <si>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</si>
  <si>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</si>
  <si>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</si>
  <si>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</si>
  <si>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</si>
  <si>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</si>
  <si>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</si>
  <si>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</si>
  <si>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</si>
  <si>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</si>
  <si>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</si>
  <si>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</si>
  <si>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</si>
  <si>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</si>
  <si>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</si>
  <si>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</si>
  <si>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</si>
  <si>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</si>
  <si>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</si>
  <si>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</si>
  <si>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</si>
  <si>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</si>
  <si>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</si>
  <si>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</si>
  <si>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</si>
  <si>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</si>
  <si>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</si>
  <si>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</si>
  <si>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</si>
  <si>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</si>
  <si>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</si>
  <si>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</si>
  <si>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</si>
  <si>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</si>
  <si>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</si>
  <si>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</si>
  <si>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</si>
  <si>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</si>
  <si>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</si>
  <si>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</si>
  <si>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</si>
  <si>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</si>
  <si>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</si>
  <si>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</si>
  <si>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</si>
  <si>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</si>
  <si>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</si>
  <si>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</si>
  <si>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</si>
  <si>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</si>
  <si>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</si>
  <si>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</si>
  <si>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</si>
  <si>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</si>
  <si>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</si>
  <si>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</si>
  <si>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</si>
  <si>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</si>
  <si>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</si>
  <si>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</si>
  <si>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</si>
  <si>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</si>
  <si>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</si>
  <si>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</si>
  <si>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</si>
  <si>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</si>
  <si>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</si>
  <si>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</si>
  <si>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</si>
  <si>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</si>
  <si>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</si>
  <si>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</si>
  <si>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</si>
  <si>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</si>
  <si>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</si>
  <si>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</si>
  <si>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</si>
  <si>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</si>
  <si>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</si>
  <si>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</si>
  <si>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</si>
  <si>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</si>
  <si>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</si>
  <si>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</si>
  <si>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</si>
  <si>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</si>
  <si>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</si>
  <si>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</si>
  <si>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</si>
  <si>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</si>
  <si>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</si>
  <si>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</si>
  <si>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</si>
  <si>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</si>
  <si>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</si>
  <si>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</si>
  <si>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</si>
  <si>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</si>
  <si>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</si>
  <si>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</si>
  <si>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</si>
  <si>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</si>
  <si>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</si>
  <si>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</si>
  <si>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</si>
  <si>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</si>
  <si>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</si>
  <si>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</si>
  <si>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</si>
  <si>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</si>
  <si>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</si>
  <si>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</si>
  <si>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</si>
  <si>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</si>
  <si>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</si>
  <si>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</si>
  <si>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</si>
  <si>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</si>
  <si>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</si>
  <si>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</si>
  <si>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</si>
  <si>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</si>
  <si>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</si>
  <si>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</si>
  <si>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</si>
  <si>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</si>
  <si>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</si>
  <si>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</si>
  <si>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</si>
  <si>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</si>
  <si>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</si>
  <si>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</si>
  <si>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</si>
  <si>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</si>
  <si>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</si>
  <si>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</si>
  <si>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</si>
  <si>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</si>
  <si>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</si>
  <si>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</si>
  <si>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</si>
  <si>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</si>
  <si>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</si>
  <si>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</si>
  <si>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</si>
  <si>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</si>
  <si>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</si>
  <si>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</si>
  <si>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</si>
  <si>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</si>
  <si>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</si>
  <si>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</si>
  <si>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</si>
  <si>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</si>
  <si>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</si>
  <si>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</si>
  <si>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</si>
  <si>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</si>
  <si>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</si>
  <si>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</si>
  <si>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</si>
  <si>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</si>
  <si>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</si>
  <si>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</si>
  <si>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</si>
  <si>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</si>
  <si>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</si>
  <si>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</si>
  <si>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</si>
  <si>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</si>
  <si>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</si>
  <si>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</si>
  <si>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</si>
  <si>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</si>
  <si>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</si>
  <si>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</si>
  <si>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</si>
  <si>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</si>
  <si>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</si>
  <si>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</si>
  <si>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</si>
  <si>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</si>
  <si>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</si>
  <si>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</si>
  <si>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</si>
  <si>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</si>
  <si>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</si>
  <si>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</si>
  <si>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</si>
  <si>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</si>
  <si>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</si>
  <si>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</si>
  <si>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</si>
  <si>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</si>
  <si>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</si>
  <si>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</si>
  <si>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</si>
  <si>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</si>
  <si>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</si>
  <si>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</si>
  <si>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</si>
  <si>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</si>
  <si>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</si>
  <si>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</si>
  <si>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</si>
  <si>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</si>
  <si>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</si>
  <si>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</si>
  <si>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</si>
  <si>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</si>
  <si>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</si>
  <si>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</si>
  <si>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</si>
  <si>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</si>
  <si>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</si>
  <si>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</si>
  <si>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</si>
  <si>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</si>
  <si>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</si>
  <si>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</si>
  <si>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</si>
  <si>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</si>
  <si>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</si>
  <si>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</si>
  <si>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</si>
  <si>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</si>
  <si>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</si>
  <si>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</si>
  <si>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</si>
  <si>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</si>
  <si>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</si>
  <si>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</si>
  <si>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</si>
  <si>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</si>
  <si>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</si>
  <si>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</si>
  <si>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</si>
  <si>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</si>
  <si>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</si>
  <si>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</si>
  <si>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</si>
  <si>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</si>
  <si>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</si>
  <si>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</si>
  <si>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</si>
  <si>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</si>
  <si>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</si>
  <si>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</si>
  <si>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</si>
  <si>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</si>
  <si>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</si>
  <si>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</si>
  <si>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</si>
  <si>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</si>
  <si>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</si>
  <si>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</si>
  <si>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</si>
  <si>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</si>
  <si>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</si>
  <si>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</si>
  <si>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</si>
  <si>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</si>
  <si>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</si>
  <si>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</si>
  <si>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</si>
  <si>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</si>
  <si>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</si>
  <si>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</si>
  <si>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</si>
  <si>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</si>
  <si>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</si>
  <si>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</si>
  <si>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</si>
  <si>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</si>
  <si>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</si>
  <si>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</si>
  <si>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</si>
  <si>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</si>
  <si>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</si>
  <si>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</si>
  <si>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</si>
  <si>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</si>
  <si>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</si>
  <si>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</si>
  <si>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</si>
  <si>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</si>
  <si>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</si>
  <si>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</si>
  <si>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</si>
  <si>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</si>
  <si>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</si>
  <si>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</si>
  <si>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</si>
  <si>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</si>
  <si>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</si>
  <si>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</si>
  <si>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</si>
  <si>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</si>
  <si>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</si>
  <si>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</si>
  <si>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</si>
  <si>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</si>
  <si>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</si>
  <si>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</si>
  <si>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</si>
  <si>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</si>
  <si>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</si>
  <si>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</si>
  <si>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</si>
  <si>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</si>
  <si>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</si>
  <si>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</si>
  <si>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</si>
  <si>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</si>
  <si>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</si>
  <si>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</si>
  <si>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</si>
  <si>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</si>
  <si>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</si>
  <si>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</si>
  <si>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</si>
  <si>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</si>
  <si>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</si>
  <si>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</si>
  <si>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</si>
  <si>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</si>
  <si>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</si>
  <si>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</si>
  <si>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</si>
  <si>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</si>
  <si>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</si>
  <si>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</si>
  <si>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</si>
  <si>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</si>
  <si>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</si>
  <si>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</si>
  <si>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</si>
  <si>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</si>
  <si>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</si>
  <si>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</si>
  <si>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</si>
  <si>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</si>
  <si>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</si>
  <si>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</si>
  <si>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</si>
  <si>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</si>
  <si>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</si>
  <si>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</si>
  <si>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</si>
  <si>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</si>
  <si>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</si>
  <si>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</si>
  <si>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</si>
  <si>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</si>
  <si>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</si>
  <si>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</si>
  <si>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</si>
  <si>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</si>
  <si>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</si>
  <si>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</si>
  <si>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</si>
  <si>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</si>
  <si>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</si>
  <si>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</si>
  <si>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</si>
  <si>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</si>
  <si>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</si>
  <si>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</si>
  <si>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</si>
  <si>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</si>
  <si>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</si>
  <si>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</si>
  <si>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</si>
  <si>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</si>
  <si>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</si>
  <si>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</si>
  <si>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</si>
  <si>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</si>
  <si>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</si>
  <si>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</si>
  <si>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</si>
  <si>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</si>
  <si>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</si>
  <si>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</si>
  <si>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</si>
  <si>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</si>
  <si>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</si>
  <si>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</si>
  <si>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</si>
  <si>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</si>
  <si>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</si>
  <si>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</si>
  <si>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</si>
  <si>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</si>
  <si>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</si>
  <si>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</si>
  <si>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</si>
  <si>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</si>
  <si>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</si>
  <si>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</si>
  <si>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</si>
  <si>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</si>
  <si>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</si>
  <si>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</si>
  <si>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</si>
  <si>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</si>
  <si>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</si>
  <si>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</si>
  <si>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</si>
  <si>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</si>
  <si>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</si>
  <si>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</si>
  <si>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</si>
  <si>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</si>
  <si>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</si>
  <si>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</si>
  <si>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</si>
  <si>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</si>
  <si>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</si>
  <si>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</si>
  <si>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</si>
  <si>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</si>
  <si>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</si>
  <si>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</si>
  <si>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</si>
  <si>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</si>
  <si>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</si>
  <si>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</si>
  <si>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</si>
  <si>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</si>
  <si>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</si>
  <si>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</si>
  <si>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</si>
  <si>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</si>
  <si>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</si>
  <si>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</si>
  <si>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</si>
  <si>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</si>
  <si>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</si>
  <si>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</si>
  <si>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</si>
  <si>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</si>
  <si>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</si>
  <si>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</si>
  <si>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</si>
  <si>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</si>
  <si>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</si>
  <si>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</si>
  <si>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</si>
  <si>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</si>
  <si>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</si>
  <si>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</si>
  <si>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</si>
  <si>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</si>
  <si>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</si>
  <si>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</si>
  <si>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</si>
  <si>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</si>
  <si>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</si>
  <si>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</si>
  <si>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</si>
  <si>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</si>
  <si>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</si>
  <si>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</si>
  <si>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</si>
  <si>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</si>
  <si>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</si>
  <si>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</si>
  <si>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</si>
  <si>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</si>
  <si>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</si>
  <si>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</si>
  <si>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</si>
  <si>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</si>
  <si>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</si>
  <si>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</si>
  <si>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</si>
  <si>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</si>
  <si>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</si>
  <si>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</si>
  <si>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</si>
  <si>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</si>
  <si>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</si>
  <si>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</si>
  <si>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</si>
  <si>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</si>
  <si>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</si>
  <si>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</si>
  <si>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</si>
  <si>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</si>
  <si>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</si>
  <si>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</si>
  <si>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</si>
  <si>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</si>
  <si>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</si>
  <si>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</si>
  <si>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</si>
  <si>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</si>
  <si>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</si>
  <si>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</si>
  <si>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</si>
  <si>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</si>
  <si>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</si>
  <si>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</si>
  <si>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</si>
  <si>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</si>
  <si>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</si>
  <si>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</si>
  <si>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</si>
  <si>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</si>
  <si>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</si>
  <si>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</si>
  <si>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</si>
  <si>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</si>
  <si>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</si>
  <si>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</si>
  <si>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</si>
  <si>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</si>
  <si>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</si>
  <si>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</si>
  <si>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</si>
  <si>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</si>
  <si>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</si>
  <si>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</si>
  <si>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</si>
  <si>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</si>
  <si>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</si>
  <si>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</si>
  <si>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</si>
  <si>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</si>
  <si>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</si>
  <si>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</si>
  <si>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</si>
  <si>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</si>
  <si>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</si>
  <si>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</si>
  <si>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</si>
  <si>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</si>
  <si>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</si>
  <si>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</si>
  <si>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</si>
  <si>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</si>
  <si>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</si>
  <si>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</si>
  <si>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</si>
  <si>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</si>
  <si>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</si>
  <si>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</si>
  <si>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</si>
  <si>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</si>
  <si>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</si>
  <si>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</si>
  <si>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</si>
  <si>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</si>
  <si>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</si>
  <si>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</si>
  <si>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</si>
  <si>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</si>
  <si>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</si>
  <si>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</si>
  <si>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</si>
  <si>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</si>
  <si>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</si>
  <si>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</si>
  <si>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</si>
  <si>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</si>
  <si>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</si>
  <si>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</si>
  <si>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</si>
  <si>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</si>
  <si>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</si>
  <si>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</si>
  <si>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</si>
  <si>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</si>
  <si>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</si>
  <si>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</si>
  <si>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</si>
  <si>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</si>
  <si>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</si>
  <si>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</si>
  <si>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</si>
  <si>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</si>
  <si>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</si>
  <si>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</si>
  <si>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</si>
  <si>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</si>
  <si>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</si>
  <si>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</si>
  <si>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</si>
  <si>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</si>
  <si>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</si>
  <si>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</si>
  <si>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</si>
  <si>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</si>
  <si>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</si>
  <si>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</si>
  <si>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</si>
  <si>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</si>
  <si>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</si>
  <si>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</si>
  <si>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</si>
  <si>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</si>
  <si>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</si>
  <si>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</si>
  <si>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</si>
  <si>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</si>
  <si>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</si>
  <si>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</si>
  <si>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</si>
  <si>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</si>
  <si>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</si>
  <si>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</si>
  <si>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</si>
  <si>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</si>
  <si>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</si>
  <si>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</si>
  <si>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</si>
  <si>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</si>
  <si>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</si>
  <si>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</si>
  <si>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</si>
  <si>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</si>
  <si>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</si>
  <si>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</si>
  <si>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</si>
  <si>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</si>
  <si>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</si>
  <si>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</si>
  <si>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</si>
  <si>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</si>
  <si>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</si>
  <si>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</si>
  <si>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</si>
  <si>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</si>
  <si>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</si>
  <si>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</si>
  <si>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</si>
  <si>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</si>
  <si>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</si>
  <si>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</si>
  <si>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</si>
  <si>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</si>
  <si>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</si>
  <si>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</si>
  <si>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</si>
  <si>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</si>
  <si>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</si>
  <si>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</si>
  <si>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</si>
  <si>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</si>
  <si>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</si>
  <si>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</si>
  <si>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</si>
  <si>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</si>
  <si>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</si>
  <si>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</si>
  <si>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</si>
  <si>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</si>
  <si>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</si>
  <si>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</si>
  <si>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</si>
  <si>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</si>
  <si>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</si>
  <si>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</si>
  <si>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</si>
  <si>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</si>
  <si>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</si>
  <si>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</si>
  <si>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</si>
  <si>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</si>
  <si>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</si>
  <si>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</si>
  <si>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</si>
  <si>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</si>
  <si>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</si>
  <si>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</si>
  <si>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</si>
  <si>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</si>
  <si>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</si>
  <si>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</si>
  <si>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</si>
  <si>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</si>
  <si>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</si>
  <si>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</si>
  <si>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</si>
  <si>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</si>
  <si>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</si>
  <si>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</si>
  <si>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</si>
  <si>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</si>
  <si>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</si>
  <si>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</si>
  <si>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</si>
  <si>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</si>
  <si>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</si>
  <si>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</si>
  <si>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</si>
  <si>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</si>
  <si>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</si>
  <si>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</si>
  <si>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</si>
  <si>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</si>
  <si>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</si>
  <si>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</si>
  <si>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</si>
  <si>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</si>
  <si>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</si>
  <si>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</si>
  <si>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</si>
  <si>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</si>
  <si>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</si>
  <si>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</si>
  <si>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</si>
  <si>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</si>
  <si>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</si>
  <si>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</si>
  <si>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</si>
  <si>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</si>
  <si>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</si>
  <si>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</si>
  <si>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</si>
  <si>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</si>
  <si>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</si>
  <si>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</si>
  <si>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</si>
  <si>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</si>
  <si>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</si>
  <si>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</si>
  <si>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</si>
  <si>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</si>
  <si>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</si>
  <si>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</si>
  <si>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</si>
  <si>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</si>
  <si>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</si>
  <si>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</si>
  <si>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</si>
  <si>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</si>
  <si>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</si>
  <si>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</si>
  <si>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</si>
  <si>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</si>
  <si>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</si>
  <si>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</si>
  <si>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</si>
  <si>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</si>
  <si>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</si>
  <si>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</si>
  <si>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</si>
  <si>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</si>
  <si>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</si>
  <si>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</si>
  <si>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</si>
  <si>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</si>
  <si>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</si>
  <si>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</si>
  <si>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</si>
  <si>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</si>
  <si>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</si>
  <si>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</si>
  <si>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</si>
  <si>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</si>
  <si>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</si>
  <si>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</si>
  <si>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</si>
  <si>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</si>
  <si>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</si>
  <si>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</si>
  <si>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</si>
  <si>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</si>
  <si>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</si>
  <si>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</si>
  <si>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</si>
  <si>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</si>
  <si>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</si>
  <si>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</si>
  <si>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</si>
  <si>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</si>
  <si>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</si>
  <si>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</si>
  <si>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</si>
  <si>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</si>
  <si>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</si>
  <si>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</si>
  <si>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</si>
  <si>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</si>
  <si>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</si>
  <si>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</si>
  <si>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</si>
  <si>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</si>
  <si>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</si>
  <si>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</si>
  <si>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</si>
  <si>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</si>
  <si>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</si>
  <si>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</si>
  <si>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</si>
  <si>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</si>
  <si>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</si>
  <si>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</si>
  <si>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</si>
  <si>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</si>
  <si>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</si>
  <si>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</si>
  <si>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</si>
  <si>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</si>
  <si>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</si>
  <si>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</si>
  <si>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</si>
  <si>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</si>
  <si>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</si>
  <si>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</si>
  <si>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</si>
  <si>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</si>
  <si>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</si>
  <si>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</si>
  <si>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</si>
  <si>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</si>
  <si>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</si>
  <si>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</si>
  <si>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</si>
  <si>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</si>
  <si>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</si>
  <si>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</si>
  <si>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</si>
  <si>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</si>
  <si>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</si>
  <si>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</si>
  <si>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</si>
  <si>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</si>
  <si>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</si>
  <si>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</si>
  <si>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</si>
  <si>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</si>
  <si>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</si>
  <si>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</si>
  <si>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</si>
  <si>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</si>
  <si>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</si>
  <si>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</si>
  <si>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</si>
  <si>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</si>
  <si>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</si>
  <si>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</si>
  <si>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</si>
  <si>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</si>
  <si>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</si>
  <si>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</si>
  <si>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</si>
  <si>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</si>
  <si>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</si>
  <si>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</si>
  <si>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</si>
  <si>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</si>
  <si>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</si>
  <si>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</si>
  <si>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</si>
  <si>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</si>
  <si>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</si>
  <si>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</si>
  <si>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</si>
  <si>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</si>
  <si>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</si>
  <si>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</si>
  <si>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</si>
  <si>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</si>
  <si>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</si>
  <si>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</si>
  <si>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</si>
  <si>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</si>
  <si>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</si>
  <si>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</si>
  <si>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</si>
  <si>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</si>
  <si>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</si>
  <si>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</si>
  <si>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</si>
  <si>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</si>
  <si>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</si>
  <si>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</si>
  <si>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</si>
  <si>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</si>
  <si>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</si>
  <si>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</si>
  <si>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</si>
  <si>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</si>
  <si>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</si>
  <si>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</si>
  <si>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</si>
  <si>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</si>
  <si>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</si>
  <si>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</si>
  <si>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</si>
  <si>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</si>
  <si>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</si>
  <si>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</si>
  <si>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</si>
  <si>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</si>
  <si>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</si>
  <si>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</si>
  <si>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</si>
  <si>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</si>
  <si>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</si>
  <si>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</si>
  <si>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</si>
  <si>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</si>
  <si>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</si>
  <si>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</si>
  <si>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</si>
  <si>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</si>
  <si>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</si>
  <si>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</si>
  <si>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</si>
  <si>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</si>
  <si>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</si>
  <si>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</si>
  <si>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</si>
  <si>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</si>
  <si>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</si>
  <si>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</si>
  <si>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</si>
  <si>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</si>
  <si>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</si>
  <si>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</si>
  <si>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</si>
  <si>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</si>
  <si>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</si>
  <si>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</si>
  <si>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</si>
  <si>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</si>
  <si>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</si>
  <si>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</si>
  <si>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</si>
  <si>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</si>
  <si>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</si>
  <si>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</si>
  <si>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</si>
  <si>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</si>
  <si>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</si>
  <si>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</si>
  <si>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</si>
  <si>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</si>
  <si>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</si>
  <si>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</si>
  <si>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</si>
  <si>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</si>
  <si>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</si>
  <si>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</si>
  <si>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</si>
  <si>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</si>
  <si>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</si>
  <si>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</si>
  <si>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</si>
  <si>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</si>
  <si>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</si>
  <si>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</si>
  <si>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</si>
  <si>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</si>
  <si>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</si>
  <si>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</si>
  <si>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</si>
  <si>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</si>
  <si>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</si>
  <si>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</si>
  <si>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</si>
  <si>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</si>
  <si>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</si>
  <si>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</si>
  <si>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</si>
  <si>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</si>
  <si>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</si>
  <si>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</si>
  <si>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</si>
  <si>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</si>
  <si>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</si>
  <si>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</si>
  <si>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</si>
  <si>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</si>
  <si>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</si>
  <si>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</si>
  <si>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</si>
  <si>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</si>
  <si>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</si>
  <si>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</si>
  <si>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</si>
  <si>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</si>
  <si>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</si>
  <si>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</si>
  <si>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</si>
  <si>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</si>
  <si>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</si>
  <si>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</si>
  <si>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</si>
  <si>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</si>
  <si>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</si>
  <si>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</si>
  <si>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</si>
  <si>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</si>
  <si>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</si>
  <si>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</si>
  <si>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</si>
  <si>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</si>
  <si>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</si>
  <si>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</si>
  <si>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</si>
  <si>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</si>
  <si>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</si>
  <si>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</si>
  <si>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</si>
  <si>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</si>
  <si>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</si>
  <si>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</si>
  <si>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</si>
  <si>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</si>
  <si>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</si>
  <si>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</si>
  <si>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</si>
  <si>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</si>
  <si>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</si>
  <si>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</si>
  <si>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</si>
  <si>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</si>
  <si>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</si>
  <si>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</si>
  <si>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</si>
  <si>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</si>
  <si>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</si>
  <si>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</si>
  <si>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</si>
  <si>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</si>
  <si>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</si>
  <si>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</si>
  <si>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</si>
  <si>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</si>
  <si>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</si>
  <si>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</si>
  <si>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</si>
  <si>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</si>
  <si>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</si>
  <si>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</si>
  <si>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</si>
  <si>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</si>
  <si>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</si>
  <si>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</si>
  <si>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</si>
  <si>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</si>
  <si>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</si>
  <si>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</si>
  <si>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</si>
  <si>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</si>
  <si>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</si>
  <si>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</si>
  <si>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</si>
  <si>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</si>
  <si>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</si>
  <si>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</si>
  <si>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</si>
  <si>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</si>
  <si>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</si>
  <si>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</si>
  <si>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</si>
  <si>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</si>
  <si>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</si>
  <si>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</si>
  <si>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</si>
  <si>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</si>
  <si>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</si>
  <si>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</si>
  <si>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</si>
  <si>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</si>
  <si>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</si>
  <si>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</si>
  <si>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</si>
  <si>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</si>
  <si>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</si>
  <si>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</si>
  <si>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</si>
  <si>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</si>
  <si>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</si>
  <si>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</si>
  <si>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</si>
  <si>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</si>
  <si>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</si>
  <si>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</si>
  <si>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</si>
  <si>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</si>
  <si>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</si>
  <si>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</si>
  <si>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</si>
  <si>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</si>
  <si>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</si>
  <si>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</si>
  <si>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</si>
  <si>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</si>
  <si>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</si>
  <si>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</si>
  <si>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</si>
  <si>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</si>
  <si>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</si>
  <si>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</si>
  <si>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</si>
  <si>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</si>
  <si>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</si>
  <si>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</si>
  <si>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</si>
  <si>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</si>
  <si>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</si>
  <si>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</si>
  <si>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</si>
  <si>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</si>
  <si>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</si>
  <si>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</si>
  <si>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</si>
  <si>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</si>
  <si>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</si>
  <si>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</si>
  <si>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</si>
  <si>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</si>
  <si>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</si>
  <si>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</si>
  <si>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</si>
  <si>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</si>
  <si>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</si>
  <si>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</si>
  <si>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</si>
  <si>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</si>
  <si>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</si>
  <si>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</si>
  <si>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</si>
  <si>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</si>
  <si>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</si>
  <si>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</si>
  <si>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</si>
  <si>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</si>
  <si>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</si>
  <si>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</si>
  <si>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</si>
  <si>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</si>
  <si>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</si>
  <si>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</si>
  <si>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</si>
  <si>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</si>
  <si>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</si>
  <si>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</si>
  <si>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</si>
  <si>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</si>
  <si>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</si>
  <si>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</si>
  <si>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</si>
  <si>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</si>
  <si>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</si>
  <si>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</si>
  <si>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</si>
  <si>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</si>
  <si>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</si>
  <si>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</si>
  <si>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</si>
  <si>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</si>
  <si>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</si>
  <si>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</si>
  <si>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</si>
  <si>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</si>
  <si>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</si>
  <si>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</si>
  <si>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</si>
  <si>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</si>
  <si>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</si>
  <si>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</si>
  <si>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</si>
  <si>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</si>
  <si>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</si>
  <si>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</si>
  <si>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</si>
  <si>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</si>
  <si>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</si>
  <si>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</si>
  <si>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</si>
  <si>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</si>
  <si>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</si>
  <si>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</si>
  <si>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</si>
  <si>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</si>
  <si>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</si>
  <si>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</si>
  <si>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</si>
  <si>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</si>
  <si>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</si>
  <si>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</si>
  <si>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</si>
  <si>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</si>
  <si>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</si>
  <si>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</si>
  <si>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</si>
  <si>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</si>
  <si>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</si>
  <si>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</si>
  <si>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</si>
  <si>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</si>
  <si>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</si>
  <si>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</si>
  <si>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</si>
  <si>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</si>
  <si>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</si>
  <si>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</si>
  <si>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</si>
  <si>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</si>
  <si>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</si>
  <si>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</si>
  <si>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</si>
  <si>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</si>
  <si>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</si>
  <si>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</si>
  <si>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</si>
  <si>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</si>
  <si>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</si>
  <si>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</si>
  <si>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</si>
  <si>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</si>
  <si>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</si>
  <si>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</si>
  <si>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</si>
  <si>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</si>
  <si>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</si>
  <si>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</si>
  <si>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</si>
  <si>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</si>
  <si>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</si>
  <si>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</si>
  <si>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</si>
  <si>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</si>
  <si>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</si>
  <si>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</si>
  <si>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</si>
  <si>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</si>
  <si>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</si>
  <si>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</si>
  <si>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</si>
  <si>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</si>
  <si>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</si>
  <si>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</si>
  <si>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</si>
  <si>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</si>
  <si>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</si>
  <si>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</si>
  <si>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</si>
  <si>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</si>
  <si>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</si>
  <si>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</si>
  <si>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</si>
  <si>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</si>
  <si>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</si>
  <si>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</si>
  <si>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</si>
  <si>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</si>
  <si>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</si>
  <si>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</si>
  <si>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</si>
  <si>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</si>
  <si>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</si>
  <si>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</si>
  <si>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</si>
  <si>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</si>
  <si>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</si>
  <si>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</si>
  <si>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</si>
  <si>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</si>
  <si>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</si>
  <si>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</si>
  <si>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</si>
  <si>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</si>
  <si>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</si>
  <si>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</si>
  <si>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</si>
  <si>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</si>
  <si>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</si>
  <si>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</si>
  <si>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</si>
  <si>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</si>
  <si>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</si>
  <si>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</si>
  <si>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</si>
  <si>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</si>
  <si>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</si>
  <si>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</si>
  <si>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</si>
  <si>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</si>
  <si>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</si>
  <si>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</si>
  <si>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</si>
  <si>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</si>
  <si>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</si>
  <si>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</si>
  <si>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</si>
  <si>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</si>
  <si>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</si>
  <si>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</si>
  <si>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</si>
  <si>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</si>
  <si>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</si>
  <si>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</si>
  <si>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</si>
  <si>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</si>
  <si>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</si>
  <si>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</si>
  <si>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</si>
  <si>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</si>
  <si>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</si>
  <si>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</si>
  <si>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</si>
  <si>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</si>
  <si>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</si>
  <si>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</si>
  <si>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</si>
  <si>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</si>
  <si>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</si>
  <si>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</si>
  <si>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</si>
  <si>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</si>
  <si>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</si>
  <si>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</si>
  <si>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</si>
  <si>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</si>
  <si>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</si>
  <si>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</si>
  <si>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</si>
  <si>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</si>
  <si>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</si>
  <si>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</si>
  <si>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</si>
  <si>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</si>
  <si>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</si>
  <si>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</si>
  <si>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</si>
  <si>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</si>
  <si>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</si>
  <si>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</si>
  <si>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</si>
  <si>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</si>
  <si>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</si>
  <si>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</si>
  <si>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</si>
  <si>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</si>
  <si>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</si>
  <si>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</si>
  <si>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</si>
  <si>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</si>
  <si>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</si>
  <si>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</si>
  <si>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</si>
  <si>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</si>
  <si>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</si>
  <si>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</si>
  <si>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</si>
  <si>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</si>
  <si>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</si>
  <si>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</si>
  <si>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</si>
  <si>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</si>
  <si>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</si>
  <si>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</si>
  <si>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</si>
  <si>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</si>
  <si>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</si>
  <si>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</si>
  <si>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</si>
  <si>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</si>
  <si>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</si>
  <si>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</si>
  <si>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</si>
  <si>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</si>
  <si>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</si>
  <si>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</si>
  <si>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</si>
  <si>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</si>
  <si>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</si>
  <si>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</si>
  <si>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</si>
  <si>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</si>
  <si>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</si>
  <si>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</si>
  <si>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</si>
  <si>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</si>
  <si>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</si>
  <si>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</si>
  <si>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</si>
  <si>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</si>
  <si>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</si>
  <si>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</si>
  <si>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</si>
  <si>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</si>
  <si>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</si>
  <si>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</si>
  <si>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</si>
  <si>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</si>
  <si>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</si>
  <si>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</si>
  <si>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</si>
  <si>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</si>
  <si>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</si>
  <si>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</si>
  <si>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</si>
  <si>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</si>
  <si>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</si>
  <si>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</si>
  <si>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</si>
  <si>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</si>
  <si>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</si>
  <si>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</si>
  <si>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</si>
  <si>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</si>
  <si>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</si>
  <si>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</si>
  <si>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</si>
  <si>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</si>
  <si>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</si>
  <si>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</si>
  <si>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</si>
  <si>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</si>
  <si>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</si>
  <si>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</si>
  <si>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</si>
  <si>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</si>
  <si>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</si>
  <si>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</si>
  <si>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</si>
  <si>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</si>
  <si>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</si>
  <si>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</si>
  <si>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</si>
  <si>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</si>
  <si>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</si>
  <si>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</si>
  <si>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</si>
  <si>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</si>
  <si>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</si>
  <si>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</si>
  <si>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</si>
  <si>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</si>
  <si>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</si>
  <si>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</si>
  <si>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</si>
  <si>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</si>
  <si>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</si>
  <si>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</si>
  <si>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</si>
  <si>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</si>
  <si>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</si>
  <si>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</si>
  <si>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</si>
  <si>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</si>
  <si>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</si>
  <si>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</si>
  <si>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</si>
  <si>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</si>
  <si>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</si>
  <si>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</si>
  <si>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</si>
  <si>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</si>
  <si>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</si>
  <si>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</si>
  <si>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</si>
  <si>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</si>
  <si>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</si>
  <si>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</si>
  <si>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</si>
  <si>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</si>
  <si>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</si>
  <si>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</si>
  <si>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</si>
  <si>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</si>
  <si>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</si>
  <si>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</si>
  <si>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</si>
  <si>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</si>
  <si>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</si>
  <si>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</si>
  <si>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</si>
  <si>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</si>
  <si>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</si>
  <si>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</si>
  <si>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</si>
  <si>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</si>
  <si>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</si>
  <si>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</si>
  <si>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</si>
  <si>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</si>
  <si>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</si>
  <si>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</si>
  <si>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</si>
  <si>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</si>
  <si>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</si>
  <si>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</si>
  <si>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</si>
  <si>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</si>
  <si>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</si>
  <si>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</si>
  <si>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</si>
  <si>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</si>
  <si>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</si>
  <si>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</si>
  <si>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</si>
  <si>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</si>
  <si>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</si>
  <si>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</si>
  <si>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</si>
  <si>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</si>
  <si>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</si>
  <si>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</si>
  <si>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</si>
  <si>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</si>
  <si>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</si>
  <si>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</si>
  <si>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</si>
  <si>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</si>
  <si>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</si>
  <si>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</si>
  <si>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</si>
  <si>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</si>
  <si>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</si>
  <si>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</si>
  <si>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</si>
  <si>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</si>
  <si>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</si>
  <si>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</si>
  <si>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</si>
  <si>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</si>
  <si>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</si>
  <si>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</si>
  <si>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</si>
  <si>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</si>
  <si>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</si>
  <si>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</si>
  <si>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</si>
  <si>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</si>
  <si>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</si>
  <si>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</si>
  <si>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</si>
  <si>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</si>
  <si>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</si>
  <si>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</si>
  <si>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</si>
  <si>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</si>
  <si>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</si>
  <si>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</si>
  <si>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</si>
  <si>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</si>
  <si>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</si>
  <si>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</si>
  <si>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</si>
  <si>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</si>
  <si>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</si>
  <si>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</si>
  <si>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</si>
  <si>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</si>
  <si>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</si>
  <si>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</si>
  <si>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</si>
  <si>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</si>
  <si>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</si>
  <si>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</si>
  <si>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</si>
  <si>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</si>
  <si>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</si>
  <si>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</si>
  <si>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</si>
  <si>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</si>
  <si>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</si>
  <si>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</si>
  <si>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</si>
  <si>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</si>
  <si>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</si>
  <si>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</si>
  <si>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</si>
  <si>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</si>
  <si>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</si>
  <si>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</si>
  <si>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</si>
  <si>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</si>
  <si>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</si>
  <si>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</si>
  <si>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</si>
  <si>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</si>
  <si>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</si>
  <si>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</si>
  <si>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</si>
  <si>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</si>
  <si>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</si>
  <si>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</si>
  <si>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</si>
  <si>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</si>
  <si>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</si>
  <si>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</si>
  <si>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</si>
  <si>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</si>
  <si>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</si>
  <si>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</si>
  <si>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</si>
  <si>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</si>
  <si>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</si>
  <si>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</si>
  <si>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</si>
  <si>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</si>
  <si>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</si>
  <si>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</si>
  <si>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</si>
  <si>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</si>
  <si>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</si>
  <si>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</si>
  <si>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</si>
  <si>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</si>
  <si>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</si>
  <si>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</si>
  <si>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</si>
  <si>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</si>
  <si>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</si>
  <si>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</si>
  <si>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</si>
  <si>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</si>
  <si>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</si>
  <si>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</si>
  <si>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</si>
  <si>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</si>
  <si>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</si>
  <si>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</si>
  <si>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</si>
  <si>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</si>
  <si>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</si>
  <si>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</si>
  <si>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</si>
  <si>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</si>
  <si>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</si>
  <si>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</si>
  <si>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</si>
  <si>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</si>
  <si>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</si>
  <si>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</si>
  <si>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</si>
  <si>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</si>
  <si>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</si>
  <si>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</si>
  <si>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</si>
  <si>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</si>
  <si>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</si>
  <si>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</si>
  <si>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</si>
  <si>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</si>
  <si>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</si>
  <si>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</si>
  <si>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</si>
  <si>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</si>
  <si>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</si>
  <si>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</si>
  <si>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</si>
  <si>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</si>
  <si>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</si>
  <si>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</si>
  <si>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</si>
  <si>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</si>
  <si>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</si>
  <si>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</si>
  <si>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</si>
  <si>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</si>
  <si>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</si>
  <si>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</si>
  <si>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</si>
  <si>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</si>
  <si>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</si>
  <si>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</si>
  <si>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</si>
  <si>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</si>
  <si>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</si>
  <si>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</si>
  <si>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</si>
  <si>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</si>
  <si>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</si>
  <si>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</si>
  <si>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</si>
  <si>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</si>
  <si>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</si>
  <si>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</si>
  <si>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</si>
  <si>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</si>
  <si>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</si>
  <si>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</si>
  <si>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</si>
  <si>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</si>
  <si>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</si>
  <si>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</si>
  <si>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</si>
  <si>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</si>
  <si>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</si>
  <si>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</si>
  <si>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</si>
  <si>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</si>
  <si>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</si>
  <si>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</si>
  <si>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</si>
  <si>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</si>
  <si>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</si>
  <si>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</si>
  <si>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</si>
  <si>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</si>
  <si>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</si>
  <si>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</si>
  <si>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</si>
  <si>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</si>
  <si>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</si>
  <si>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</si>
  <si>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</si>
  <si>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</si>
  <si>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</si>
  <si>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</si>
  <si>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</si>
  <si>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</si>
  <si>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</si>
  <si>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</si>
  <si>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</si>
  <si>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</si>
  <si>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</si>
  <si>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</si>
  <si>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</si>
  <si>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</si>
  <si>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</si>
  <si>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</si>
  <si>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</si>
  <si>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</si>
  <si>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</si>
  <si>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</si>
  <si>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</si>
  <si>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</si>
  <si>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</si>
  <si>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</si>
  <si>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</si>
  <si>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</si>
  <si>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</si>
  <si>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</si>
  <si>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</si>
  <si>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</si>
  <si>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</si>
  <si>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</si>
  <si>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</si>
  <si>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</si>
  <si>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</si>
  <si>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</si>
  <si>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</si>
  <si>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</si>
  <si>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</si>
  <si>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</si>
  <si>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</si>
  <si>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</si>
  <si>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</si>
  <si>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</si>
  <si>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</si>
  <si>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</si>
  <si>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</si>
  <si>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</si>
  <si>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</si>
  <si>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</si>
  <si>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</si>
  <si>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</si>
  <si>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</si>
  <si>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</si>
  <si>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</si>
  <si>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</si>
  <si>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</si>
  <si>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</si>
  <si>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</si>
  <si>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</si>
  <si>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</si>
  <si>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</si>
  <si>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</si>
  <si>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</si>
  <si>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</si>
  <si>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</si>
  <si>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</si>
  <si>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</si>
  <si>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</si>
  <si>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</si>
  <si>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</si>
  <si>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</si>
  <si>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</si>
  <si>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</si>
  <si>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</si>
  <si>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</si>
  <si>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</si>
  <si>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</si>
  <si>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</si>
  <si>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</si>
  <si>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</si>
  <si>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</si>
  <si>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</si>
  <si>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</si>
  <si>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</si>
  <si>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</si>
  <si>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</si>
  <si>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</si>
  <si>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</si>
  <si>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</si>
  <si>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</si>
  <si>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</si>
  <si>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</si>
  <si>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</si>
  <si>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</si>
  <si>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</si>
  <si>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</si>
  <si>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</si>
  <si>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</si>
  <si>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</si>
  <si>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</si>
  <si>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</si>
  <si>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</si>
  <si>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</si>
  <si>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</si>
  <si>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</si>
  <si>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</si>
  <si>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</si>
  <si>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</si>
  <si>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</si>
  <si>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</si>
  <si>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</si>
  <si>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</si>
  <si>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</si>
  <si>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</si>
  <si>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</si>
  <si>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</si>
  <si>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</si>
  <si>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</si>
  <si>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</si>
  <si>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</si>
  <si>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</si>
  <si>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</si>
  <si>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</si>
  <si>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</si>
  <si>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</si>
  <si>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</si>
  <si>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</si>
  <si>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</si>
  <si>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</si>
  <si>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</si>
  <si>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</si>
  <si>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</si>
  <si>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</si>
  <si>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</si>
  <si>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</si>
  <si>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</si>
  <si>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</si>
  <si>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</si>
  <si>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</si>
  <si>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</si>
  <si>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</si>
  <si>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</si>
  <si>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</si>
  <si>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</si>
  <si>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</si>
  <si>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</si>
  <si>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</si>
  <si>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</si>
  <si>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</si>
  <si>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</si>
  <si>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</si>
  <si>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</si>
  <si>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</si>
  <si>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</si>
  <si>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</si>
  <si>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</si>
  <si>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</si>
  <si>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</si>
  <si>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</si>
  <si>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</si>
  <si>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</si>
  <si>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</si>
  <si>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</si>
  <si>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</si>
  <si>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</si>
  <si>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</si>
  <si>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</si>
  <si>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</si>
  <si>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</si>
  <si>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</si>
  <si>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</si>
  <si>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</si>
  <si>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</si>
  <si>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</si>
  <si>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</si>
  <si>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</si>
  <si>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</si>
  <si>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</si>
  <si>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</si>
  <si>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</si>
  <si>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</si>
  <si>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</si>
  <si>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</si>
  <si>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</si>
  <si>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</si>
  <si>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</si>
  <si>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</si>
  <si>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</si>
  <si>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</si>
  <si>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</si>
  <si>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</si>
  <si>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</si>
  <si>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</si>
  <si>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</si>
  <si>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</si>
  <si>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</si>
  <si>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</si>
  <si>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</si>
  <si>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</si>
  <si>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</si>
  <si>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</si>
  <si>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</si>
  <si>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</si>
  <si>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</si>
  <si>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</si>
  <si>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</si>
  <si>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</si>
  <si>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</si>
  <si>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</si>
  <si>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</si>
  <si>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</si>
  <si>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</si>
  <si>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</si>
  <si>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</si>
  <si>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</si>
  <si>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</si>
  <si>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</si>
  <si>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</si>
  <si>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</si>
  <si>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</si>
  <si>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</si>
  <si>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</si>
  <si>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</si>
  <si>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</si>
  <si>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</si>
  <si>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</si>
  <si>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</si>
  <si>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</si>
  <si>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</si>
  <si>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</si>
  <si>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</si>
  <si>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</si>
  <si>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</si>
  <si>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</si>
  <si>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</si>
  <si>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</si>
  <si>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</si>
  <si>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</si>
  <si>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</si>
  <si>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</si>
  <si>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</si>
  <si>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</si>
  <si>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</si>
  <si>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</si>
  <si>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</si>
  <si>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</si>
  <si>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</si>
  <si>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</si>
  <si>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</si>
  <si>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</si>
  <si>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</si>
  <si>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</si>
  <si>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</si>
  <si>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</si>
  <si>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</si>
  <si>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</si>
  <si>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</si>
  <si>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</si>
  <si>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</si>
  <si>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</si>
  <si>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</si>
  <si>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</si>
  <si>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</si>
  <si>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</si>
  <si>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</si>
  <si>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</si>
  <si>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</si>
  <si>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</si>
  <si>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</si>
  <si>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</si>
  <si>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</si>
  <si>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</si>
  <si>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</si>
  <si>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</si>
  <si>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</si>
  <si>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</si>
  <si>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</si>
  <si>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</si>
  <si>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</si>
  <si>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</si>
  <si>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</si>
  <si>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</si>
  <si>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</si>
  <si>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</si>
  <si>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</si>
  <si>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</si>
  <si>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</si>
  <si>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</si>
  <si>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</si>
  <si>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</si>
  <si>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</si>
  <si>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</si>
  <si>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</si>
  <si>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</si>
  <si>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</si>
  <si>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</si>
  <si>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</si>
  <si>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</si>
  <si>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</si>
  <si>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</si>
  <si>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</si>
  <si>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</si>
  <si>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</si>
  <si>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</si>
  <si>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</si>
  <si>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</si>
  <si>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</si>
  <si>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</si>
  <si>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</si>
  <si>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</si>
  <si>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</si>
  <si>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</si>
  <si>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</si>
  <si>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</si>
  <si>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</si>
  <si>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</si>
  <si>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</si>
  <si>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</si>
  <si>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</si>
  <si>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</si>
  <si>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</si>
  <si>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</si>
  <si>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</si>
  <si>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</si>
  <si>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</si>
  <si>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</si>
  <si>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</si>
  <si>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</si>
  <si>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</si>
  <si>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</si>
  <si>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</si>
  <si>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</si>
  <si>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</si>
  <si>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</si>
  <si>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</si>
  <si>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</si>
  <si>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</si>
  <si>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</si>
  <si>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</si>
  <si>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</si>
  <si>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</si>
  <si>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</si>
  <si>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</si>
  <si>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</si>
  <si>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</si>
  <si>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</si>
  <si>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</si>
  <si>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</si>
  <si>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</si>
  <si>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</si>
  <si>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</si>
  <si>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</si>
  <si>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</si>
  <si>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</si>
  <si>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</si>
  <si>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</si>
  <si>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</si>
  <si>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</si>
  <si>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</si>
  <si>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</si>
  <si>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</si>
  <si>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</si>
  <si>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</si>
  <si>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</si>
  <si>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</si>
  <si>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</si>
  <si>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</si>
  <si>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</si>
  <si>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</si>
  <si>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</si>
  <si>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</si>
  <si>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</si>
  <si>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</si>
  <si>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</si>
  <si>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</si>
  <si>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</si>
  <si>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</si>
  <si>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</si>
  <si>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</si>
  <si>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</si>
  <si>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</si>
  <si>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</si>
  <si>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</si>
  <si>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</si>
  <si>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</si>
  <si>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</si>
  <si>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</si>
  <si>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</si>
  <si>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</si>
  <si>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</si>
  <si>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</si>
  <si>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</si>
  <si>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</si>
  <si>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</si>
  <si>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</si>
  <si>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</si>
  <si>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</si>
  <si>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</si>
  <si>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</si>
  <si>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</si>
  <si>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</si>
  <si>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</si>
  <si>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</si>
  <si>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</si>
  <si>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</si>
  <si>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</si>
  <si>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</si>
  <si>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</si>
  <si>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</si>
  <si>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</si>
  <si>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</si>
  <si>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</si>
  <si>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</si>
  <si>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</si>
  <si>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</si>
  <si>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</si>
  <si>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</si>
  <si>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</si>
  <si>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</si>
  <si>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</si>
  <si>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</si>
  <si>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</si>
  <si>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</si>
  <si>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</si>
  <si>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</si>
  <si>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</si>
  <si>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</si>
  <si>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</si>
  <si>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</si>
  <si>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</si>
  <si>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</si>
  <si>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</si>
  <si>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</si>
  <si>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</si>
  <si>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</si>
  <si>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</si>
  <si>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</si>
  <si>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</si>
  <si>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</si>
  <si>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</si>
  <si>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</si>
  <si>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</si>
  <si>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</si>
  <si>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</si>
  <si>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</si>
  <si>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</si>
  <si>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</si>
  <si>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</si>
  <si>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</si>
  <si>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</si>
  <si>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</si>
  <si>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</si>
  <si>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</si>
  <si>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</si>
  <si>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</si>
  <si>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</si>
  <si>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</si>
  <si>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</si>
  <si>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</si>
  <si>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</si>
  <si>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</si>
  <si>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</si>
  <si>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</si>
  <si>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</si>
  <si>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</si>
  <si>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</si>
  <si>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</si>
  <si>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</si>
  <si>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</si>
  <si>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</si>
  <si>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</si>
  <si>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</si>
  <si>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</si>
  <si>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</si>
  <si>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</si>
  <si>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</si>
  <si>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</si>
  <si>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</si>
  <si>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</si>
  <si>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</si>
  <si>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</si>
  <si>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</si>
  <si>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</si>
  <si>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</si>
  <si>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</si>
  <si>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</si>
  <si>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</si>
  <si>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</si>
  <si>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</si>
  <si>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</si>
  <si>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</si>
  <si>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</si>
  <si>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</si>
  <si>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</si>
  <si>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</si>
  <si>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</si>
  <si>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</si>
  <si>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</si>
  <si>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</si>
  <si>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</si>
  <si>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</si>
  <si>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</si>
  <si>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</si>
  <si>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</si>
  <si>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</si>
  <si>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</si>
  <si>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</si>
  <si>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</si>
  <si>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</si>
  <si>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</si>
  <si>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</si>
  <si>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</si>
  <si>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</si>
  <si>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</si>
  <si>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</si>
  <si>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</si>
  <si>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</si>
  <si>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</si>
  <si>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</si>
  <si>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</si>
  <si>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</si>
  <si>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</si>
  <si>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</si>
  <si>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</si>
  <si>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</si>
  <si>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</si>
  <si>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</si>
  <si>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</si>
  <si>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</si>
  <si>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</si>
  <si>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</si>
  <si>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</si>
  <si>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</si>
  <si>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</si>
  <si>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</si>
  <si>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</si>
  <si>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</si>
  <si>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</si>
  <si>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</si>
  <si>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</si>
  <si>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</si>
  <si>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</si>
  <si>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</si>
  <si>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</si>
  <si>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</si>
  <si>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</si>
  <si>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</si>
  <si>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</si>
  <si>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</si>
  <si>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</si>
  <si>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</si>
  <si>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</si>
  <si>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</si>
  <si>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</si>
  <si>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</si>
  <si>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</si>
  <si>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</si>
  <si>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</si>
  <si>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</si>
  <si>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</si>
  <si>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</si>
  <si>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</si>
  <si>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</si>
  <si>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</si>
  <si>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</si>
  <si>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</si>
  <si>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</si>
  <si>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</si>
  <si>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</si>
  <si>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</si>
  <si>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</si>
  <si>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</si>
  <si>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</si>
  <si>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</si>
  <si>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</si>
  <si>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</si>
  <si>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</si>
  <si>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</si>
  <si>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</si>
  <si>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</si>
  <si>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</si>
  <si>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</si>
  <si>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</si>
  <si>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</si>
  <si>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</si>
  <si>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</si>
  <si>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</si>
  <si>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</si>
  <si>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</si>
  <si>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</si>
  <si>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</si>
  <si>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</si>
  <si>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</si>
  <si>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</si>
  <si>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</si>
  <si>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</si>
  <si>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</si>
  <si>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</si>
  <si>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</si>
  <si>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</si>
  <si>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</si>
  <si>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</si>
  <si>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</si>
  <si>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</si>
  <si>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</si>
  <si>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</si>
  <si>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</si>
  <si>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</si>
  <si>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</si>
  <si>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</si>
  <si>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</si>
  <si>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</si>
  <si>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</si>
  <si>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</si>
  <si>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</si>
  <si>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</si>
  <si>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</si>
  <si>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</si>
  <si>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</si>
  <si>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</si>
  <si>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</si>
  <si>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</si>
  <si>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</si>
  <si>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</si>
  <si>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</si>
  <si>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</si>
  <si>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</si>
  <si>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</si>
  <si>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</si>
  <si>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</si>
  <si>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</si>
  <si>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</si>
  <si>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</si>
  <si>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</si>
  <si>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</si>
  <si>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</si>
  <si>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</si>
  <si>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</si>
  <si>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</si>
  <si>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</si>
  <si>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</si>
  <si>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</si>
  <si>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</si>
  <si>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</si>
  <si>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</si>
  <si>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</si>
  <si>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</si>
  <si>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</si>
  <si>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</si>
  <si>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</si>
  <si>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</si>
  <si>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</si>
  <si>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</si>
  <si>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</si>
  <si>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</si>
  <si>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</si>
  <si>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</si>
  <si>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</si>
  <si>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</si>
  <si>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</si>
  <si>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</si>
  <si>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</si>
  <si>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</si>
  <si>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</si>
  <si>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</si>
  <si>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</si>
  <si>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</si>
  <si>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</si>
  <si>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</si>
  <si>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</si>
  <si>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</si>
  <si>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</si>
  <si>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</si>
  <si>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</si>
  <si>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</si>
  <si>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</si>
  <si>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</si>
  <si>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</si>
  <si>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</si>
  <si>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</si>
  <si>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</si>
  <si>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</si>
  <si>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</si>
  <si>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</si>
  <si>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</si>
  <si>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</si>
  <si>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</si>
  <si>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</si>
  <si>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</si>
  <si>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</si>
  <si>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</si>
  <si>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</si>
  <si>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</si>
  <si>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</si>
  <si>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</si>
  <si>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</si>
  <si>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</si>
  <si>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</si>
  <si>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</si>
  <si>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</si>
  <si>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</si>
  <si>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</si>
  <si>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</si>
  <si>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</si>
  <si>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</si>
  <si>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</si>
  <si>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</si>
  <si>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</si>
  <si>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</si>
  <si>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</si>
  <si>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</si>
  <si>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</si>
  <si>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</si>
  <si>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</si>
  <si>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</si>
  <si>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</si>
  <si>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</si>
  <si>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</si>
  <si>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</si>
  <si>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</si>
  <si>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</si>
  <si>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</si>
  <si>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</si>
  <si>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</si>
  <si>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</si>
  <si>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</si>
  <si>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</si>
  <si>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</si>
  <si>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</si>
  <si>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</si>
  <si>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</si>
  <si>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</si>
  <si>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</si>
  <si>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</si>
  <si>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</si>
  <si>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</si>
  <si>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</si>
  <si>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</si>
  <si>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</si>
  <si>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</si>
  <si>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</si>
  <si>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</si>
  <si>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</si>
  <si>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</si>
  <si>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</si>
  <si>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</si>
  <si>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</si>
  <si>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</si>
  <si>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</si>
  <si>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</si>
  <si>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</si>
  <si>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</si>
  <si>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</si>
  <si>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</si>
  <si>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</si>
  <si>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</si>
  <si>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</si>
  <si>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</si>
  <si>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</si>
  <si>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</si>
  <si>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</si>
  <si>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</si>
  <si>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</si>
  <si>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</si>
  <si>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</si>
  <si>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</si>
  <si>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</si>
  <si>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</si>
  <si>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</si>
  <si>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</si>
  <si>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</si>
  <si>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</si>
  <si>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</si>
  <si>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</si>
  <si>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</si>
  <si>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</si>
  <si>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</si>
  <si>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</si>
  <si>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</si>
  <si>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</si>
  <si>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</si>
  <si>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</si>
  <si>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</si>
  <si>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</si>
  <si>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</si>
  <si>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</si>
  <si>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</si>
  <si>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</si>
  <si>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</si>
  <si>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</si>
  <si>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</si>
  <si>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</si>
  <si>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</si>
  <si>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</si>
  <si>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</si>
  <si>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</si>
  <si>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</si>
  <si>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</si>
  <si>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</si>
  <si>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</si>
  <si>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</si>
  <si>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</si>
  <si>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</si>
  <si>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</si>
  <si>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</si>
  <si>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</si>
  <si>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</si>
  <si>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</si>
  <si>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</si>
  <si>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</si>
  <si>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</si>
  <si>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</si>
  <si>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</si>
  <si>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</si>
  <si>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</si>
  <si>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</si>
  <si>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</si>
  <si>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</si>
  <si>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</si>
  <si>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</si>
  <si>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</si>
  <si>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</si>
  <si>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</si>
  <si>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</si>
  <si>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</si>
  <si>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</si>
  <si>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</si>
  <si>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</si>
  <si>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</si>
  <si>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</si>
  <si>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</si>
  <si>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</si>
  <si>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</si>
  <si>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</si>
  <si>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</si>
  <si>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</si>
  <si>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</si>
  <si>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</si>
  <si>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</si>
  <si>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</si>
  <si>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</si>
  <si>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</si>
  <si>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</si>
  <si>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</si>
  <si>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</si>
  <si>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</si>
  <si>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</si>
  <si>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</si>
  <si>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</si>
  <si>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</si>
  <si>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</si>
  <si>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</si>
  <si>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</si>
  <si>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</si>
  <si>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</si>
  <si>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</si>
  <si>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</si>
  <si>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</si>
  <si>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</si>
  <si>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</si>
  <si>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</si>
  <si>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</si>
  <si>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</si>
  <si>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</si>
  <si>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</si>
  <si>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</si>
  <si>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</si>
  <si>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</si>
  <si>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</si>
  <si>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</si>
  <si>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</si>
  <si>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</si>
  <si>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</si>
  <si>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</si>
  <si>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</si>
  <si>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</si>
  <si>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</si>
  <si>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</si>
  <si>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</si>
  <si>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</si>
  <si>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</si>
  <si>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</si>
  <si>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</si>
  <si>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</si>
  <si>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</si>
  <si>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</si>
  <si>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</si>
  <si>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</si>
  <si>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</si>
  <si>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</si>
  <si>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</si>
  <si>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</si>
  <si>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</si>
  <si>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</si>
  <si>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</si>
  <si>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</si>
  <si>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</si>
  <si>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</si>
  <si>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</si>
  <si>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</si>
  <si>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</si>
  <si>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</si>
  <si>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</si>
  <si>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</si>
  <si>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</si>
  <si>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</si>
  <si>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</si>
  <si>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</si>
  <si>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</si>
  <si>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</si>
  <si>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</si>
  <si>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</si>
  <si>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</si>
  <si>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</si>
  <si>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</si>
  <si>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2019-1-0411-F01DYGJ1</t>
    <phoneticPr fontId="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</si>
  <si>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</si>
  <si>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</si>
  <si>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</si>
  <si>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</si>
  <si>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</si>
  <si>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</si>
  <si>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</si>
  <si>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</si>
  <si>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</si>
  <si>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</si>
  <si>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</si>
  <si>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</si>
  <si>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</si>
  <si>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</si>
  <si>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</si>
  <si>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</si>
  <si>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</si>
  <si>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</si>
  <si>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</si>
  <si>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</si>
  <si>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</si>
  <si>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</si>
  <si>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</si>
  <si>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昌平区南口镇前洼村南液化气站工业用房房地产</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</si>
  <si>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</si>
  <si>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</si>
  <si>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</si>
  <si>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</si>
  <si>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</si>
  <si>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</si>
  <si>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</si>
  <si>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</si>
  <si>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</si>
  <si>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</si>
  <si>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</si>
  <si>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</si>
  <si>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</si>
  <si>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</si>
  <si>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</si>
  <si>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</si>
  <si>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</si>
  <si>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</si>
  <si>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</si>
  <si>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</si>
  <si>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</si>
  <si>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</si>
  <si>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</si>
  <si>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</si>
  <si>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</si>
  <si>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成本比率</t>
  </si>
  <si>
    <t>宗地容积率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</si>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</sst>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106" fillId="5" borderId="1" xfId="0" applyNumberFormat="1" applyFont="1" applyFill="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xf>
    <xf numFmtId="0" fontId="50" fillId="17" borderId="1" xfId="0" applyFont="1" applyFill="1" applyBorder="1" applyAlignment="1" applyProtection="1">
      <alignment horizontal="center" vertical="center"/>
    </xf>
    <xf numFmtId="181" fontId="55" fillId="17" borderId="24" xfId="0" applyNumberFormat="1" applyFont="1" applyFill="1" applyBorder="1" applyAlignment="1" applyProtection="1">
      <alignment horizontal="center" vertical="center"/>
    </xf>
    <xf numFmtId="0" fontId="55" fillId="17" borderId="24"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7" fontId="53" fillId="17" borderId="8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北京市昌平区南口镇前洼村南液化气站工业用房房地产房地产抵押价值预评估</v>
      </c>
    </row>
    <row r="3" spans="1:2" s="1592" customFormat="1">
      <c r="A3" s="1590" t="s">
        <v>1217</v>
      </c>
      <c r="B3" s="1591" t="str">
        <f>'预评函-封皮'!B40</f>
        <v>北京德利生华液化气有限公司</v>
      </c>
    </row>
    <row r="4" spans="1:2" s="1592" customFormat="1">
      <c r="A4" s="1590" t="s">
        <v>1218</v>
      </c>
      <c r="B4" s="1591" t="str">
        <f>'预评函-封皮'!B46</f>
        <v>（注册号：0)、（注册号：0)</v>
      </c>
    </row>
    <row r="5" spans="1:2" s="1586" customFormat="1" ht="16.2" thickBot="1">
      <c r="A5" s="1593" t="s">
        <v>1219</v>
      </c>
      <c r="B5" s="1594" t="str">
        <f>'预评函-封皮'!B49</f>
        <v>康正预评字2019-1-0411-F01DYGJ1号</v>
      </c>
    </row>
    <row r="6" spans="1:2" s="1589" customFormat="1" ht="16.2" thickTop="1">
      <c r="A6" s="1587" t="s">
        <v>1220</v>
      </c>
      <c r="B6" s="1588" t="str">
        <f>'预评函-1'!A4</f>
        <v>受贵公司委托，我公司对北京市昌平区南口镇前洼村南液化气站工业用房房地产房地产抵押价值进行了预评估。</v>
      </c>
    </row>
    <row r="7" spans="1:2" s="1592" customFormat="1">
      <c r="A7" s="1590" t="s">
        <v>1260</v>
      </c>
      <c r="B7" s="1591"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为估价委托人在向兴业银行股份有限公司北京昌平支行办理贷款手续过程中，确定房地产抵押贷款额度提供参考依据而评估房地产抵押价值。</v>
      </c>
    </row>
    <row r="12" spans="1:2" s="1592" customFormat="1">
      <c r="A12" s="1590" t="s">
        <v>1222</v>
      </c>
      <c r="B12" s="1591" t="str">
        <f>'预评函-1'!A15</f>
        <v>2019年6月25日（评估专业人员实地查勘之日）</v>
      </c>
    </row>
    <row r="13" spans="1:2" s="1592" customFormat="1">
      <c r="A13" s="1590" t="s">
        <v>1223</v>
      </c>
      <c r="B13" s="1591" t="str">
        <f>'预评函-1'!A18</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4" spans="1:2" s="1592" customFormat="1">
      <c r="A14" s="1590" t="s">
        <v>1224</v>
      </c>
      <c r="B14" s="1591"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1085</v>
      </c>
    </row>
    <row r="21" spans="1:2" s="1592" customFormat="1">
      <c r="A21" s="1590" t="s">
        <v>1231</v>
      </c>
      <c r="B21" s="1591">
        <f ca="1">'预评函-2'!D7</f>
        <v>9806</v>
      </c>
    </row>
    <row r="22" spans="1:2" s="1592" customFormat="1">
      <c r="A22" s="1590" t="s">
        <v>1232</v>
      </c>
      <c r="B22" s="1591" t="str">
        <f ca="1">'预评函-2'!D6</f>
        <v>壹仟零捌拾伍万元整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1085</v>
      </c>
    </row>
    <row r="31" spans="1:2" s="1592" customFormat="1">
      <c r="A31" s="1590" t="s">
        <v>1270</v>
      </c>
      <c r="B31" s="1591">
        <f ca="1">'预评函-2'!D15</f>
        <v>9806</v>
      </c>
    </row>
    <row r="32" spans="1:2" s="1592" customFormat="1">
      <c r="A32" s="1590" t="s">
        <v>1237</v>
      </c>
      <c r="B32" s="1591" t="str">
        <f ca="1">'预评函-2'!D14</f>
        <v>壹仟零捌拾伍万元整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1015</v>
      </c>
    </row>
    <row r="39" spans="1:2" s="1592" customFormat="1">
      <c r="A39" s="1590" t="s">
        <v>1239</v>
      </c>
      <c r="B39" s="1591">
        <f ca="1">'预评函-2'!D21</f>
        <v>9174</v>
      </c>
    </row>
    <row r="40" spans="1:2" s="1592" customFormat="1">
      <c r="A40" s="1590" t="s">
        <v>1240</v>
      </c>
      <c r="B40" s="1591" t="str">
        <f ca="1">'预评函-2'!D20</f>
        <v>壹仟零壹拾伍万元整</v>
      </c>
    </row>
    <row r="41" spans="1:2" s="1592" customFormat="1">
      <c r="A41" s="1590" t="s">
        <v>1286</v>
      </c>
      <c r="B41" s="1591" t="str">
        <f>'预评函-3'!A4</f>
        <v>北京市昌平区南口镇前洼村南液化气站工业用房房地产房地产</v>
      </c>
    </row>
    <row r="42" spans="1:2" s="1592" customFormat="1" ht="31.2">
      <c r="A42" s="1590" t="s">
        <v>1284</v>
      </c>
      <c r="B42" s="1591" t="str">
        <f>'预评函-3'!B2</f>
        <v>建筑面积</v>
      </c>
    </row>
    <row r="43" spans="1:2" s="1592" customFormat="1">
      <c r="A43" s="1590" t="s">
        <v>1285</v>
      </c>
      <c r="B43" s="1591">
        <f>'预评函-3'!B4</f>
        <v>1106.44</v>
      </c>
    </row>
    <row r="44" spans="1:2" s="1592" customFormat="1" ht="31.2">
      <c r="A44" s="1590" t="s">
        <v>1269</v>
      </c>
      <c r="B44" s="1591" t="str">
        <f>'预评函-3'!C2</f>
        <v>(分摊)土地面积</v>
      </c>
    </row>
    <row r="45" spans="1:2" s="1592" customFormat="1">
      <c r="A45" s="1590" t="s">
        <v>1241</v>
      </c>
      <c r="B45" s="1591">
        <f>'预评函-3'!C4</f>
        <v>8001.46</v>
      </c>
    </row>
    <row r="46" spans="1:2" s="1592" customFormat="1">
      <c r="A46" s="1590" t="s">
        <v>1267</v>
      </c>
      <c r="B46" s="1591" t="str">
        <f>'预评函-3'!D2</f>
        <v>出让国有建设用地使用权价值</v>
      </c>
    </row>
    <row r="47" spans="1:2" s="1592" customFormat="1">
      <c r="A47" s="1590" t="s">
        <v>1242</v>
      </c>
      <c r="B47" s="1591">
        <f ca="1">'预评函-3'!D4</f>
        <v>841</v>
      </c>
    </row>
    <row r="48" spans="1:2" s="1592" customFormat="1">
      <c r="A48" s="1590" t="s">
        <v>1243</v>
      </c>
      <c r="B48" s="1591">
        <f ca="1">'预评函-3'!E4</f>
        <v>7601</v>
      </c>
    </row>
    <row r="49" spans="1:2" s="1592" customFormat="1">
      <c r="A49" s="1590" t="s">
        <v>1244</v>
      </c>
      <c r="B49" s="1591" t="str">
        <f ca="1">'预评函-3'!D5</f>
        <v>捌佰肆拾壹万元整</v>
      </c>
    </row>
    <row r="50" spans="1:2" s="1592" customFormat="1">
      <c r="A50" s="1590" t="s">
        <v>1268</v>
      </c>
      <c r="B50" s="1591" t="str">
        <f>'预评函-3'!F2</f>
        <v>在建建筑物价值</v>
      </c>
    </row>
    <row r="51" spans="1:2" s="1592" customFormat="1">
      <c r="A51" s="1590" t="s">
        <v>1245</v>
      </c>
      <c r="B51" s="1591">
        <f ca="1">'预评函-3'!F4</f>
        <v>244</v>
      </c>
    </row>
    <row r="52" spans="1:2" s="1592" customFormat="1">
      <c r="A52" s="1590" t="s">
        <v>1246</v>
      </c>
      <c r="B52" s="1591">
        <f ca="1">'预评函-3'!G4</f>
        <v>2205</v>
      </c>
    </row>
    <row r="53" spans="1:2" s="1592" customFormat="1">
      <c r="A53" s="1590" t="s">
        <v>1274</v>
      </c>
      <c r="B53" s="1591" t="str">
        <f ca="1">'预评函-3'!F5</f>
        <v>贰佰肆拾肆万元整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21" t="s">
        <v>861</v>
      </c>
      <c r="C54" s="2018" t="s">
        <v>1277</v>
      </c>
    </row>
    <row r="55" spans="1:4">
      <c r="A55" s="3011"/>
      <c r="B55" s="2021" t="s">
        <v>862</v>
      </c>
      <c r="C55" s="2018" t="s">
        <v>1278</v>
      </c>
    </row>
    <row r="56" spans="1:4">
      <c r="A56" s="3011"/>
      <c r="B56" s="2021" t="s">
        <v>863</v>
      </c>
      <c r="C56" s="2018" t="s">
        <v>1282</v>
      </c>
    </row>
    <row r="57" spans="1:4">
      <c r="A57" s="301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2"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13"/>
      <c r="D1" s="3013"/>
      <c r="E1" s="3013"/>
      <c r="F1" s="3013"/>
      <c r="G1" s="3013"/>
      <c r="H1" s="3013"/>
      <c r="I1" s="301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5" t="s">
        <v>1772</v>
      </c>
      <c r="B2" s="1038" t="s">
        <v>3048</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4" t="s">
        <v>1773</v>
      </c>
      <c r="B3" s="2035">
        <v>43641</v>
      </c>
      <c r="C3" s="2036" t="s">
        <v>1774</v>
      </c>
      <c r="D3" s="2035">
        <v>43641</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52.5" customHeight="1" thickTop="1">
      <c r="A5" s="2043" t="s">
        <v>1776</v>
      </c>
      <c r="B5" s="2949"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0"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1" t="s">
        <v>3050</v>
      </c>
      <c r="C7" s="2047"/>
      <c r="D7" s="2048"/>
      <c r="E7" s="2033"/>
      <c r="F7" s="2041"/>
      <c r="G7" s="2041"/>
      <c r="H7" s="2041"/>
      <c r="I7" s="2041"/>
      <c r="J7" s="2041"/>
      <c r="K7" s="2050"/>
      <c r="L7" s="2027"/>
      <c r="M7" s="2027"/>
      <c r="N7" s="2028"/>
      <c r="O7" s="2029"/>
      <c r="P7" s="2028"/>
      <c r="Q7" s="2028"/>
      <c r="R7" s="2028"/>
    </row>
    <row r="8" spans="1:19" ht="18" customHeight="1">
      <c r="A8" s="2046" t="s">
        <v>1779</v>
      </c>
      <c r="B8" s="2051" t="s">
        <v>3051</v>
      </c>
      <c r="C8" s="2052"/>
      <c r="D8" s="3015" t="s">
        <v>1780</v>
      </c>
      <c r="E8" s="2053" t="s">
        <v>3052</v>
      </c>
      <c r="F8" s="2054"/>
      <c r="G8" s="2025"/>
      <c r="H8" s="2025"/>
      <c r="I8" s="2025"/>
      <c r="J8" s="2041"/>
      <c r="K8" s="2042"/>
      <c r="L8" s="2027"/>
      <c r="M8" s="2027"/>
      <c r="N8" s="2028"/>
      <c r="O8" s="2029"/>
      <c r="P8" s="2028"/>
      <c r="Q8" s="2028"/>
      <c r="R8" s="2028"/>
    </row>
    <row r="9" spans="1:19" ht="18" customHeight="1" thickBot="1">
      <c r="A9" s="2039" t="s">
        <v>1781</v>
      </c>
      <c r="B9" s="2055" t="s">
        <v>3052</v>
      </c>
      <c r="C9" s="2056"/>
      <c r="D9" s="3016"/>
      <c r="E9" s="2055" t="s">
        <v>1281</v>
      </c>
      <c r="F9" s="2057"/>
      <c r="G9" s="2058"/>
      <c r="H9" s="2058"/>
      <c r="I9" s="2058"/>
      <c r="J9" s="2041"/>
      <c r="K9" s="2050"/>
      <c r="L9" s="2027"/>
      <c r="M9" s="2027"/>
      <c r="N9" s="2028"/>
      <c r="O9" s="2029"/>
      <c r="P9" s="2028"/>
      <c r="Q9" s="2028"/>
      <c r="R9" s="2028"/>
    </row>
    <row r="10" spans="1:19" ht="18" customHeight="1" thickTop="1">
      <c r="A10" s="2059" t="s">
        <v>1782</v>
      </c>
      <c r="B10" s="2060" t="s">
        <v>3053</v>
      </c>
      <c r="C10" s="2061"/>
      <c r="D10" s="2045"/>
      <c r="E10" s="2062" t="s">
        <v>1783</v>
      </c>
      <c r="F10" s="2952" t="s">
        <v>3072</v>
      </c>
      <c r="G10" s="2063"/>
      <c r="H10" s="2064"/>
      <c r="I10" s="2045"/>
      <c r="J10" s="2041"/>
      <c r="K10" s="2050"/>
      <c r="L10" s="2027"/>
      <c r="M10" s="2027"/>
      <c r="N10" s="2028"/>
      <c r="O10" s="2029"/>
      <c r="P10" s="2028"/>
      <c r="Q10" s="2028"/>
      <c r="R10" s="2028"/>
    </row>
    <row r="11" spans="1:19" ht="18" customHeight="1">
      <c r="A11" s="2065" t="s">
        <v>1784</v>
      </c>
      <c r="B11" s="2066" t="s">
        <v>3054</v>
      </c>
      <c r="C11" s="2067"/>
      <c r="D11" s="2068"/>
      <c r="E11" s="2041"/>
      <c r="F11" s="2041"/>
      <c r="G11" s="2041"/>
      <c r="H11" s="2041"/>
      <c r="I11" s="2041"/>
      <c r="J11" s="2041"/>
      <c r="K11" s="2050"/>
      <c r="L11" s="2027"/>
      <c r="M11" s="2027"/>
      <c r="N11" s="2028"/>
      <c r="O11" s="2029"/>
      <c r="P11" s="2028"/>
      <c r="Q11" s="2028"/>
      <c r="R11" s="2028"/>
    </row>
    <row r="12" spans="1:19" ht="18" customHeight="1">
      <c r="A12" s="2069" t="s">
        <v>1785</v>
      </c>
      <c r="B12" s="2066" t="s">
        <v>3055</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c r="G13" s="2075"/>
      <c r="H13" s="2075"/>
      <c r="I13" s="1046">
        <v>57047</v>
      </c>
      <c r="J13" s="2041"/>
      <c r="K13" s="2050"/>
      <c r="L13" s="2027"/>
      <c r="M13" s="2027"/>
      <c r="N13" s="2028"/>
      <c r="O13" s="2029"/>
      <c r="P13" s="2028"/>
      <c r="Q13" s="2028"/>
      <c r="R13" s="2028"/>
    </row>
    <row r="14" spans="1:19" ht="18" customHeight="1">
      <c r="A14" s="2072"/>
      <c r="B14" s="2073"/>
      <c r="C14" s="2074" t="s">
        <v>1794</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36.72</v>
      </c>
      <c r="J15" s="2041"/>
      <c r="K15" s="2078"/>
      <c r="L15" s="2079"/>
      <c r="M15" s="2079"/>
      <c r="N15" s="2080"/>
      <c r="O15" s="2079"/>
      <c r="P15" s="2080"/>
      <c r="Q15" s="2028"/>
      <c r="R15" s="2028"/>
    </row>
    <row r="16" spans="1:19" ht="30.75" customHeight="1">
      <c r="A16" s="2062" t="s">
        <v>1796</v>
      </c>
      <c r="B16" s="3022" t="s">
        <v>3071</v>
      </c>
      <c r="C16" s="3023"/>
      <c r="D16" s="3024"/>
      <c r="E16" s="2081" t="s">
        <v>1797</v>
      </c>
      <c r="F16" s="3025">
        <v>37.6</v>
      </c>
      <c r="G16" s="3026"/>
      <c r="H16" s="3026"/>
      <c r="I16" s="3027"/>
      <c r="J16" s="2028"/>
      <c r="K16" s="2078"/>
      <c r="L16" s="2079"/>
      <c r="M16" s="2079"/>
      <c r="N16" s="2080"/>
      <c r="O16" s="2079"/>
      <c r="P16" s="2080"/>
      <c r="Q16" s="2028"/>
      <c r="R16" s="2028"/>
    </row>
    <row r="17" spans="1:22" ht="18" customHeight="1">
      <c r="A17" s="2082" t="s">
        <v>1798</v>
      </c>
      <c r="B17" s="2034" t="s">
        <v>1799</v>
      </c>
      <c r="C17" s="1053">
        <f>'数据-汇总表'!E3</f>
        <v>1106.44</v>
      </c>
      <c r="D17" s="2083" t="s">
        <v>1800</v>
      </c>
      <c r="E17" s="3028" t="s">
        <v>3057</v>
      </c>
      <c r="F17" s="3029"/>
      <c r="G17" s="3029"/>
      <c r="H17" s="3029"/>
      <c r="I17" s="3030"/>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3">
        <f>'数据-汇总表'!D3</f>
        <v>8001.46</v>
      </c>
      <c r="D18" s="2086" t="s">
        <v>1800</v>
      </c>
      <c r="E18" s="3031" t="s">
        <v>3056</v>
      </c>
      <c r="F18" s="3032"/>
      <c r="G18" s="3032"/>
      <c r="H18" s="3032"/>
      <c r="I18" s="3033"/>
      <c r="J18" s="2028"/>
      <c r="K18" s="2084"/>
      <c r="L18" s="2079"/>
      <c r="M18" s="2079"/>
      <c r="N18" s="2080"/>
      <c r="O18" s="2079"/>
      <c r="P18" s="2080"/>
      <c r="Q18" s="2028"/>
      <c r="R18" s="2028"/>
      <c r="S18" s="2028"/>
      <c r="T18" s="2028"/>
      <c r="U18" s="2028"/>
      <c r="V18" s="2028"/>
    </row>
    <row r="19" spans="1:22" ht="37.5" customHeight="1" thickTop="1" thickBot="1">
      <c r="A19" s="372" t="s">
        <v>1803</v>
      </c>
      <c r="B19" s="351" t="s">
        <v>1804</v>
      </c>
      <c r="C19" s="2087" t="s">
        <v>3058</v>
      </c>
      <c r="D19" s="2088" t="s">
        <v>1805</v>
      </c>
      <c r="E19" s="2089" t="s">
        <v>3060</v>
      </c>
      <c r="F19" s="2090" t="str">
        <f>IF(AND(C19="是",E19="否"),"是否提供他项权证或相关说明","")</f>
        <v>是否提供他项权证或相关说明</v>
      </c>
      <c r="G19" s="2091" t="s">
        <v>3060</v>
      </c>
      <c r="H19" s="2041"/>
      <c r="I19" s="2041"/>
      <c r="J19" s="2041"/>
      <c r="K19" s="2050"/>
      <c r="L19" s="2027"/>
      <c r="M19" s="2027"/>
      <c r="N19" s="2080"/>
      <c r="O19" s="2079"/>
      <c r="P19" s="2080"/>
      <c r="Q19" s="2028"/>
      <c r="R19" s="2028"/>
      <c r="S19" s="2028"/>
      <c r="T19" s="2028"/>
      <c r="U19" s="2028"/>
      <c r="V19" s="2028"/>
    </row>
    <row r="20" spans="1:22" ht="18" customHeight="1">
      <c r="A20" s="2092" t="s">
        <v>1806</v>
      </c>
      <c r="B20" s="3018" t="s">
        <v>1807</v>
      </c>
      <c r="C20" s="3019"/>
      <c r="D20" s="3020" t="s">
        <v>1808</v>
      </c>
      <c r="E20" s="3021"/>
      <c r="F20" s="2093" t="s">
        <v>1809</v>
      </c>
      <c r="G20" s="2041"/>
      <c r="H20" s="2041"/>
      <c r="I20" s="2041"/>
      <c r="J20" s="2041"/>
      <c r="K20" s="3017"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3059</v>
      </c>
      <c r="D21" s="2096"/>
      <c r="E21" s="2097"/>
      <c r="F21" s="2098"/>
      <c r="G21" s="2041"/>
      <c r="H21" s="2041"/>
      <c r="I21" s="2041"/>
      <c r="J21" s="2041"/>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1812</v>
      </c>
      <c r="C22" s="2095" t="s">
        <v>1813</v>
      </c>
      <c r="D22" s="2025"/>
      <c r="E22" s="2025"/>
      <c r="F22" s="2100"/>
      <c r="G22" s="2041"/>
      <c r="H22" s="2041"/>
      <c r="I22" s="2041"/>
      <c r="J22" s="2041"/>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2" t="s">
        <v>1815</v>
      </c>
      <c r="C23" s="2102">
        <v>42651</v>
      </c>
      <c r="D23" s="2103" t="s">
        <v>1815</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1816</v>
      </c>
      <c r="C24" s="2107"/>
      <c r="D24" s="2101" t="s">
        <v>1816</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1817</v>
      </c>
      <c r="C25" s="2953" t="s">
        <v>3061</v>
      </c>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35" t="s">
        <v>1820</v>
      </c>
      <c r="B27" s="2059" t="s">
        <v>1821</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35"/>
      <c r="B28" s="2034" t="s">
        <v>1822</v>
      </c>
      <c r="C28" s="2117" t="s">
        <v>3064</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35"/>
      <c r="B29" s="2034" t="s">
        <v>1823</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36"/>
      <c r="B30" s="2034" t="s">
        <v>1824</v>
      </c>
      <c r="C30" s="3037"/>
      <c r="D30" s="3038"/>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39" t="s">
        <v>1825</v>
      </c>
      <c r="B31" s="2122" t="s">
        <v>3063</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40"/>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40"/>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3065</v>
      </c>
      <c r="C34" s="2129" t="s">
        <v>3066</v>
      </c>
      <c r="D34" s="2129" t="s">
        <v>3067</v>
      </c>
      <c r="E34" s="2129" t="s">
        <v>3068</v>
      </c>
      <c r="F34" s="2129" t="s">
        <v>3069</v>
      </c>
      <c r="G34" s="2129" t="s">
        <v>3070</v>
      </c>
      <c r="H34" s="2129"/>
      <c r="I34" s="2041"/>
      <c r="J34" s="2041"/>
      <c r="K34" s="1794">
        <f>COUNTIF(B34:H34,"——")</f>
        <v>0</v>
      </c>
      <c r="L34" s="2070" t="s">
        <v>1827</v>
      </c>
      <c r="M34" s="2070" t="s">
        <v>1828</v>
      </c>
      <c r="N34" s="2070" t="s">
        <v>1829</v>
      </c>
      <c r="O34" s="2070" t="s">
        <v>1830</v>
      </c>
      <c r="P34" s="2070" t="s">
        <v>1831</v>
      </c>
      <c r="Q34" s="2070" t="s">
        <v>1832</v>
      </c>
      <c r="R34" s="2070" t="s">
        <v>1833</v>
      </c>
      <c r="S34" s="3034" t="s">
        <v>1834</v>
      </c>
      <c r="T34" s="2130" t="str">
        <f>NUMBERSTRING(7-K34,1)&amp;"通"</f>
        <v>七通</v>
      </c>
      <c r="U34" s="2028"/>
      <c r="V34" s="2028"/>
    </row>
    <row r="35" spans="1:22" ht="18" customHeight="1">
      <c r="A35" s="2131"/>
      <c r="B35" s="3041" t="s">
        <v>1835</v>
      </c>
      <c r="C35" s="3041"/>
      <c r="D35" s="3041"/>
      <c r="E35" s="3041"/>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4"/>
      <c r="T35" s="48" t="str">
        <f>IF(T34="一通",L35,IF(T34="二通",M35,IF(T34="三通",N35,IF(T34="四通",O35,IF(T34="五通",P35,IF(T34="六通",Q35,R35))))))</f>
        <v>通路、通电、通讯、通上水、通下水、燃气、</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319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1867</v>
      </c>
      <c r="AZ2" s="1269"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8001.46</v>
      </c>
      <c r="B3" s="14">
        <f>IF(C3="否",G5-AT5,G5)</f>
        <v>1106.44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1871</v>
      </c>
      <c r="B5" s="1802"/>
      <c r="C5" s="1802"/>
      <c r="D5" s="1805"/>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1872</v>
      </c>
      <c r="B6" s="2170"/>
      <c r="C6" s="2170"/>
      <c r="D6" s="2171"/>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0" t="s">
        <v>1886</v>
      </c>
      <c r="AD8" s="2184"/>
      <c r="AE8" s="2176"/>
      <c r="AF8" s="1817"/>
      <c r="AG8" s="1817"/>
      <c r="AH8" s="1817"/>
      <c r="AI8" s="1817"/>
      <c r="AJ8" s="1817"/>
      <c r="AK8" s="1817"/>
      <c r="AL8" s="1817"/>
      <c r="AM8" s="1817"/>
      <c r="AN8" s="1817"/>
      <c r="AO8" s="1817"/>
      <c r="AP8" s="1817"/>
      <c r="AQ8" s="1817"/>
      <c r="AR8" s="1817"/>
      <c r="AS8" s="1817"/>
      <c r="AT8" s="1291" t="s">
        <v>1887</v>
      </c>
      <c r="AU8" s="2178" t="s">
        <v>1888</v>
      </c>
      <c r="AV8" s="1291"/>
      <c r="AW8" s="2161"/>
      <c r="AX8" s="1291"/>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1891</v>
      </c>
      <c r="I9" s="2187" t="s">
        <v>3074</v>
      </c>
      <c r="J9" s="980"/>
      <c r="K9" s="2187"/>
      <c r="L9" s="980"/>
      <c r="M9" s="2187"/>
      <c r="N9" s="980"/>
      <c r="O9" s="2187"/>
      <c r="P9" s="980"/>
      <c r="Q9" s="2187"/>
      <c r="R9" s="980"/>
      <c r="S9" s="2187"/>
      <c r="T9" s="980"/>
      <c r="U9" s="2187"/>
      <c r="V9" s="980"/>
      <c r="W9" s="2187"/>
      <c r="X9" s="2188"/>
      <c r="Y9" s="2187"/>
      <c r="Z9" s="980"/>
      <c r="AA9" s="2187"/>
      <c r="AB9" s="980"/>
      <c r="AC9" s="217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9"/>
      <c r="AT9" s="2178"/>
      <c r="AU9" s="2178" t="s">
        <v>1894</v>
      </c>
      <c r="AV9" s="1291"/>
      <c r="AW9" s="2161"/>
      <c r="AX9" s="1291"/>
      <c r="AY9" s="28"/>
      <c r="AZ9" s="28" t="s">
        <v>1884</v>
      </c>
      <c r="BA9" s="2190" t="s">
        <v>1895</v>
      </c>
      <c r="BB9" s="2191"/>
      <c r="BC9" s="1337"/>
      <c r="BD9" s="1337"/>
      <c r="BE9" s="1337"/>
      <c r="BF9" s="1337"/>
      <c r="BG9" s="1337"/>
      <c r="BH9" s="1337"/>
      <c r="BI9" s="1337"/>
      <c r="BJ9" s="1337"/>
      <c r="BK9" s="2192"/>
      <c r="BL9" s="15" t="s">
        <v>1896</v>
      </c>
      <c r="BM9" s="1817"/>
      <c r="BN9" s="2181"/>
      <c r="BO9" s="1817"/>
      <c r="BP9" s="1817"/>
      <c r="BQ9" s="1817"/>
      <c r="BR9" s="1817"/>
      <c r="BS9" s="1817"/>
      <c r="BT9" s="26"/>
    </row>
    <row r="10" spans="1:72" s="2185" customFormat="1" ht="13.2">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1897</v>
      </c>
      <c r="AE10" s="2194"/>
      <c r="AF10" s="15" t="s">
        <v>1897</v>
      </c>
      <c r="AG10" s="2194"/>
      <c r="AH10" s="15" t="s">
        <v>1898</v>
      </c>
      <c r="AI10" s="2194"/>
      <c r="AJ10" s="15" t="s">
        <v>1898</v>
      </c>
      <c r="AK10" s="2194"/>
      <c r="AL10" s="15" t="s">
        <v>1899</v>
      </c>
      <c r="AM10" s="1297"/>
      <c r="AN10" s="15" t="s">
        <v>1899</v>
      </c>
      <c r="AO10" s="1297"/>
      <c r="AP10" s="15" t="s">
        <v>1900</v>
      </c>
      <c r="AQ10" s="1297"/>
      <c r="AR10" s="15" t="s">
        <v>1900</v>
      </c>
      <c r="AS10" s="1297"/>
      <c r="AT10" s="2178"/>
      <c r="AU10" s="2178"/>
      <c r="AV10" s="1291"/>
      <c r="AW10" s="2161"/>
      <c r="AX10" s="1291"/>
      <c r="AY10" s="28"/>
      <c r="AZ10" s="28"/>
      <c r="BA10" s="2195" t="s">
        <v>1891</v>
      </c>
      <c r="BB10" s="2196"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3075</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54" t="s">
        <v>3073</v>
      </c>
      <c r="D13" s="2209" t="s">
        <v>3058</v>
      </c>
      <c r="E13" s="16">
        <f>IF($C$3="是",ROUND($A$3*G13/$B$3,2),ROUND($A$3*(G13-AT13)/$B$3,2))</f>
        <v>8001.46</v>
      </c>
      <c r="F13" s="32"/>
      <c r="G13" s="33">
        <f>H13+AC13+AT13</f>
        <v>1106.44</v>
      </c>
      <c r="H13" s="20">
        <f>SUMIF(I$12:AB$12,"总值",I13:AB13)</f>
        <v>1106.44</v>
      </c>
      <c r="I13" s="2210">
        <v>1106.44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5">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54"/>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954"/>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954"/>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954"/>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2955"/>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c r="C19" s="2955"/>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46.8">
      <c r="A3" s="3042"/>
      <c r="B3" s="3042"/>
      <c r="C3" s="3042"/>
      <c r="D3" s="3043"/>
      <c r="E3" s="304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1930</v>
      </c>
      <c r="B1" s="1391"/>
      <c r="C1" s="1391"/>
      <c r="D1" s="1391"/>
      <c r="E1" s="1391"/>
      <c r="F1" s="1391"/>
      <c r="G1" s="1391"/>
      <c r="H1" s="1391"/>
      <c r="I1" s="1391"/>
      <c r="J1" s="1391"/>
      <c r="K1" s="1391"/>
      <c r="L1" s="1391"/>
      <c r="M1" s="1391"/>
      <c r="N1" s="1391"/>
      <c r="O1" s="1391"/>
      <c r="P1" s="1391"/>
    </row>
    <row r="2" spans="1:16" ht="14.4">
      <c r="A2" s="3053" t="s">
        <v>1931</v>
      </c>
      <c r="B2" s="3053"/>
      <c r="C2" s="3053"/>
      <c r="D2" s="966" t="s">
        <v>1907</v>
      </c>
      <c r="E2" s="2223" t="s">
        <v>1908</v>
      </c>
      <c r="F2" s="1391"/>
      <c r="G2" s="2224"/>
      <c r="H2" s="2225"/>
      <c r="I2" s="2226" t="s">
        <v>1932</v>
      </c>
      <c r="J2" s="1391"/>
      <c r="K2" s="1391"/>
      <c r="L2" s="1391"/>
      <c r="M2" s="1391"/>
      <c r="N2" s="1426"/>
      <c r="O2" s="1391"/>
      <c r="P2" s="1391"/>
    </row>
    <row r="3" spans="1:16" ht="15" thickBot="1">
      <c r="A3" s="3054" t="s">
        <v>1905</v>
      </c>
      <c r="B3" s="3054"/>
      <c r="C3" s="3054"/>
      <c r="D3" s="46">
        <f>'数据-基础表'!AY6</f>
        <v>8001.46</v>
      </c>
      <c r="E3" s="46">
        <f>'数据-基础表'!AZ5</f>
        <v>1106.44</v>
      </c>
      <c r="F3" s="1391"/>
      <c r="G3" s="1398"/>
      <c r="H3" s="1246" t="s">
        <v>1906</v>
      </c>
      <c r="I3" s="55">
        <f>ROUND('数据-基础表'!B3/'数据-基础表'!A3,2)</f>
        <v>0.14000000000000001</v>
      </c>
      <c r="J3" s="1391"/>
      <c r="K3" s="1391"/>
      <c r="L3" s="1391"/>
      <c r="M3" s="1391"/>
      <c r="N3" s="1426"/>
      <c r="O3" s="1391"/>
      <c r="P3" s="1391"/>
    </row>
    <row r="4" spans="1:16" ht="14.4">
      <c r="A4" s="3055"/>
      <c r="B4" s="3056"/>
      <c r="C4" s="3057"/>
      <c r="D4" s="2227" t="s">
        <v>1907</v>
      </c>
      <c r="E4" s="2228" t="s">
        <v>1908</v>
      </c>
      <c r="F4" s="1391"/>
      <c r="G4" s="2229" t="s">
        <v>1933</v>
      </c>
      <c r="H4" s="1246" t="s">
        <v>1913</v>
      </c>
      <c r="I4" s="55">
        <f>ROUND(SUMIF('数据-基础表'!I9:AS9,"地上",'数据-基础表'!I5:AS5)/'数据-基础表'!A3,2)</f>
        <v>0.14000000000000001</v>
      </c>
      <c r="J4" s="1391"/>
      <c r="K4" s="1391"/>
      <c r="L4" s="1391"/>
      <c r="M4" s="1391"/>
      <c r="N4" s="1426"/>
      <c r="O4" s="1391"/>
      <c r="P4" s="1391"/>
    </row>
    <row r="5" spans="1:16" ht="14.4">
      <c r="A5" s="47" t="s">
        <v>1909</v>
      </c>
      <c r="B5" s="3058" t="s">
        <v>1910</v>
      </c>
      <c r="C5" s="3058"/>
      <c r="D5" s="48">
        <f>ROUND($D$3*E5/$E$3,2)</f>
        <v>0</v>
      </c>
      <c r="E5" s="49">
        <f>SUMIF('数据-基础表'!$11:$11,"住宅",'数据-基础表'!$5:$5)</f>
        <v>0</v>
      </c>
      <c r="F5" s="1391"/>
      <c r="G5" s="1398"/>
      <c r="H5" s="1246" t="s">
        <v>1906</v>
      </c>
      <c r="I5" s="55">
        <f>ROUND(E31/D31,2)</f>
        <v>0.14000000000000001</v>
      </c>
      <c r="J5" s="1391"/>
      <c r="K5" s="1391"/>
      <c r="L5" s="1391"/>
      <c r="M5" s="1391"/>
      <c r="N5" s="1391"/>
      <c r="O5" s="1391"/>
      <c r="P5" s="1391"/>
    </row>
    <row r="6" spans="1:16" ht="15" thickBot="1">
      <c r="A6" s="2230"/>
      <c r="B6" s="3058" t="s">
        <v>1911</v>
      </c>
      <c r="C6" s="3058"/>
      <c r="D6" s="48">
        <f>ROUND($D$3*E6/$E$3,2)</f>
        <v>8001.46</v>
      </c>
      <c r="E6" s="49">
        <f>E3-E5</f>
        <v>1106.44</v>
      </c>
      <c r="F6" s="1391"/>
      <c r="G6" s="2231" t="s">
        <v>1912</v>
      </c>
      <c r="H6" s="1398" t="s">
        <v>1913</v>
      </c>
      <c r="I6" s="938">
        <f>ROUND(F31/D31,2)</f>
        <v>0.14000000000000001</v>
      </c>
      <c r="J6" s="1391"/>
      <c r="K6" s="1391"/>
      <c r="L6" s="1391"/>
      <c r="M6" s="1391"/>
      <c r="N6" s="1391"/>
      <c r="O6" s="1391"/>
      <c r="P6" s="1391"/>
    </row>
    <row r="7" spans="1:16" ht="14.4">
      <c r="A7" s="3050"/>
      <c r="B7" s="3051"/>
      <c r="C7" s="3052"/>
      <c r="D7" s="2227" t="s">
        <v>1907</v>
      </c>
      <c r="E7" s="2232" t="s">
        <v>1914</v>
      </c>
      <c r="F7" s="1391"/>
      <c r="G7" s="2224" t="s">
        <v>1915</v>
      </c>
      <c r="H7" s="64"/>
      <c r="I7" s="419">
        <v>1</v>
      </c>
      <c r="J7" s="1391"/>
      <c r="K7" s="1391"/>
      <c r="L7" s="1391"/>
      <c r="M7" s="1391"/>
      <c r="N7" s="1391"/>
      <c r="O7" s="1391"/>
      <c r="P7" s="1391"/>
    </row>
    <row r="8" spans="1:16" ht="14.4">
      <c r="A8" s="47" t="s">
        <v>1916</v>
      </c>
      <c r="B8" s="50" t="s">
        <v>1917</v>
      </c>
      <c r="C8" s="48" t="s">
        <v>1918</v>
      </c>
      <c r="D8" s="48">
        <f t="shared" ref="D8:D15" si="0">ROUND($D$3*E8/$E$3,2)</f>
        <v>8001.46</v>
      </c>
      <c r="E8" s="51">
        <f>SUMIF('数据-基础表'!BB10:BK10,"地上",'数据-基础表'!BB5:BK5)</f>
        <v>1106.44</v>
      </c>
      <c r="F8" s="1391"/>
      <c r="G8" s="2233"/>
      <c r="H8" s="2233"/>
      <c r="I8" s="1391"/>
      <c r="J8" s="1391"/>
      <c r="K8" s="1391"/>
      <c r="L8" s="1391"/>
      <c r="M8" s="1391"/>
      <c r="N8" s="1391"/>
      <c r="O8" s="1391"/>
      <c r="P8" s="1391"/>
    </row>
    <row r="9" spans="1:16" ht="14.4">
      <c r="A9" s="2234"/>
      <c r="B9" s="2235"/>
      <c r="C9" s="48" t="s">
        <v>1919</v>
      </c>
      <c r="D9" s="48">
        <f t="shared" si="0"/>
        <v>0</v>
      </c>
      <c r="E9" s="52">
        <v>0</v>
      </c>
      <c r="F9" s="1391"/>
      <c r="G9" s="2233"/>
      <c r="H9" s="2233"/>
      <c r="I9" s="1391"/>
      <c r="J9" s="1391"/>
      <c r="K9" s="1391"/>
      <c r="L9" s="1391"/>
      <c r="M9" s="1391"/>
      <c r="N9" s="1391"/>
      <c r="O9" s="1391"/>
      <c r="P9" s="1391"/>
    </row>
    <row r="10" spans="1:16" ht="14.4">
      <c r="A10" s="2234"/>
      <c r="B10" s="2235"/>
      <c r="C10" s="48" t="s">
        <v>1928</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1920</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1921</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1922</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1934</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1929</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1923</v>
      </c>
      <c r="D16" s="50">
        <f>SUM(D8:D15)</f>
        <v>8001.46</v>
      </c>
      <c r="E16" s="53">
        <f>SUM(E8:E15)</f>
        <v>1106.44</v>
      </c>
      <c r="F16" s="1391"/>
      <c r="G16" s="2233"/>
      <c r="H16" s="2236" t="s">
        <v>1935</v>
      </c>
      <c r="I16" s="2237"/>
      <c r="J16" s="1391"/>
      <c r="K16" s="3047" t="s">
        <v>1935</v>
      </c>
      <c r="L16" s="3048"/>
      <c r="M16" s="3048"/>
      <c r="N16" s="3048"/>
      <c r="O16" s="3048"/>
      <c r="P16" s="3049"/>
    </row>
    <row r="17" spans="1:19" ht="14.4">
      <c r="A17" s="2238" t="s">
        <v>1936</v>
      </c>
      <c r="B17" s="2239" t="s">
        <v>1937</v>
      </c>
      <c r="C17" s="2240" t="s">
        <v>1938</v>
      </c>
      <c r="D17" s="2241" t="s">
        <v>1926</v>
      </c>
      <c r="E17" s="2242" t="s">
        <v>1927</v>
      </c>
      <c r="F17" s="2243"/>
      <c r="G17" s="2244"/>
      <c r="H17" s="2245" t="s">
        <v>1939</v>
      </c>
      <c r="I17" s="2246" t="s">
        <v>1924</v>
      </c>
      <c r="J17" s="1391"/>
      <c r="K17" s="3044" t="s">
        <v>1940</v>
      </c>
      <c r="L17" s="3045"/>
      <c r="M17" s="3046"/>
      <c r="N17" s="3044" t="s">
        <v>1941</v>
      </c>
      <c r="O17" s="3045"/>
      <c r="P17" s="3046"/>
      <c r="R17" s="2224" t="s">
        <v>1942</v>
      </c>
      <c r="S17" s="64"/>
    </row>
    <row r="18" spans="1:19" ht="14.4">
      <c r="A18" s="2234"/>
      <c r="B18" s="2247"/>
      <c r="C18" s="2248"/>
      <c r="D18" s="2249"/>
      <c r="E18" s="2250" t="s">
        <v>1943</v>
      </c>
      <c r="F18" s="2251" t="s">
        <v>1944</v>
      </c>
      <c r="G18" s="2252" t="s">
        <v>1945</v>
      </c>
      <c r="H18" s="1261" t="s">
        <v>1946</v>
      </c>
      <c r="I18" s="2253" t="s">
        <v>1947</v>
      </c>
      <c r="J18" s="1391"/>
      <c r="K18" s="1261" t="s">
        <v>1948</v>
      </c>
      <c r="L18" s="2254" t="s">
        <v>1949</v>
      </c>
      <c r="M18" s="1045" t="s">
        <v>1950</v>
      </c>
      <c r="N18" s="1261" t="s">
        <v>1948</v>
      </c>
      <c r="O18" s="2254" t="s">
        <v>1949</v>
      </c>
      <c r="P18" s="1045" t="s">
        <v>1950</v>
      </c>
      <c r="R18" s="1246" t="s">
        <v>1951</v>
      </c>
      <c r="S18" s="1246" t="s">
        <v>1952</v>
      </c>
    </row>
    <row r="19" spans="1:19" ht="14.4">
      <c r="A19" s="2255"/>
      <c r="B19" s="50" t="s">
        <v>1925</v>
      </c>
      <c r="C19" s="2956" t="s">
        <v>3076</v>
      </c>
      <c r="D19" s="48">
        <f>ROUND($D$3*E19/$E$3,2)</f>
        <v>8001.46</v>
      </c>
      <c r="E19" s="56">
        <f t="shared" ref="E19:E26" si="1">SUM(F19:G19)</f>
        <v>1106.44</v>
      </c>
      <c r="F19" s="57">
        <v>1106.44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8001.46</v>
      </c>
      <c r="S19" s="1247">
        <f t="shared" si="5"/>
        <v>1106.44</v>
      </c>
    </row>
    <row r="20" spans="1:19" ht="14.4">
      <c r="A20" s="2259"/>
      <c r="B20" s="50" t="s">
        <v>1953</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ht="14.4">
      <c r="A21" s="2259"/>
      <c r="B21" s="50" t="s">
        <v>1953</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ht="14.4">
      <c r="A22" s="2259"/>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ht="14.4">
      <c r="A23" s="2259"/>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ht="14.4">
      <c r="A24" s="2259"/>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ht="14.4">
      <c r="A25" s="2259"/>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ht="14.4">
      <c r="A26" s="2259"/>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 thickBot="1">
      <c r="A27" s="2259"/>
      <c r="B27" s="48"/>
      <c r="C27" s="2262" t="s">
        <v>1954</v>
      </c>
      <c r="D27" s="1392">
        <f>SUM(D19:D26)</f>
        <v>8001.46</v>
      </c>
      <c r="E27" s="1393">
        <f>IF(SUM(E19:E26)='数据-基础表'!BA5,SUM(E19:E26),IF(F27="地上面积有误","面积有误","地下面积有误"))</f>
        <v>1106.44</v>
      </c>
      <c r="F27" s="1392">
        <f>IF(SUM(F19:F26)=E8,SUM(F19:F26),"地上面积有误")</f>
        <v>1106.44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8001.46</v>
      </c>
      <c r="S27" s="1246">
        <f>IF(SUM(S19:S26)=$E$3,SUM(S19:S26),SUM(S19:S26)&amp;"误差"&amp;ROUND(SUM(S19:S26)-E3,2))</f>
        <v>1106.44</v>
      </c>
    </row>
    <row r="28" spans="1:19" ht="14.4">
      <c r="A28" s="2259"/>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1955</v>
      </c>
      <c r="C29" s="2263"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6" t="s">
        <v>1958</v>
      </c>
      <c r="D31" s="728">
        <f>D27+D30</f>
        <v>8001.46</v>
      </c>
      <c r="E31" s="728">
        <f>E27+E30</f>
        <v>1106.44</v>
      </c>
      <c r="F31" s="729">
        <f>F27+F30</f>
        <v>1106.44</v>
      </c>
      <c r="G31" s="730">
        <f>G27+G30</f>
        <v>0</v>
      </c>
      <c r="H31" s="1391"/>
      <c r="I31" s="1391"/>
      <c r="J31" s="1391"/>
      <c r="K31" s="1391"/>
      <c r="L31" s="1391"/>
      <c r="M31" s="1391"/>
      <c r="N31" s="1391"/>
      <c r="O31" s="1391"/>
      <c r="P31" s="1391"/>
    </row>
    <row r="32" spans="1:19" ht="14.4">
      <c r="A32" s="2229"/>
      <c r="B32" s="2229" t="s">
        <v>1959</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1960</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2" t="s">
        <v>1961</v>
      </c>
      <c r="B2" s="1265">
        <f>项目基本情况!D3</f>
        <v>43641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1968</v>
      </c>
      <c r="B5" s="2286" t="s">
        <v>1969</v>
      </c>
      <c r="C5" s="2287" t="s">
        <v>1970</v>
      </c>
      <c r="D5" s="2288" t="s">
        <v>1971</v>
      </c>
      <c r="E5" s="1267" t="s">
        <v>1972</v>
      </c>
      <c r="F5" s="2289" t="s">
        <v>1973</v>
      </c>
      <c r="G5" s="1267" t="s">
        <v>1974</v>
      </c>
      <c r="H5" s="1267" t="s">
        <v>1975</v>
      </c>
      <c r="I5" s="1267" t="s">
        <v>1976</v>
      </c>
      <c r="J5" s="2290" t="s">
        <v>1977</v>
      </c>
      <c r="K5" s="2291" t="s">
        <v>1978</v>
      </c>
      <c r="L5" s="2292" t="s">
        <v>1979</v>
      </c>
      <c r="M5" s="2293" t="s">
        <v>1980</v>
      </c>
      <c r="N5" s="2294" t="s">
        <v>3078</v>
      </c>
      <c r="O5" s="2292" t="s">
        <v>1981</v>
      </c>
      <c r="P5" s="2295" t="s">
        <v>1982</v>
      </c>
      <c r="Q5" s="69" t="s">
        <v>1983</v>
      </c>
      <c r="R5" s="2296" t="s">
        <v>1984</v>
      </c>
      <c r="S5" s="2297" t="s">
        <v>1985</v>
      </c>
      <c r="T5" s="2298" t="s">
        <v>1986</v>
      </c>
      <c r="U5" s="1266" t="s">
        <v>1987</v>
      </c>
      <c r="V5" s="1267" t="s">
        <v>1988</v>
      </c>
      <c r="W5" s="1267" t="s">
        <v>1989</v>
      </c>
      <c r="X5" s="71"/>
      <c r="Y5" s="70" t="s">
        <v>1990</v>
      </c>
      <c r="Z5" s="2299" t="s">
        <v>1987</v>
      </c>
      <c r="AA5" s="1267" t="s">
        <v>1988</v>
      </c>
      <c r="AB5" s="1267" t="s">
        <v>1989</v>
      </c>
      <c r="AC5" s="71"/>
      <c r="AD5" s="71" t="s">
        <v>1990</v>
      </c>
      <c r="AE5" s="1266" t="s">
        <v>1991</v>
      </c>
      <c r="AF5" s="1267" t="s">
        <v>1992</v>
      </c>
      <c r="AG5" s="70" t="s">
        <v>1993</v>
      </c>
      <c r="AH5" s="1266" t="s">
        <v>1994</v>
      </c>
      <c r="AI5" s="2299" t="s">
        <v>1995</v>
      </c>
      <c r="AJ5" s="2299" t="s">
        <v>1996</v>
      </c>
      <c r="AK5" s="1267" t="s">
        <v>1997</v>
      </c>
      <c r="AL5" s="1267" t="s">
        <v>1998</v>
      </c>
      <c r="AM5" s="70" t="s">
        <v>1999</v>
      </c>
      <c r="AN5" s="2300" t="s">
        <v>2000</v>
      </c>
      <c r="AO5" s="2070" t="s">
        <v>2001</v>
      </c>
      <c r="AP5" s="1248"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4">
      <c r="A6" s="2302" t="str">
        <f>'数据-汇总表'!C19</f>
        <v>工业</v>
      </c>
      <c r="B6" s="2303" t="str">
        <f>IF(A6=0,"","经营性")</f>
        <v>经营性</v>
      </c>
      <c r="C6" s="2957" t="s">
        <v>3077</v>
      </c>
      <c r="D6" s="1050">
        <f>SUMIF(项目基本情况!D$12:I$12,C6,项目基本情况!D$14:I$14)</f>
        <v>50</v>
      </c>
      <c r="E6" s="1047">
        <f>IF(B6="","",SUMIF(项目基本情况!D$12:I$12,C6,项目基本情况!D$13:I$13))</f>
        <v>57047</v>
      </c>
      <c r="F6" s="72">
        <f>SUMIF(项目基本情况!D$12:I$12,C6,项目基本情况!D$15:I$15)</f>
        <v>36.72</v>
      </c>
      <c r="G6" s="73">
        <f ca="1">IF(ISERROR(ROUND(POWER(1+H6,D6-F6)*(POWER(1+H6,F6)-1)/(POWER(1+H6,D6)-1),3)),0,ROUND(POWER(1+H6,D6-F6)*(POWER(1+H6,F6)-1)/(POWER(1+H6,D6)-1),3))</f>
        <v>0.90800000000000003</v>
      </c>
      <c r="H6" s="2964">
        <f ca="1">基准地价修正!G20</f>
        <v>4.8000000000000001E-2</v>
      </c>
      <c r="I6" s="2964">
        <v>0.05</v>
      </c>
      <c r="J6" s="74">
        <v>8.5000000000000006E-2</v>
      </c>
      <c r="K6" s="1250">
        <f>SUMIF('数据-汇总表'!C$19:C$33,A6,'数据-汇总表'!E$19:E$33)</f>
        <v>1106.44</v>
      </c>
      <c r="L6" s="802">
        <v>2000</v>
      </c>
      <c r="M6" s="75">
        <f t="shared" ref="M6:M14" si="0">ROUND(K6*L6/10000,0)</f>
        <v>221</v>
      </c>
      <c r="N6" s="800">
        <f>ROUND(1-(1-2%)*(2019-2006)/50,2)</f>
        <v>0.75</v>
      </c>
      <c r="O6" s="75" t="str">
        <f>IF($N$5="成新度","——",ROUND(M6*N6,0))</f>
        <v>——</v>
      </c>
      <c r="P6" s="76" t="str">
        <f>IF($N$5="成新度","——",M6-O6)</f>
        <v>——</v>
      </c>
      <c r="Q6" s="803">
        <v>0.1</v>
      </c>
      <c r="R6" s="77">
        <f ca="1">SUMIF('数据-汇总表'!C$19:C$33,A6,'数据-汇总表'!R$19:R$27)</f>
        <v>8001.46</v>
      </c>
      <c r="S6" s="54">
        <f>IF('数据-汇总表'!$I$17="按面积比例",SUMIF('数据-汇总表'!C$19:C$33,A6,'数据-汇总表'!K$19:K$33),SUMIF('数据-汇总表'!C$19:C$33,A6,'数据-汇总表'!N$19:N$33))</f>
        <v>0</v>
      </c>
      <c r="T6" s="1442">
        <f>ROUND($L$14*S6/10000,0)</f>
        <v>0</v>
      </c>
      <c r="U6" s="2965">
        <v>1.55</v>
      </c>
      <c r="V6" s="2966">
        <v>0.03</v>
      </c>
      <c r="W6" s="79">
        <v>0.05</v>
      </c>
      <c r="X6" s="1260"/>
      <c r="Y6" s="80">
        <v>0.75</v>
      </c>
      <c r="Z6" s="81"/>
      <c r="AA6" s="74"/>
      <c r="AB6" s="74"/>
      <c r="AC6" s="1260"/>
      <c r="AD6" s="82"/>
      <c r="AE6" s="1261">
        <f ca="1">IF(AN6="",0,SUMIF(INDIRECT("'"&amp;AN6&amp;"'"&amp;"!E:E"),$AE$5,INDIRECT("'"&amp;AN6&amp;"'"&amp;"!F:F")))</f>
        <v>36.72</v>
      </c>
      <c r="AF6" s="1803"/>
      <c r="AG6" s="146">
        <f>IF(AF6="",0,AE6-AF6)</f>
        <v>0</v>
      </c>
      <c r="AH6" s="83"/>
      <c r="AI6" s="85">
        <v>365</v>
      </c>
      <c r="AJ6" s="2958">
        <v>0.4</v>
      </c>
      <c r="AK6" s="87">
        <v>8.9999999999999993E-3</v>
      </c>
      <c r="AL6" s="88">
        <v>1E-3</v>
      </c>
      <c r="AM6" s="89">
        <v>0.01</v>
      </c>
      <c r="AN6" s="2305" t="s">
        <v>3079</v>
      </c>
      <c r="AO6" s="55">
        <f ca="1">SUMIF(INDIRECT("'"&amp;AN6&amp;"'"&amp;"!A:A"),"总价",INDIRECT("'"&amp;AN6&amp;"'"&amp;"!B:B"))</f>
        <v>1127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2005</v>
      </c>
      <c r="B14" s="2303" t="s">
        <v>2006</v>
      </c>
      <c r="C14" s="2308"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2007</v>
      </c>
      <c r="B15" s="2303" t="s">
        <v>2006</v>
      </c>
      <c r="C15" s="2308"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2009</v>
      </c>
      <c r="B16" s="97"/>
      <c r="C16" s="1004"/>
      <c r="D16" s="2310"/>
      <c r="E16" s="97"/>
      <c r="F16" s="97"/>
      <c r="G16" s="98">
        <f ca="1">ROUND(SUMPRODUCT(G6:G13,K6:K13)/SUMPRODUCT((G6:G13&gt;0)*(K6:K13)),3)</f>
        <v>0.90800000000000003</v>
      </c>
      <c r="H16" s="99">
        <f ca="1">ROUND(SUMPRODUCT(H6:H13,K6:K13)/SUMPRODUCT((H6:H13&gt;0)*(K6:K13)),3)</f>
        <v>4.8000000000000001E-2</v>
      </c>
      <c r="I16" s="100"/>
      <c r="J16" s="100"/>
      <c r="K16" s="101">
        <f>SUM(K6:K15)</f>
        <v>1106.44</v>
      </c>
      <c r="L16" s="102">
        <f>ROUND(M16*10000/SUM(K6:K14),0)</f>
        <v>1997</v>
      </c>
      <c r="M16" s="102">
        <f>SUM(M6:M14)</f>
        <v>221</v>
      </c>
      <c r="N16" s="103">
        <f>ROUND(SUMPRODUCT(M6:M14,N6:N14)/M16,3)</f>
        <v>0.75</v>
      </c>
      <c r="O16" s="102">
        <f>SUM(O6:O14)</f>
        <v>0</v>
      </c>
      <c r="P16" s="102">
        <f>SUM(P6:P14)</f>
        <v>0</v>
      </c>
      <c r="Q16" s="104">
        <f>ROUND(SUMPRODUCT(Q6:Q13,K6:K13)/SUMPRODUCT((Q6:Q13&gt;0)*(K6:K13)),2)</f>
        <v>0.1</v>
      </c>
      <c r="R16" s="1254">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2011</v>
      </c>
      <c r="B19" s="112">
        <v>0</v>
      </c>
      <c r="C19" s="2273" t="s">
        <v>2012</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2013</v>
      </c>
      <c r="B20" s="113">
        <v>0.5</v>
      </c>
      <c r="C20" s="2273" t="s">
        <v>2014</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2015</v>
      </c>
      <c r="B21" s="113">
        <v>0.5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2016</v>
      </c>
      <c r="B22" s="114">
        <f>B19+B20</f>
        <v>0.5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2017</v>
      </c>
      <c r="B23" s="114">
        <f>B19+B21</f>
        <v>0.5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2018</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2019</v>
      </c>
      <c r="B26" s="2316" t="s">
        <v>2020</v>
      </c>
      <c r="C26" s="2317" t="s">
        <v>2021</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2022</v>
      </c>
      <c r="B27" s="116">
        <v>150</v>
      </c>
      <c r="C27" s="1763" t="s">
        <v>2023</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8.8">
      <c r="A28" s="2321" t="s">
        <v>2024</v>
      </c>
      <c r="B28" s="119">
        <v>190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9.4" thickBot="1">
      <c r="A29" s="2323" t="s">
        <v>2025</v>
      </c>
      <c r="B29" s="2959">
        <f>ROUND(B28*K16/10000,0)</f>
        <v>21</v>
      </c>
      <c r="C29" s="1763" t="s">
        <v>2026</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8.8">
      <c r="A30" s="2324" t="s">
        <v>2027</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8.8">
      <c r="A31" s="2321" t="s">
        <v>2028</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9.4" thickBot="1">
      <c r="A32" s="2325" t="s">
        <v>2029</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4">
      <c r="A33" s="2318" t="s">
        <v>2030</v>
      </c>
      <c r="B33" s="725">
        <v>0.04</v>
      </c>
      <c r="C33" s="1762" t="s">
        <v>2031</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4">
      <c r="A34" s="2321" t="s">
        <v>2032</v>
      </c>
      <c r="B34" s="121">
        <v>0</v>
      </c>
      <c r="C34" s="1762" t="s">
        <v>2033</v>
      </c>
      <c r="D34" s="2274" t="s">
        <v>2034</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4">
      <c r="A35" s="2321" t="s">
        <v>2035</v>
      </c>
      <c r="B35" s="119">
        <v>200</v>
      </c>
      <c r="C35" s="1762" t="s">
        <v>2036</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2037</v>
      </c>
      <c r="B36" s="122">
        <v>1.4999999999999999E-2</v>
      </c>
      <c r="C36" s="1762" t="s">
        <v>2038</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2039</v>
      </c>
      <c r="B37" s="123">
        <v>0.02</v>
      </c>
      <c r="C37" s="1762" t="s">
        <v>2040</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2041</v>
      </c>
      <c r="B38" s="121">
        <v>0.02</v>
      </c>
      <c r="C38" s="1762" t="s">
        <v>2040</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2042</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2043</v>
      </c>
      <c r="B40" s="1299">
        <f ca="1">存贷款利率!G1</f>
        <v>4.3499999999999997E-2</v>
      </c>
      <c r="C40" s="1762" t="s">
        <v>2044</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2045</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2046</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2047</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2048</v>
      </c>
      <c r="B44" s="127">
        <v>0.05</v>
      </c>
      <c r="C44" s="1762" t="s">
        <v>2049</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2050</v>
      </c>
      <c r="B45" s="125">
        <v>0.03</v>
      </c>
      <c r="C45" s="1763" t="s">
        <v>2051</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2052</v>
      </c>
      <c r="B46" s="125">
        <v>0.02</v>
      </c>
      <c r="C46" s="1763" t="s">
        <v>2053</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2054</v>
      </c>
      <c r="B47" s="128"/>
      <c r="C47" s="1763" t="s">
        <v>2055</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2056</v>
      </c>
      <c r="B48" s="129">
        <v>0.03</v>
      </c>
      <c r="C48" s="1770" t="s">
        <v>2057</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2058</v>
      </c>
      <c r="B49" s="125">
        <v>5.0000000000000001E-4</v>
      </c>
      <c r="C49" s="1770" t="s">
        <v>2059</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2060</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2061</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2062</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2063</v>
      </c>
      <c r="B53" s="2332" t="s">
        <v>56</v>
      </c>
      <c r="C53" s="1426" t="s">
        <v>2064</v>
      </c>
      <c r="D53" s="2333" t="s">
        <v>2065</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2066</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2067</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2068</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2069</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2070</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2071</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2072</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2073</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2074</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2075</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59" t="s">
        <v>2076</v>
      </c>
      <c r="B1" s="3060"/>
      <c r="C1" s="3060"/>
      <c r="D1" s="3060"/>
      <c r="E1" s="3060"/>
      <c r="F1" s="3060"/>
      <c r="G1" s="306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2077</v>
      </c>
      <c r="D2" s="2362"/>
      <c r="E2" s="2363"/>
      <c r="F2" s="2282"/>
      <c r="G2" s="2361" t="s">
        <v>2078</v>
      </c>
      <c r="H2" s="2364"/>
      <c r="I2" s="2364"/>
      <c r="J2" s="2364"/>
      <c r="K2" s="2364"/>
      <c r="L2" s="2364"/>
      <c r="M2" s="2364"/>
      <c r="N2" s="2364"/>
      <c r="O2" s="2364"/>
      <c r="P2" s="2364"/>
      <c r="Q2" s="2364"/>
      <c r="R2" s="2364"/>
    </row>
    <row r="3" spans="1:29" ht="57.6">
      <c r="A3" s="414" t="s">
        <v>2079</v>
      </c>
      <c r="B3" s="1267" t="s">
        <v>2080</v>
      </c>
      <c r="C3" s="2366" t="s">
        <v>2081</v>
      </c>
      <c r="D3" s="2367"/>
      <c r="E3" s="430" t="s">
        <v>2079</v>
      </c>
      <c r="F3" s="2368" t="s">
        <v>2082</v>
      </c>
      <c r="G3" s="2369" t="s">
        <v>2083</v>
      </c>
      <c r="H3" s="2364"/>
      <c r="I3" s="2364"/>
      <c r="J3" s="2364"/>
      <c r="K3" s="2364"/>
      <c r="L3" s="2364"/>
      <c r="M3" s="2364"/>
      <c r="N3" s="2364"/>
      <c r="O3" s="2364"/>
      <c r="P3" s="2364"/>
      <c r="Q3" s="2364"/>
      <c r="R3" s="2364"/>
    </row>
    <row r="4" spans="1:29" ht="43.2">
      <c r="A4" s="430"/>
      <c r="B4" s="1794" t="s">
        <v>2084</v>
      </c>
      <c r="C4" s="2370" t="s">
        <v>2085</v>
      </c>
      <c r="D4" s="2367"/>
      <c r="E4" s="2371"/>
      <c r="F4" s="42" t="s">
        <v>2086</v>
      </c>
      <c r="G4" s="2372" t="s">
        <v>2087</v>
      </c>
      <c r="H4" s="2364"/>
      <c r="I4" s="2364"/>
      <c r="J4" s="2364"/>
      <c r="K4" s="2364"/>
      <c r="L4" s="2364"/>
      <c r="M4" s="2364"/>
      <c r="N4" s="2364"/>
      <c r="O4" s="2364"/>
      <c r="P4" s="2364"/>
      <c r="Q4" s="2364"/>
      <c r="R4" s="2364"/>
    </row>
    <row r="5" spans="1:29" ht="43.2">
      <c r="A5" s="430"/>
      <c r="B5" s="1794" t="s">
        <v>2088</v>
      </c>
      <c r="C5" s="2370" t="s">
        <v>2089</v>
      </c>
      <c r="D5" s="2367"/>
      <c r="E5" s="2371"/>
      <c r="F5" s="1794" t="s">
        <v>2090</v>
      </c>
      <c r="G5" s="2372" t="s">
        <v>2091</v>
      </c>
      <c r="H5" s="2364"/>
      <c r="I5" s="2364"/>
      <c r="J5" s="2364"/>
      <c r="K5" s="2364"/>
      <c r="L5" s="2364"/>
      <c r="M5" s="2364"/>
      <c r="N5" s="2364"/>
      <c r="O5" s="2364"/>
      <c r="P5" s="2364"/>
      <c r="Q5" s="2364"/>
      <c r="R5" s="2364"/>
    </row>
    <row r="6" spans="1:29" ht="57.6">
      <c r="A6" s="430"/>
      <c r="B6" s="1794" t="s">
        <v>2092</v>
      </c>
      <c r="C6" s="2372" t="s">
        <v>2087</v>
      </c>
      <c r="D6" s="2367"/>
      <c r="E6" s="2371"/>
      <c r="F6" s="1794" t="s">
        <v>2093</v>
      </c>
      <c r="G6" s="2372" t="s">
        <v>2094</v>
      </c>
      <c r="H6" s="2364"/>
      <c r="I6" s="2364"/>
      <c r="J6" s="2364"/>
      <c r="K6" s="2364"/>
      <c r="L6" s="2364"/>
      <c r="M6" s="2364"/>
      <c r="N6" s="2364"/>
      <c r="O6" s="2364"/>
      <c r="P6" s="2364"/>
      <c r="Q6" s="2364"/>
      <c r="R6" s="2364"/>
    </row>
    <row r="7" spans="1:29" ht="43.8" thickBot="1">
      <c r="A7" s="430"/>
      <c r="B7" s="1794" t="s">
        <v>2090</v>
      </c>
      <c r="C7" s="2372" t="s">
        <v>2091</v>
      </c>
      <c r="D7" s="2373"/>
      <c r="E7" s="2374"/>
      <c r="F7" s="2375" t="s">
        <v>2095</v>
      </c>
      <c r="G7" s="2376" t="s">
        <v>2096</v>
      </c>
      <c r="H7" s="2364"/>
      <c r="I7" s="2364"/>
      <c r="J7" s="2364"/>
      <c r="K7" s="2364"/>
      <c r="L7" s="2364"/>
      <c r="M7" s="2364"/>
      <c r="N7" s="2364"/>
      <c r="O7" s="2364"/>
      <c r="P7" s="2364"/>
      <c r="Q7" s="2364"/>
      <c r="R7" s="2364"/>
    </row>
    <row r="8" spans="1:29" ht="28.8">
      <c r="A8" s="430"/>
      <c r="B8" s="1794" t="s">
        <v>2093</v>
      </c>
      <c r="C8" s="2372" t="s">
        <v>2094</v>
      </c>
      <c r="D8" s="2373"/>
      <c r="E8" s="2373"/>
      <c r="F8" s="1132"/>
      <c r="G8" s="1132"/>
      <c r="H8" s="2364"/>
      <c r="I8" s="2364"/>
      <c r="J8" s="2364"/>
      <c r="K8" s="2364"/>
      <c r="L8" s="2364"/>
      <c r="M8" s="2364"/>
      <c r="N8" s="2364"/>
      <c r="O8" s="2364"/>
      <c r="P8" s="2364"/>
      <c r="Q8" s="2364"/>
      <c r="R8" s="2364"/>
    </row>
    <row r="9" spans="1:29" ht="43.2">
      <c r="A9" s="430"/>
      <c r="B9" s="1794" t="s">
        <v>2097</v>
      </c>
      <c r="C9" s="2370" t="s">
        <v>2098</v>
      </c>
      <c r="D9" s="2367"/>
      <c r="E9" s="2373"/>
      <c r="F9" s="1132"/>
      <c r="G9" s="1132"/>
      <c r="H9" s="2364"/>
      <c r="I9" s="2364"/>
      <c r="J9" s="2364"/>
      <c r="K9" s="2364"/>
      <c r="L9" s="2364"/>
      <c r="M9" s="2364"/>
      <c r="N9" s="2364"/>
      <c r="O9" s="2364"/>
      <c r="P9" s="2364"/>
      <c r="Q9" s="2364"/>
      <c r="R9" s="2364"/>
    </row>
    <row r="10" spans="1:29" s="117" customFormat="1" ht="1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2100</v>
      </c>
      <c r="B13" s="2384"/>
      <c r="C13" s="2384"/>
      <c r="D13" s="2391"/>
      <c r="E13" s="2384"/>
      <c r="F13" s="2384"/>
      <c r="G13" s="2384"/>
    </row>
    <row r="14" spans="1:29" ht="15" thickBot="1">
      <c r="A14" s="2395"/>
      <c r="B14" s="2396"/>
      <c r="C14" s="2397" t="s">
        <v>2101</v>
      </c>
      <c r="D14" s="2367"/>
      <c r="E14" s="2398"/>
      <c r="F14" s="2398"/>
      <c r="G14" s="2361" t="s">
        <v>2102</v>
      </c>
    </row>
    <row r="15" spans="1:29" ht="55.2">
      <c r="A15" s="68" t="s">
        <v>2103</v>
      </c>
      <c r="B15" s="1266" t="s">
        <v>2080</v>
      </c>
      <c r="C15" s="2399" t="str">
        <f>C3</f>
        <v>估价对象周边居住用地比例、居住小区规模和社区发展完善程度，综合评价居住社区成熟度一般</v>
      </c>
      <c r="D15" s="2367"/>
      <c r="E15" s="2400" t="s">
        <v>2104</v>
      </c>
      <c r="F15" s="1266" t="s">
        <v>2105</v>
      </c>
      <c r="G15" s="134" t="str">
        <f>G3</f>
        <v>估价对象位于XX开发区，园区建设成熟度XX，产业集聚程度XX</v>
      </c>
    </row>
    <row r="16" spans="1:29" ht="41.4">
      <c r="A16" s="644"/>
      <c r="B16" s="2401" t="s">
        <v>2084</v>
      </c>
      <c r="C16" s="2402" t="str">
        <f>C4</f>
        <v>估价对象位于XX商圈，周边商业氛围成熟，人流量大，商业繁华度好</v>
      </c>
      <c r="D16" s="2367"/>
      <c r="E16" s="2403"/>
      <c r="F16" s="2404" t="s">
        <v>2086</v>
      </c>
      <c r="G16" s="135" t="str">
        <f>G4</f>
        <v>估价对象周边道路状况、公共交通通达情况、停车便捷程度，综合评价交通便捷度较好</v>
      </c>
    </row>
    <row r="17" spans="1:18" ht="41.4">
      <c r="A17" s="644"/>
      <c r="B17" s="2401" t="s">
        <v>2088</v>
      </c>
      <c r="C17" s="2402" t="str">
        <f>C5</f>
        <v>估价对象位于XX商圈，周边办公楼项目较多，入驻率高，办公集聚程度较好</v>
      </c>
      <c r="D17" s="2373"/>
      <c r="E17" s="2403"/>
      <c r="F17" s="2404" t="s">
        <v>2106</v>
      </c>
      <c r="G17" s="1568"/>
    </row>
    <row r="18" spans="1:18" ht="55.2">
      <c r="A18" s="644"/>
      <c r="B18" s="2404" t="s">
        <v>2092</v>
      </c>
      <c r="C18" s="135" t="str">
        <f>C6</f>
        <v>估价对象周边道路状况、公共交通通达情况、停车便捷程度，综合评价交通便捷度较好</v>
      </c>
      <c r="D18" s="2373"/>
      <c r="E18" s="2403"/>
      <c r="F18" s="2404" t="s">
        <v>2095</v>
      </c>
      <c r="G18" s="135" t="str">
        <f>G7</f>
        <v>该园区内是否有污染型企业，绿化情况，卫生条件，整体环境状况判断</v>
      </c>
    </row>
    <row r="19" spans="1:18" ht="27.6">
      <c r="A19" s="644"/>
      <c r="B19" s="2404" t="s">
        <v>2107</v>
      </c>
      <c r="C19" s="1568"/>
      <c r="D19" s="2367"/>
      <c r="E19" s="2403"/>
      <c r="F19" s="1794" t="s">
        <v>2090</v>
      </c>
      <c r="G19" s="135" t="str">
        <f>G5</f>
        <v>估价对象所在区域公共配套设施齐备情况</v>
      </c>
    </row>
    <row r="20" spans="1:18" ht="41.4">
      <c r="A20" s="644"/>
      <c r="B20" s="2404" t="s">
        <v>2108</v>
      </c>
      <c r="C20" s="2402" t="str">
        <f>C9</f>
        <v>区域自然环境：；人文环境；综合评价环境状况一般</v>
      </c>
      <c r="D20" s="2373"/>
      <c r="E20" s="2403"/>
      <c r="F20" s="1794" t="s">
        <v>2109</v>
      </c>
      <c r="G20" s="135" t="str">
        <f>G6</f>
        <v>估价对象所在区域基础设施水平</v>
      </c>
    </row>
    <row r="21" spans="1:18" ht="27.6">
      <c r="A21" s="644"/>
      <c r="B21" s="1794" t="s">
        <v>2090</v>
      </c>
      <c r="C21" s="135" t="str">
        <f>C7</f>
        <v>估价对象所在区域公共配套设施齐备情况</v>
      </c>
      <c r="D21" s="2367"/>
      <c r="E21" s="2403"/>
      <c r="F21" s="2404" t="s">
        <v>2110</v>
      </c>
      <c r="G21" s="2405"/>
    </row>
    <row r="22" spans="1:18" ht="13.5" customHeight="1">
      <c r="A22" s="644"/>
      <c r="B22" s="1794" t="s">
        <v>2093</v>
      </c>
      <c r="C22" s="135" t="str">
        <f>C8</f>
        <v>估价对象所在区域基础设施水平</v>
      </c>
      <c r="D22" s="2367"/>
      <c r="E22" s="2403"/>
      <c r="F22" s="2404" t="s">
        <v>2099</v>
      </c>
      <c r="G22" s="1568"/>
    </row>
    <row r="23" spans="1:18" s="2364" customFormat="1" ht="1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1106.44</v>
      </c>
      <c r="C1" s="1741"/>
      <c r="D1" s="1741"/>
      <c r="E1" s="1741"/>
      <c r="F1" s="1741"/>
      <c r="G1" s="1739"/>
    </row>
    <row r="2" spans="1:10" ht="16.2">
      <c r="A2" s="1742" t="s">
        <v>1349</v>
      </c>
      <c r="B2" s="1742">
        <f>SUM(C14:C23)</f>
        <v>8001.46</v>
      </c>
      <c r="C2" s="1741"/>
      <c r="D2" s="1741"/>
      <c r="E2" s="1741"/>
      <c r="F2" s="1741"/>
      <c r="G2" s="1739"/>
    </row>
    <row r="3" spans="1:10" ht="15.6">
      <c r="A3" s="1742" t="s">
        <v>1358</v>
      </c>
      <c r="B3" s="1743">
        <f>项目基本情况!D3</f>
        <v>43641</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1085</v>
      </c>
      <c r="C5" s="1742">
        <f ca="1">ROUND(B5*10000/$B$1,0)</f>
        <v>9806</v>
      </c>
      <c r="D5" s="1742">
        <f ca="1">ROUND(B5*10000/$B$2,0)</f>
        <v>1356</v>
      </c>
      <c r="E5" s="1741"/>
      <c r="F5" s="1739"/>
      <c r="G5" s="1739"/>
    </row>
    <row r="6" spans="1:10" ht="15.6">
      <c r="A6" s="1742" t="s">
        <v>1352</v>
      </c>
      <c r="B6" s="1742">
        <f ca="1">SUM(G14:G23)</f>
        <v>1085</v>
      </c>
      <c r="C6" s="1742">
        <f ca="1">ROUND(B6*10000/$B$1,0)</f>
        <v>9806</v>
      </c>
      <c r="D6" s="1742">
        <f ca="1">ROUND(B6*10000/$B$2,0)</f>
        <v>1356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 ca="1">SUM(I14:I23)</f>
        <v>1015</v>
      </c>
      <c r="C8" s="1742">
        <f ca="1">ROUND(B8*10000/$B$1,0)</f>
        <v>9174</v>
      </c>
      <c r="D8" s="1742">
        <f ca="1">ROUND(B8*10000/$B$2,0)</f>
        <v>1269</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1106.44</v>
      </c>
      <c r="C14" s="1740">
        <f>结果表!C118</f>
        <v>8001.46</v>
      </c>
      <c r="D14" s="1740">
        <f ca="1">结果表!H118</f>
        <v>1085</v>
      </c>
      <c r="E14" s="1740">
        <f ca="1">ROUND(D14*10000/B14,0)</f>
        <v>9806</v>
      </c>
      <c r="F14" s="1740">
        <f ca="1">ROUND(D14*10000/C14,0)</f>
        <v>1356</v>
      </c>
      <c r="G14" s="1740">
        <f ca="1">结果表!D122</f>
        <v>1085</v>
      </c>
      <c r="H14" s="1740" t="str">
        <f>结果表!D124</f>
        <v>——</v>
      </c>
      <c r="I14" s="1740">
        <f ca="1">结果表!D126</f>
        <v>1015</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4" sqref="G24"/>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6</v>
      </c>
      <c r="D1" s="2415"/>
      <c r="E1" s="2415"/>
      <c r="F1" s="2417" t="s">
        <v>2114</v>
      </c>
      <c r="G1" s="2066" t="s">
        <v>3063</v>
      </c>
      <c r="H1" s="2418" t="str">
        <f>IF(G1="现房","——","估价对象范围")</f>
        <v>——</v>
      </c>
      <c r="I1" s="2419"/>
    </row>
    <row r="2" spans="1:12" ht="21.75" customHeight="1" thickBot="1">
      <c r="A2" s="3133" t="str">
        <f>项目基本情况!S2</f>
        <v>北京市昌平区南口镇前洼村南液化气站工业用房房地产房地产</v>
      </c>
      <c r="B2" s="3134"/>
      <c r="C2" s="3134"/>
      <c r="D2" s="3134"/>
      <c r="E2" s="3134"/>
      <c r="F2" s="3134"/>
      <c r="G2" s="3134"/>
      <c r="H2" s="3134"/>
      <c r="I2" s="3135"/>
    </row>
    <row r="3" spans="1:12" ht="13.2">
      <c r="A3" s="3136" t="s">
        <v>2115</v>
      </c>
      <c r="B3" s="3137"/>
      <c r="C3" s="3137"/>
      <c r="D3" s="3137"/>
      <c r="E3" s="3137"/>
      <c r="F3" s="3137"/>
      <c r="G3" s="3137"/>
      <c r="H3" s="3137"/>
      <c r="I3" s="3137"/>
    </row>
    <row r="4" spans="1:12" ht="14.4">
      <c r="A4" s="2422" t="s">
        <v>2116</v>
      </c>
      <c r="B4" s="2423" t="s">
        <v>2117</v>
      </c>
      <c r="C4" s="2424" t="s">
        <v>3094</v>
      </c>
      <c r="D4" s="2424" t="s">
        <v>3079</v>
      </c>
      <c r="E4" s="3117" t="s">
        <v>2118</v>
      </c>
      <c r="F4" s="3130"/>
      <c r="G4" s="3130"/>
      <c r="H4" s="3130"/>
      <c r="I4" s="311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108" t="s">
        <v>2119</v>
      </c>
      <c r="B5" s="3034">
        <v>25</v>
      </c>
      <c r="C5" s="3138"/>
      <c r="D5" s="3126"/>
      <c r="E5" s="139" t="s">
        <v>2120</v>
      </c>
      <c r="F5" s="2426"/>
      <c r="G5" s="2426"/>
      <c r="H5" s="2426"/>
      <c r="I5" s="1830"/>
    </row>
    <row r="6" spans="1:12" ht="13.2">
      <c r="A6" s="3108"/>
      <c r="B6" s="3034"/>
      <c r="C6" s="3140"/>
      <c r="D6" s="3126"/>
      <c r="E6" s="139" t="s">
        <v>2121</v>
      </c>
      <c r="F6" s="2426"/>
      <c r="G6" s="2426"/>
      <c r="H6" s="2426"/>
      <c r="I6" s="1830"/>
    </row>
    <row r="7" spans="1:12" ht="13.2">
      <c r="A7" s="3108"/>
      <c r="B7" s="3034"/>
      <c r="C7" s="3139"/>
      <c r="D7" s="3126"/>
      <c r="E7" s="139" t="s">
        <v>2122</v>
      </c>
      <c r="F7" s="2426"/>
      <c r="G7" s="2426"/>
      <c r="H7" s="2426"/>
      <c r="I7" s="1830"/>
    </row>
    <row r="8" spans="1:12" ht="13.2">
      <c r="A8" s="3108" t="s">
        <v>2123</v>
      </c>
      <c r="B8" s="3034">
        <v>15</v>
      </c>
      <c r="C8" s="3138"/>
      <c r="D8" s="3126"/>
      <c r="E8" s="139" t="s">
        <v>2124</v>
      </c>
      <c r="F8" s="2426"/>
      <c r="G8" s="2426"/>
      <c r="H8" s="2426"/>
      <c r="I8" s="1830"/>
    </row>
    <row r="9" spans="1:12" ht="13.2">
      <c r="A9" s="3108"/>
      <c r="B9" s="3034"/>
      <c r="C9" s="3139"/>
      <c r="D9" s="3126"/>
      <c r="E9" s="139" t="s">
        <v>2125</v>
      </c>
      <c r="F9" s="2426"/>
      <c r="G9" s="2426"/>
      <c r="H9" s="2426"/>
      <c r="I9" s="1830"/>
    </row>
    <row r="10" spans="1:12" ht="13.2">
      <c r="A10" s="3108" t="s">
        <v>2126</v>
      </c>
      <c r="B10" s="3034">
        <v>15</v>
      </c>
      <c r="C10" s="3138"/>
      <c r="D10" s="3126"/>
      <c r="E10" s="139" t="s">
        <v>2127</v>
      </c>
      <c r="F10" s="2426"/>
      <c r="G10" s="2426"/>
      <c r="H10" s="2426"/>
      <c r="I10" s="1830"/>
    </row>
    <row r="11" spans="1:12" ht="13.2">
      <c r="A11" s="3108"/>
      <c r="B11" s="3034"/>
      <c r="C11" s="3139"/>
      <c r="D11" s="3126"/>
      <c r="E11" s="139" t="s">
        <v>2128</v>
      </c>
      <c r="F11" s="2426"/>
      <c r="G11" s="2426"/>
      <c r="H11" s="2426"/>
      <c r="I11" s="1830"/>
    </row>
    <row r="12" spans="1:12" ht="13.2">
      <c r="A12" s="3108" t="s">
        <v>2129</v>
      </c>
      <c r="B12" s="3034">
        <v>15</v>
      </c>
      <c r="C12" s="3138"/>
      <c r="D12" s="3126"/>
      <c r="E12" s="139" t="s">
        <v>2130</v>
      </c>
      <c r="F12" s="2426"/>
      <c r="G12" s="2426"/>
      <c r="H12" s="2426"/>
      <c r="I12" s="1830"/>
    </row>
    <row r="13" spans="1:12" ht="13.2">
      <c r="A13" s="3108"/>
      <c r="B13" s="3034"/>
      <c r="C13" s="3139"/>
      <c r="D13" s="3126"/>
      <c r="E13" s="139" t="s">
        <v>2131</v>
      </c>
      <c r="F13" s="2426"/>
      <c r="G13" s="2426"/>
      <c r="H13" s="2426"/>
      <c r="I13" s="1830"/>
    </row>
    <row r="14" spans="1:12" ht="13.2">
      <c r="A14" s="3108" t="s">
        <v>2132</v>
      </c>
      <c r="B14" s="3034">
        <v>30</v>
      </c>
      <c r="C14" s="3138">
        <v>5</v>
      </c>
      <c r="D14" s="3126">
        <v>5</v>
      </c>
      <c r="E14" s="139" t="s">
        <v>2133</v>
      </c>
      <c r="F14" s="2426"/>
      <c r="G14" s="2426"/>
      <c r="H14" s="2426"/>
      <c r="I14" s="1830"/>
    </row>
    <row r="15" spans="1:12" ht="13.2">
      <c r="A15" s="3108"/>
      <c r="B15" s="3034"/>
      <c r="C15" s="3140"/>
      <c r="D15" s="3126"/>
      <c r="E15" s="139" t="s">
        <v>2134</v>
      </c>
      <c r="F15" s="2426"/>
      <c r="G15" s="2426"/>
      <c r="H15" s="2426"/>
      <c r="I15" s="1830"/>
    </row>
    <row r="16" spans="1:12" ht="13.2">
      <c r="A16" s="3108"/>
      <c r="B16" s="3034"/>
      <c r="C16" s="3139"/>
      <c r="D16" s="3126"/>
      <c r="E16" s="139" t="s">
        <v>2135</v>
      </c>
      <c r="F16" s="2426"/>
      <c r="G16" s="2426"/>
      <c r="H16" s="2426"/>
      <c r="I16" s="1830"/>
    </row>
    <row r="17" spans="1:35" ht="14.4">
      <c r="A17" s="2427" t="s">
        <v>2136</v>
      </c>
      <c r="B17" s="64"/>
      <c r="C17" s="140">
        <f>SUM(C5:C16)</f>
        <v>5</v>
      </c>
      <c r="D17" s="140">
        <f>SUM(D5:D16)</f>
        <v>5</v>
      </c>
      <c r="E17" s="137"/>
      <c r="F17" s="137"/>
      <c r="G17" s="137"/>
      <c r="H17" s="137"/>
      <c r="I17" s="137"/>
      <c r="K17" s="2425"/>
      <c r="L17" s="2428" t="s">
        <v>2137</v>
      </c>
      <c r="M17" s="2428" t="s">
        <v>2138</v>
      </c>
    </row>
    <row r="18" spans="1:35" ht="15" thickBot="1">
      <c r="A18" s="2429" t="s">
        <v>2139</v>
      </c>
      <c r="B18" s="2430"/>
      <c r="C18" s="141">
        <f>ROUND(C17/SUM(C17:D17),2)</f>
        <v>0.5</v>
      </c>
      <c r="D18" s="141">
        <f>1-C18</f>
        <v>0.5</v>
      </c>
      <c r="E18" s="137"/>
      <c r="F18" s="137"/>
      <c r="G18" s="137"/>
      <c r="H18" s="137"/>
      <c r="I18" s="137"/>
      <c r="K18" s="2425" t="s">
        <v>2140</v>
      </c>
      <c r="L18" s="2425">
        <f>IF(C1="",'数据-汇总表'!E3,SUMIF(项目类型,C1,'数据-汇总表'!E17:E26)+SUMIF(项目类型,C1,'数据-汇总表'!I17:I26))</f>
        <v>1106.44</v>
      </c>
      <c r="M18" s="2425">
        <f>IF(C1="",'数据-汇总表'!E3,SUMIF(项目类型,C1,'数据-汇总表'!E17:E26))</f>
        <v>1106.44</v>
      </c>
    </row>
    <row r="19" spans="1:35" ht="14.4">
      <c r="A19" s="2431" t="s">
        <v>2141</v>
      </c>
      <c r="B19" s="2432" t="s">
        <v>2142</v>
      </c>
      <c r="C19" s="142">
        <f ca="1">SUMIF(INDIRECT("'"&amp;C4&amp;"'"&amp;"!A:A"),结果表!B19,INDIRECT("'"&amp;C4&amp;"'"&amp;"!B:B"))</f>
        <v>1042</v>
      </c>
      <c r="D19" s="143">
        <f ca="1">SUMIF(INDIRECT("'"&amp;D4&amp;"'"&amp;"!A:A"),结果表!B19,INDIRECT("'"&amp;D4&amp;"'"&amp;"!B:B"))</f>
        <v>1127</v>
      </c>
      <c r="E19" s="2431" t="s">
        <v>2143</v>
      </c>
      <c r="F19" s="2432" t="s">
        <v>2142</v>
      </c>
      <c r="G19" s="144">
        <f ca="1">ROUND(C19*$C$18+D19*$D$18,0)</f>
        <v>1085</v>
      </c>
      <c r="H19" s="2433" t="s">
        <v>2144</v>
      </c>
      <c r="I19" s="137"/>
      <c r="K19" s="2425" t="s">
        <v>2145</v>
      </c>
      <c r="L19" s="2425">
        <f>IF(C1="",'数据-汇总表'!D3,SUMIF(项目类型,C1,'数据-汇总表'!D17:D26)+SUMIF(项目类型,C1,'数据-汇总表'!H17:H27))</f>
        <v>8001.46</v>
      </c>
      <c r="M19" s="2425">
        <f>IF(C1="",'数据-汇总表'!D3,SUMIF(项目类型,C1,'数据-汇总表'!D17:D26))</f>
        <v>8001.46</v>
      </c>
    </row>
    <row r="20" spans="1:35" ht="14.4">
      <c r="A20" s="2434"/>
      <c r="B20" s="1246" t="s">
        <v>2146</v>
      </c>
      <c r="C20" s="145">
        <f ca="1">SUMIF(INDIRECT("'"&amp;C4&amp;"'"&amp;"!A:A"),结果表!B20,INDIRECT("'"&amp;C4&amp;"'"&amp;"!B:B"))</f>
        <v>9418</v>
      </c>
      <c r="D20" s="146">
        <f ca="1">SUMIF(INDIRECT("'"&amp;D4&amp;"'"&amp;"!A:A"),结果表!B20,INDIRECT("'"&amp;D4&amp;"'"&amp;"!B:B"))</f>
        <v>10186</v>
      </c>
      <c r="E20" s="2434"/>
      <c r="F20" s="1246" t="s">
        <v>2146</v>
      </c>
      <c r="G20" s="147">
        <f ca="1">ROUND(C20*$C$18+D20*$D$18,0)</f>
        <v>9802</v>
      </c>
      <c r="H20" s="979" t="s">
        <v>2147</v>
      </c>
      <c r="I20" s="137"/>
    </row>
    <row r="21" spans="1:35" ht="15" customHeight="1" thickBot="1">
      <c r="A21" s="999"/>
      <c r="B21" s="2435" t="s">
        <v>2148</v>
      </c>
      <c r="C21" s="788">
        <f ca="1">ROUND(C19*10000/L19,0)</f>
        <v>1302</v>
      </c>
      <c r="D21" s="789">
        <f ca="1">ROUND(D19*10000/L19,0)</f>
        <v>1408</v>
      </c>
      <c r="E21" s="999"/>
      <c r="F21" s="2435" t="s">
        <v>2148</v>
      </c>
      <c r="G21" s="148">
        <f ca="1">ROUND(G19*10000/L19,0)</f>
        <v>1356</v>
      </c>
      <c r="H21" s="2436" t="s">
        <v>2147</v>
      </c>
      <c r="I21" s="137"/>
    </row>
    <row r="22" spans="1:35" ht="15" thickBot="1">
      <c r="A22" s="2277" t="s">
        <v>2149</v>
      </c>
      <c r="B22" s="2437"/>
      <c r="C22" s="2438"/>
      <c r="D22" s="790">
        <f ca="1">IF(C19&lt;D19,D19/C19-1,C19/D19-1)</f>
        <v>8.1573896353166919E-2</v>
      </c>
      <c r="E22" s="137"/>
      <c r="F22" s="137"/>
      <c r="G22" s="137"/>
      <c r="H22" s="137"/>
      <c r="I22" s="137"/>
    </row>
    <row r="23" spans="1:35" ht="13.8" thickBot="1">
      <c r="A23" s="2415"/>
      <c r="B23" s="2415"/>
      <c r="C23" s="2415"/>
      <c r="D23" s="2415"/>
      <c r="E23" s="137"/>
      <c r="F23" s="137"/>
      <c r="G23" s="137"/>
      <c r="H23" s="137"/>
      <c r="I23" s="137"/>
    </row>
    <row r="24" spans="1:35" ht="14.4">
      <c r="A24" s="3147" t="s">
        <v>2150</v>
      </c>
      <c r="B24" s="2432" t="s">
        <v>2142</v>
      </c>
      <c r="C24" s="144">
        <f>IF(B30=0,0,D30)</f>
        <v>0</v>
      </c>
      <c r="D24" s="2439"/>
      <c r="E24" s="137"/>
      <c r="F24" s="137"/>
      <c r="G24" s="137"/>
      <c r="H24" s="137"/>
      <c r="I24" s="137"/>
    </row>
    <row r="25" spans="1:35" ht="14.4">
      <c r="A25" s="3148"/>
      <c r="B25" s="1246" t="s">
        <v>2146</v>
      </c>
      <c r="C25" s="149">
        <f>IF(B30=0,0,C30)</f>
        <v>0</v>
      </c>
      <c r="D25" s="2440"/>
      <c r="E25" s="137"/>
      <c r="F25" s="137"/>
      <c r="G25" s="137"/>
      <c r="H25" s="137"/>
      <c r="I25" s="137"/>
    </row>
    <row r="26" spans="1:35" ht="13.5" customHeight="1">
      <c r="A26" s="2441" t="s">
        <v>2151</v>
      </c>
      <c r="B26" s="150" t="s">
        <v>2152</v>
      </c>
      <c r="C26" s="150" t="s">
        <v>2153</v>
      </c>
      <c r="D26" s="151" t="s">
        <v>2154</v>
      </c>
      <c r="E26" s="137"/>
      <c r="F26" s="137"/>
      <c r="G26" s="137"/>
      <c r="H26" s="137"/>
      <c r="I26" s="137"/>
    </row>
    <row r="27" spans="1:35" ht="13.8">
      <c r="A27" s="2441"/>
      <c r="B27" s="150">
        <v>0</v>
      </c>
      <c r="C27" s="150">
        <v>0</v>
      </c>
      <c r="D27" s="151">
        <v>1082</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2155</v>
      </c>
      <c r="B30" s="150"/>
      <c r="C30" s="150"/>
      <c r="D30" s="150"/>
      <c r="E30" s="2914" t="s">
        <v>3028</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2">
        <f ca="1">IF(D32="总价",G19-C24,G20-C25)</f>
        <v>1085</v>
      </c>
      <c r="D32" s="2446" t="s">
        <v>2157</v>
      </c>
      <c r="E32" s="137"/>
      <c r="F32" s="137"/>
      <c r="G32" s="137"/>
      <c r="H32" s="137"/>
      <c r="I32" s="137"/>
    </row>
    <row r="33" spans="1:15" ht="14.4">
      <c r="A33" s="956" t="s">
        <v>2158</v>
      </c>
      <c r="B33" s="2447"/>
      <c r="C33" s="2448" t="s">
        <v>3098</v>
      </c>
      <c r="D33" s="2449" t="s">
        <v>3094</v>
      </c>
      <c r="E33" s="2450" t="s">
        <v>2159</v>
      </c>
      <c r="F33" s="2451" t="str">
        <f>IF(D32="楼面单价","取值（单价）","取值（总价）")</f>
        <v>取值（总价）</v>
      </c>
      <c r="G33" s="137"/>
      <c r="H33" s="137"/>
      <c r="I33" s="137"/>
    </row>
    <row r="34" spans="1:15" ht="14.4">
      <c r="A34" s="2452"/>
      <c r="B34" s="2453" t="s">
        <v>2160</v>
      </c>
      <c r="C34" s="156">
        <f ca="1">IF(C33="自定义",F34,C32-C35)</f>
        <v>841</v>
      </c>
      <c r="D34" s="1054">
        <f ca="1">IF(C33="自定义",ROUND(C34/C32,3),IF(C33="收益比率",SUMIF(INDIRECT("'"&amp;D33&amp;"'"&amp;"!b:b"),"土地收益比率",INDIRECT("'"&amp;D33&amp;"'"&amp;"!c:c")),SUMIF(INDIRECT("'"&amp;D33&amp;"'"&amp;"!b:b"),"土地成本比率",INDIRECT("'"&amp;D33&amp;"'"&amp;"!c:c"))))</f>
        <v>0.77500000000000002</v>
      </c>
      <c r="E34" s="2454" t="s">
        <v>2161</v>
      </c>
      <c r="F34" s="1735"/>
      <c r="G34" s="137"/>
      <c r="H34" s="137"/>
      <c r="I34" s="137"/>
    </row>
    <row r="35" spans="1:15" ht="15" thickBot="1">
      <c r="A35" s="2455"/>
      <c r="B35" s="2456" t="s">
        <v>2162</v>
      </c>
      <c r="C35" s="1440">
        <f ca="1">IF(C33="自定义",F35,ROUND(C32*D35,0))</f>
        <v>244</v>
      </c>
      <c r="D35" s="1441">
        <f ca="1">IF(C33="自定义",ROUND(C35/C32,3),IF(C33="收益比率",SUMIF(INDIRECT("'"&amp;D33&amp;"'"&amp;"!b:b"),"建筑物收益比率",INDIRECT("'"&amp;D33&amp;"'"&amp;"!c:c")),SUMIF(INDIRECT("'"&amp;D33&amp;"'"&amp;"!b:b"),"建筑物成本比率",INDIRECT("'"&amp;D33&amp;"'"&amp;"!c:c"))))</f>
        <v>0.22500000000000001</v>
      </c>
      <c r="E35" s="2457" t="s">
        <v>2163</v>
      </c>
      <c r="F35" s="162"/>
      <c r="G35" s="137"/>
      <c r="H35" s="137"/>
      <c r="I35" s="137"/>
    </row>
    <row r="36" spans="1:15" ht="15" thickBot="1">
      <c r="A36" s="3127" t="s">
        <v>2164</v>
      </c>
      <c r="B36" s="2458" t="s">
        <v>2165</v>
      </c>
      <c r="C36" s="153"/>
      <c r="D36" s="2459"/>
      <c r="E36" s="2460"/>
      <c r="F36" s="2461"/>
      <c r="G36" s="137"/>
      <c r="H36" s="137"/>
      <c r="I36" s="137"/>
    </row>
    <row r="37" spans="1:15" ht="15" thickBot="1">
      <c r="A37" s="3128"/>
      <c r="B37" s="2263" t="s">
        <v>2166</v>
      </c>
      <c r="C37" s="155"/>
      <c r="D37" s="1391"/>
      <c r="E37" s="1391"/>
      <c r="F37" s="2461"/>
      <c r="G37" s="137"/>
      <c r="H37" s="137"/>
      <c r="I37" s="137"/>
    </row>
    <row r="38" spans="1:15" ht="15" thickBot="1">
      <c r="A38" s="3129"/>
      <c r="B38" s="2462" t="s">
        <v>2167</v>
      </c>
      <c r="C38" s="726"/>
      <c r="D38" s="2463" t="s">
        <v>2168</v>
      </c>
      <c r="E38" s="1391"/>
      <c r="F38" s="2461"/>
      <c r="G38" s="137"/>
      <c r="H38" s="137"/>
      <c r="I38" s="137"/>
    </row>
    <row r="39" spans="1:15" ht="14.4">
      <c r="A39" s="2434" t="s">
        <v>2169</v>
      </c>
      <c r="B39" s="2464" t="s">
        <v>2170</v>
      </c>
      <c r="C39" s="2465" t="s">
        <v>2171</v>
      </c>
      <c r="D39" s="2465" t="s">
        <v>2172</v>
      </c>
      <c r="E39" s="2466" t="s">
        <v>2173</v>
      </c>
      <c r="F39" s="2461"/>
      <c r="G39" s="137"/>
      <c r="H39" s="137"/>
      <c r="I39" s="137"/>
    </row>
    <row r="40" spans="1:15" ht="13.8">
      <c r="A40" s="2467" t="s">
        <v>2174</v>
      </c>
      <c r="B40" s="157"/>
      <c r="C40" s="158"/>
      <c r="D40" s="158"/>
      <c r="E40" s="159"/>
      <c r="F40" s="2461"/>
      <c r="G40" s="137"/>
      <c r="H40" s="137"/>
      <c r="I40" s="137"/>
    </row>
    <row r="41" spans="1:15" ht="13.8">
      <c r="A41" s="2467" t="s">
        <v>2175</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144" t="s">
        <v>2178</v>
      </c>
      <c r="B45" s="3145"/>
      <c r="C45" s="3146"/>
      <c r="D45" s="163">
        <f ca="1">ROUND(H101*F45,0)</f>
        <v>1085</v>
      </c>
      <c r="E45" s="164" t="s">
        <v>2179</v>
      </c>
      <c r="F45" s="165">
        <v>1</v>
      </c>
      <c r="G45" s="166" t="s">
        <v>2180</v>
      </c>
      <c r="H45" s="137"/>
      <c r="I45" s="137"/>
      <c r="J45" s="3063" t="s">
        <v>2181</v>
      </c>
      <c r="K45" s="3063"/>
      <c r="L45" s="3063"/>
      <c r="M45" s="3063"/>
      <c r="N45" s="3063"/>
      <c r="O45" s="3063"/>
    </row>
    <row r="46" spans="1:15" ht="14.25" customHeight="1">
      <c r="A46" s="3141" t="s">
        <v>2182</v>
      </c>
      <c r="B46" s="3142"/>
      <c r="C46" s="3142"/>
      <c r="D46" s="3142"/>
      <c r="E46" s="3142"/>
      <c r="F46" s="3142"/>
      <c r="G46" s="3143"/>
      <c r="H46" s="2477"/>
      <c r="I46" s="167"/>
      <c r="J46" s="1808">
        <v>1</v>
      </c>
      <c r="K46" s="3063" t="s">
        <v>2183</v>
      </c>
      <c r="L46" s="3063"/>
      <c r="M46" s="3064"/>
      <c r="N46" s="3064"/>
      <c r="O46" s="3064"/>
    </row>
    <row r="47" spans="1:15" ht="12" customHeight="1">
      <c r="A47" s="168" t="s">
        <v>2184</v>
      </c>
      <c r="B47" s="169"/>
      <c r="C47" s="170"/>
      <c r="D47" s="171" t="s">
        <v>2185</v>
      </c>
      <c r="E47" s="24" t="s">
        <v>2186</v>
      </c>
      <c r="F47" s="172" t="s">
        <v>2187</v>
      </c>
      <c r="G47" s="173" t="s">
        <v>2188</v>
      </c>
      <c r="H47" s="2477"/>
      <c r="I47" s="167"/>
      <c r="J47" s="1808">
        <v>2</v>
      </c>
      <c r="K47" s="3063" t="s">
        <v>2189</v>
      </c>
      <c r="L47" s="3063"/>
      <c r="M47" s="3065">
        <f>'数据-取费表'!B2</f>
        <v>43641</v>
      </c>
      <c r="N47" s="3065"/>
      <c r="O47" s="3065"/>
    </row>
    <row r="48" spans="1:15" ht="26.4">
      <c r="A48" s="3131" t="s">
        <v>2190</v>
      </c>
      <c r="B48" s="3132"/>
      <c r="C48" s="3132"/>
      <c r="D48" s="139">
        <f ca="1">IF(H48="情况1",0,IF(H48="情况2",D52,IF(H48="情况3",D53,IF(H48="情况4",D54))))</f>
        <v>57</v>
      </c>
      <c r="E48" s="1797" t="str">
        <f>IF(H48="情况4","(销售额-原购置价)×税（费）率","销售额×税（费）率")</f>
        <v>销售额×税（费）率</v>
      </c>
      <c r="F48" s="174">
        <f>IF(H48="情况1","免征",'数据-取费表'!B41)</f>
        <v>5.5000000000000007E-2</v>
      </c>
      <c r="G48" s="2478" t="s">
        <v>2191</v>
      </c>
      <c r="H48" s="2479" t="s">
        <v>3097</v>
      </c>
      <c r="I48" s="2477"/>
      <c r="J48" s="1808">
        <v>3</v>
      </c>
      <c r="K48" s="3063" t="s">
        <v>2192</v>
      </c>
      <c r="L48" s="3063"/>
      <c r="M48" s="3066">
        <f ca="1">H101</f>
        <v>1085</v>
      </c>
      <c r="N48" s="3066"/>
      <c r="O48" s="3066"/>
    </row>
    <row r="49" spans="1:35" ht="25.5" customHeight="1">
      <c r="A49" s="175" t="s">
        <v>2193</v>
      </c>
      <c r="B49" s="3111" t="s">
        <v>2194</v>
      </c>
      <c r="C49" s="3111"/>
      <c r="D49" s="176">
        <v>0</v>
      </c>
      <c r="E49" s="23" t="s">
        <v>2195</v>
      </c>
      <c r="F49" s="28" t="s">
        <v>34</v>
      </c>
      <c r="G49" s="3092"/>
      <c r="H49" s="137"/>
      <c r="I49" s="2480"/>
      <c r="J49" s="1808">
        <v>4</v>
      </c>
      <c r="K49" s="3063" t="str">
        <f>IF(项目基本情况!E8="房地产抵押价值","房地产抵押价值","抵押担保权已注销时的房地产抵押价值")</f>
        <v>房地产抵押价值</v>
      </c>
      <c r="L49" s="3063"/>
      <c r="M49" s="3066">
        <f ca="1">IF(项目基本情况!E8="房地产抵押价值",H107,H109)</f>
        <v>1085</v>
      </c>
      <c r="N49" s="3066"/>
      <c r="O49" s="3066"/>
    </row>
    <row r="50" spans="1:35" ht="25.5" customHeight="1">
      <c r="A50" s="177"/>
      <c r="B50" s="3111" t="s">
        <v>2196</v>
      </c>
      <c r="C50" s="3111"/>
      <c r="D50" s="178"/>
      <c r="E50" s="31"/>
      <c r="F50" s="179"/>
      <c r="G50" s="3093"/>
      <c r="H50" s="137"/>
      <c r="I50" s="2480"/>
      <c r="J50" s="3063" t="s">
        <v>2197</v>
      </c>
      <c r="K50" s="3063"/>
      <c r="L50" s="3063"/>
      <c r="M50" s="3063"/>
      <c r="N50" s="3063"/>
      <c r="O50" s="3063"/>
    </row>
    <row r="51" spans="1:35" ht="12" customHeight="1">
      <c r="A51" s="180"/>
      <c r="B51" s="3111" t="s">
        <v>2198</v>
      </c>
      <c r="C51" s="3111"/>
      <c r="D51" s="181"/>
      <c r="E51" s="30"/>
      <c r="F51" s="179"/>
      <c r="G51" s="3094"/>
      <c r="H51" s="137"/>
      <c r="I51" s="2480"/>
      <c r="J51" s="2481" t="s">
        <v>2199</v>
      </c>
      <c r="K51" s="3063" t="s">
        <v>2200</v>
      </c>
      <c r="L51" s="3063"/>
      <c r="M51" s="2481" t="s">
        <v>2201</v>
      </c>
      <c r="N51" s="2481" t="s">
        <v>2202</v>
      </c>
      <c r="O51" s="2481" t="s">
        <v>2203</v>
      </c>
    </row>
    <row r="52" spans="1:35" ht="24" customHeight="1">
      <c r="A52" s="182" t="s">
        <v>2204</v>
      </c>
      <c r="B52" s="3111" t="s">
        <v>2205</v>
      </c>
      <c r="C52" s="3111"/>
      <c r="D52" s="181">
        <f ca="1">ROUND(D45*'数据-取费表'!B41/(1+'数据-取费表'!C42),0)</f>
        <v>57</v>
      </c>
      <c r="E52" s="11" t="s">
        <v>2206</v>
      </c>
      <c r="F52" s="183">
        <f>'数据-取费表'!B41</f>
        <v>5.5000000000000007E-2</v>
      </c>
      <c r="G52" s="2482"/>
      <c r="H52" s="137"/>
      <c r="I52" s="2480"/>
      <c r="J52" s="1808">
        <v>1</v>
      </c>
      <c r="K52" s="3086" t="s">
        <v>2207</v>
      </c>
      <c r="L52" s="3086"/>
      <c r="M52" s="1750">
        <f ca="1">D48</f>
        <v>57</v>
      </c>
      <c r="N52" s="1808" t="str">
        <f>E48</f>
        <v>销售额×税（费）率</v>
      </c>
      <c r="O52" s="1751">
        <f>F48</f>
        <v>5.5000000000000007E-2</v>
      </c>
    </row>
    <row r="53" spans="1:35" ht="12" customHeight="1">
      <c r="A53" s="182" t="s">
        <v>2208</v>
      </c>
      <c r="B53" s="3112" t="s">
        <v>2209</v>
      </c>
      <c r="C53" s="3113"/>
      <c r="D53" s="181">
        <f ca="1">ROUND(D45*'数据-取费表'!B41/(1+'数据-取费表'!C42),0)</f>
        <v>57</v>
      </c>
      <c r="E53" s="11" t="s">
        <v>2206</v>
      </c>
      <c r="F53" s="183">
        <f>'数据-取费表'!B41</f>
        <v>5.5000000000000007E-2</v>
      </c>
      <c r="G53" s="2482"/>
      <c r="H53" s="137"/>
      <c r="I53" s="2480"/>
      <c r="J53" s="1808">
        <v>2</v>
      </c>
      <c r="K53" s="3086" t="s">
        <v>2210</v>
      </c>
      <c r="L53" s="3086"/>
      <c r="M53" s="1750">
        <f t="shared" ref="M53:O54" ca="1" si="0">D55</f>
        <v>1</v>
      </c>
      <c r="N53" s="1808" t="str">
        <f t="shared" si="0"/>
        <v>销售额×税（费）率</v>
      </c>
      <c r="O53" s="1751">
        <f t="shared" si="0"/>
        <v>5.0000000000000001E-4</v>
      </c>
    </row>
    <row r="54" spans="1:35" ht="12" customHeight="1">
      <c r="A54" s="182" t="s">
        <v>2211</v>
      </c>
      <c r="B54" s="3112" t="s">
        <v>2212</v>
      </c>
      <c r="C54" s="3113"/>
      <c r="D54" s="181">
        <f ca="1">C68</f>
        <v>57</v>
      </c>
      <c r="E54" s="30" t="s">
        <v>2213</v>
      </c>
      <c r="F54" s="183">
        <f>'数据-取费表'!B41</f>
        <v>5.5000000000000007E-2</v>
      </c>
      <c r="G54" s="2482"/>
      <c r="H54" s="2483"/>
      <c r="I54" s="2480"/>
      <c r="J54" s="1808">
        <v>3</v>
      </c>
      <c r="K54" s="3086" t="s">
        <v>2214</v>
      </c>
      <c r="L54" s="3086"/>
      <c r="M54" s="1750">
        <f t="shared" ca="1" si="0"/>
        <v>12</v>
      </c>
      <c r="N54" s="1808" t="str">
        <f t="shared" si="0"/>
        <v>增值额×税（费）率</v>
      </c>
      <c r="O54" s="1752" t="str">
        <f t="shared" si="0"/>
        <v>——</v>
      </c>
    </row>
    <row r="55" spans="1:35" ht="24" customHeight="1">
      <c r="A55" s="3150" t="s">
        <v>2215</v>
      </c>
      <c r="B55" s="3132"/>
      <c r="C55" s="3132"/>
      <c r="D55" s="184">
        <f ca="1">IF(H55="个人住宅",0,ROUND(D45*I55,0))</f>
        <v>1</v>
      </c>
      <c r="E55" s="11" t="s">
        <v>2216</v>
      </c>
      <c r="F55" s="183">
        <f>IF(H55="正常",I55,"免征")</f>
        <v>5.0000000000000001E-4</v>
      </c>
      <c r="G55" s="2482"/>
      <c r="H55" s="2479" t="s">
        <v>2217</v>
      </c>
      <c r="I55" s="185">
        <f>'数据-取费表'!B49</f>
        <v>5.0000000000000001E-4</v>
      </c>
      <c r="J55" s="1808" t="str">
        <f>IF(H59="非个人房产","",4)</f>
        <v/>
      </c>
      <c r="K55" s="3086" t="str">
        <f>IF(H59="非个人房产","——","个人所得税")</f>
        <v>——</v>
      </c>
      <c r="L55" s="3086"/>
      <c r="M55" s="1753" t="str">
        <f>D59</f>
        <v>——</v>
      </c>
      <c r="N55" s="1806" t="str">
        <f>E59</f>
        <v>——</v>
      </c>
      <c r="O55" s="1754" t="str">
        <f>F59</f>
        <v>——</v>
      </c>
    </row>
    <row r="56" spans="1:35" ht="25.2">
      <c r="A56" s="3150" t="s">
        <v>2218</v>
      </c>
      <c r="B56" s="3132"/>
      <c r="C56" s="3132"/>
      <c r="D56" s="184">
        <f ca="1">IF(H56="个人住宅",D57,D58)</f>
        <v>12</v>
      </c>
      <c r="E56" s="11" t="s">
        <v>2219</v>
      </c>
      <c r="F56" s="183" t="str">
        <f>IF(H56="正常",F58,"免征")</f>
        <v>——</v>
      </c>
      <c r="G56" s="2484" t="s">
        <v>2220</v>
      </c>
      <c r="H56" s="2485" t="s">
        <v>2217</v>
      </c>
      <c r="I56" s="2486"/>
      <c r="J56" s="1808" t="str">
        <f>IF(项目基本情况!K6="上海银行",IF(J55="",4,J55+1),"")</f>
        <v/>
      </c>
      <c r="K56" s="3069" t="str">
        <f>IF(项目基本情况!K6="上海银行","其他处置费用","")</f>
        <v/>
      </c>
      <c r="L56" s="3070"/>
      <c r="M56" s="1750" t="str">
        <f>IF(项目基本情况!K6="上海银行",M69,"")</f>
        <v/>
      </c>
      <c r="N56" s="3072" t="str">
        <f>IF(项目基本情况!K6="上海银行","包含处置中涉及的律师、诉讼、拍卖、评估等费用","")</f>
        <v/>
      </c>
      <c r="O56" s="3073"/>
    </row>
    <row r="57" spans="1:35" ht="13.2">
      <c r="A57" s="182" t="s">
        <v>2193</v>
      </c>
      <c r="B57" s="3117" t="s">
        <v>2221</v>
      </c>
      <c r="C57" s="3118"/>
      <c r="D57" s="186">
        <v>0</v>
      </c>
      <c r="E57" s="23" t="s">
        <v>2195</v>
      </c>
      <c r="F57" s="154"/>
      <c r="G57" s="2482"/>
      <c r="H57" s="2486"/>
      <c r="I57" s="2486"/>
      <c r="J57" s="3086">
        <f>IF(AND(J55="",J56=""),4,IF(项目基本情况!K6="上海银行",结果表!J56+1,结果表!J55+1))</f>
        <v>4</v>
      </c>
      <c r="K57" s="3086" t="s">
        <v>2222</v>
      </c>
      <c r="L57" s="2487" t="s">
        <v>2223</v>
      </c>
      <c r="M57" s="1755"/>
      <c r="N57" s="1756">
        <f ca="1">SUMIF(M52:M56,"&lt;9e307")</f>
        <v>70</v>
      </c>
      <c r="O57" s="2488"/>
      <c r="P57" s="1749">
        <f ca="1">N57/M49</f>
        <v>6.4516129032258063E-2</v>
      </c>
    </row>
    <row r="58" spans="1:35" ht="25.2">
      <c r="A58" s="182" t="s">
        <v>2204</v>
      </c>
      <c r="B58" s="3117" t="s">
        <v>2224</v>
      </c>
      <c r="C58" s="3130"/>
      <c r="D58" s="184">
        <f ca="1">IF(H58="转让取得",C81,C97)</f>
        <v>12</v>
      </c>
      <c r="E58" s="11" t="s">
        <v>2219</v>
      </c>
      <c r="F58" s="24" t="s">
        <v>34</v>
      </c>
      <c r="G58" s="2482"/>
      <c r="H58" s="2485" t="s">
        <v>2225</v>
      </c>
      <c r="I58" s="2486"/>
      <c r="J58" s="3086"/>
      <c r="K58" s="3086"/>
      <c r="L58" s="2487" t="s">
        <v>2226</v>
      </c>
      <c r="M58" s="1757"/>
      <c r="N58" s="2489" t="str">
        <f ca="1">NUMBERSTRING(INT(N57*10000),2)&amp;"元整"</f>
        <v>柒拾万元整</v>
      </c>
      <c r="O58" s="2490"/>
    </row>
    <row r="59" spans="1:35" ht="24.6" thickBot="1">
      <c r="A59" s="3090" t="s">
        <v>2227</v>
      </c>
      <c r="B59" s="3091"/>
      <c r="C59" s="3091"/>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088">
        <f>J57+1</f>
        <v>5</v>
      </c>
      <c r="K59" s="3086" t="s">
        <v>2229</v>
      </c>
      <c r="L59" s="1808" t="s">
        <v>2223</v>
      </c>
      <c r="M59" s="1758"/>
      <c r="N59" s="1759">
        <f ca="1">M49-N57</f>
        <v>1015</v>
      </c>
      <c r="O59" s="2492"/>
    </row>
    <row r="60" spans="1:35" ht="12" customHeight="1">
      <c r="A60" s="2493"/>
      <c r="B60" s="2415"/>
      <c r="C60" s="2415"/>
      <c r="D60" s="2415"/>
      <c r="E60" s="2162"/>
      <c r="F60" s="2486"/>
      <c r="G60" s="2486"/>
      <c r="H60" s="2494"/>
      <c r="I60" s="137"/>
      <c r="J60" s="3089"/>
      <c r="K60" s="3086"/>
      <c r="L60" s="2487" t="s">
        <v>2226</v>
      </c>
      <c r="M60" s="1757"/>
      <c r="N60" s="2489" t="str">
        <f ca="1">NUMBERSTRING(INT(N59*10000),2)&amp;"元整"</f>
        <v>壹仟零壹拾伍万元整</v>
      </c>
      <c r="O60" s="2490"/>
    </row>
    <row r="61" spans="1:35" ht="13.8" thickBot="1">
      <c r="A61" s="3149" t="s">
        <v>2230</v>
      </c>
      <c r="B61" s="3149"/>
      <c r="C61" s="3149"/>
      <c r="D61" s="3149"/>
      <c r="E61" s="3149"/>
      <c r="F61" s="2486"/>
      <c r="G61" s="2486"/>
      <c r="H61" s="2494"/>
      <c r="I61" s="137"/>
      <c r="J61" s="1808">
        <f>J59+1</f>
        <v>6</v>
      </c>
      <c r="K61" s="3086" t="s">
        <v>2231</v>
      </c>
      <c r="L61" s="3086"/>
      <c r="M61" s="1760"/>
      <c r="N61" s="1761">
        <f ca="1">ROUND(N59*10000/'数据-汇总表'!E3,0)</f>
        <v>9174</v>
      </c>
      <c r="O61" s="2495"/>
    </row>
    <row r="62" spans="1:35" ht="13.2">
      <c r="A62" s="3106" t="s">
        <v>2232</v>
      </c>
      <c r="B62" s="3107"/>
      <c r="C62" s="1800"/>
      <c r="D62" s="1800" t="s">
        <v>2233</v>
      </c>
      <c r="E62" s="191" t="s">
        <v>2234</v>
      </c>
      <c r="F62" s="2486"/>
      <c r="G62" s="2486"/>
      <c r="H62" s="2494"/>
      <c r="I62" s="137"/>
    </row>
    <row r="63" spans="1:35" ht="13.2">
      <c r="A63" s="202" t="s">
        <v>775</v>
      </c>
      <c r="B63" s="192" t="s">
        <v>2235</v>
      </c>
      <c r="C63" s="193">
        <f ca="1">ROUND((C64+C65)/(1+'数据-取费表'!C42),0)</f>
        <v>1033</v>
      </c>
      <c r="D63" s="194"/>
      <c r="E63" s="195"/>
      <c r="F63" s="2486"/>
      <c r="G63" s="2486"/>
      <c r="H63" s="2494"/>
      <c r="I63" s="137"/>
      <c r="J63" s="3071" t="s">
        <v>2236</v>
      </c>
      <c r="K63" s="2496" t="s">
        <v>2237</v>
      </c>
      <c r="L63" s="1748">
        <f ca="1">IF(M49&gt;10000,M49*0.5%,IF(AND(M49&gt;1000,M49&lt;=10000),M49*1%,IF(AND(M49&gt;100,M49&lt;=1000),M49*3%,IF(AND(M49&gt;10,M49&lt;=100),M49*5%,M49*8%))))</f>
        <v>10.85</v>
      </c>
      <c r="M63" s="24">
        <f ca="1">ROUND(L63,1)</f>
        <v>10.9</v>
      </c>
      <c r="Z63" s="2420"/>
      <c r="AI63" s="2421"/>
    </row>
    <row r="64" spans="1:35" ht="14.25" customHeight="1">
      <c r="A64" s="196" t="s">
        <v>770</v>
      </c>
      <c r="B64" s="197" t="s">
        <v>2238</v>
      </c>
      <c r="C64" s="198">
        <f ca="1">D45</f>
        <v>1085</v>
      </c>
      <c r="D64" s="199" t="s">
        <v>32</v>
      </c>
      <c r="E64" s="200"/>
      <c r="F64" s="2486"/>
      <c r="G64" s="2486"/>
      <c r="H64" s="2494"/>
      <c r="I64" s="137"/>
      <c r="J64" s="3071"/>
      <c r="K64" s="2496" t="s">
        <v>2239</v>
      </c>
      <c r="L64" s="1748">
        <f ca="1">IF(M49&gt;2000,M49*0.5%,IF(AND(M49&gt;1000,M49&lt;=2000),M49*0.6%,IF(AND(M49&gt;500,M49&lt;=1000),M49*0.7%,IF(AND(M49&gt;200,M49&lt;=500),M49*0.8%,IF(AND(M49&gt;100,M49&lt;=200),M49*0.9%,IF(AND(M49&gt;50,M49&lt;=100),M49*1%,IF(AND(M49&gt;20,M49&lt;=50),M49*1.5%,IF(AND(M49&gt;10,M49&lt;=20),M49*2%,IF(AND(M49&gt;1,M49&lt;=10),M49*2.5%)))))))))</f>
        <v>6.51</v>
      </c>
      <c r="M64" s="24">
        <f t="shared" ref="M64:M65" ca="1" si="1">ROUND(L64,1)</f>
        <v>6.5</v>
      </c>
      <c r="N64" s="137" t="s">
        <v>2240</v>
      </c>
      <c r="Z64" s="2420"/>
      <c r="AI64" s="2421"/>
    </row>
    <row r="65" spans="1:35" ht="14.25" customHeight="1">
      <c r="A65" s="196" t="s">
        <v>771</v>
      </c>
      <c r="B65" s="197" t="s">
        <v>2241</v>
      </c>
      <c r="C65" s="201"/>
      <c r="D65" s="199"/>
      <c r="E65" s="200"/>
      <c r="F65" s="2486"/>
      <c r="G65" s="2486"/>
      <c r="H65" s="2494"/>
      <c r="I65" s="137"/>
      <c r="J65" s="3071"/>
      <c r="K65" s="2496" t="s">
        <v>2242</v>
      </c>
      <c r="L65" s="1748">
        <f ca="1">IF(M49&gt;1000,M49*0.1%,IF(AND(M49&gt;500,M49&lt;=1000),M49*0.5%,IF(AND(M49&gt;50,M49&lt;=500),M49*1%,IF(AND(M49&gt;1,M49&lt;=50),M49*1.5%))))</f>
        <v>1.085</v>
      </c>
      <c r="M65" s="24">
        <f t="shared" ca="1" si="1"/>
        <v>1.1000000000000001</v>
      </c>
      <c r="N65" s="137" t="s">
        <v>2240</v>
      </c>
      <c r="Z65" s="2420"/>
      <c r="AI65" s="2421"/>
    </row>
    <row r="66" spans="1:35" ht="14.25" customHeight="1">
      <c r="A66" s="202" t="s">
        <v>772</v>
      </c>
      <c r="B66" s="203" t="s">
        <v>2243</v>
      </c>
      <c r="C66" s="204"/>
      <c r="D66" s="205" t="s">
        <v>32</v>
      </c>
      <c r="E66" s="1772" t="s">
        <v>1367</v>
      </c>
      <c r="F66" s="2486"/>
      <c r="G66" s="2486"/>
      <c r="H66" s="2494"/>
      <c r="I66" s="137"/>
      <c r="J66" s="3071"/>
      <c r="K66" s="2496" t="s">
        <v>2244</v>
      </c>
      <c r="L66" s="1748">
        <f ca="1">M49*0.5%</f>
        <v>5.4249999999999998</v>
      </c>
      <c r="M66" s="24">
        <f ca="1">IF(L66&gt;0.5,0.5,ROUND(L66,0))</f>
        <v>0.5</v>
      </c>
      <c r="N66" s="137" t="s">
        <v>2245</v>
      </c>
      <c r="Z66" s="2420"/>
      <c r="AI66" s="2421"/>
    </row>
    <row r="67" spans="1:35" ht="14.25" customHeight="1">
      <c r="A67" s="202" t="s">
        <v>773</v>
      </c>
      <c r="B67" s="203" t="s">
        <v>2246</v>
      </c>
      <c r="C67" s="206">
        <f ca="1">C63-C66</f>
        <v>1033</v>
      </c>
      <c r="D67" s="199" t="s">
        <v>32</v>
      </c>
      <c r="E67" s="200"/>
      <c r="F67" s="2486"/>
      <c r="G67" s="2486"/>
      <c r="H67" s="2494"/>
      <c r="I67" s="137"/>
      <c r="J67" s="3071"/>
      <c r="K67" s="2496" t="s">
        <v>2247</v>
      </c>
      <c r="L67" s="1748">
        <f ca="1">IF(M49&gt;=10000,(8.25+(M49-10000)*0.01%),IF(AND(M49&gt;=8000,M49&lt;10000),(7.85+(M49-8000)*0.02%),IF(AND(M49&gt;=5000,M49&lt;8000),(6.65+(M49-5000)*0.04%),IF(AND(M49&gt;=2000,M49&lt;5000),(4.25+(PM49-2000)*0.08%),IF(AND(M49&gt;=1000,M49&lt;2000),(2.75+(M49-1000)*0.15%),IF(AND(M49&gt;=100,M49&lt;1000),(0.5+(M49-100)*0.25%),IF(AND(M49&gt;0,M49&lt;100),M49*0.5%)))))))</f>
        <v>2.8774999999999999</v>
      </c>
      <c r="M67" s="24">
        <f ca="1">ROUND(L67*0.9,1)</f>
        <v>2.6</v>
      </c>
      <c r="Z67" s="2420"/>
      <c r="AI67" s="2421"/>
    </row>
    <row r="68" spans="1:35" ht="14.25" customHeight="1" thickBot="1">
      <c r="A68" s="207" t="s">
        <v>774</v>
      </c>
      <c r="B68" s="208" t="s">
        <v>2248</v>
      </c>
      <c r="C68" s="209">
        <f ca="1">IF(C67&lt;=0,0,ROUND(C67*D68,0))</f>
        <v>57</v>
      </c>
      <c r="D68" s="210">
        <f>'数据-取费表'!B41</f>
        <v>5.5000000000000007E-2</v>
      </c>
      <c r="E68" s="211"/>
      <c r="F68" s="2486"/>
      <c r="G68" s="2486"/>
      <c r="H68" s="2494"/>
      <c r="I68" s="137"/>
      <c r="J68" s="3071"/>
      <c r="K68" s="2496" t="s">
        <v>2249</v>
      </c>
      <c r="L68" s="1748">
        <f ca="1">IF(M49&gt;10000,M49*0.5%,IF(AND(M49&gt;5000,M49&lt;=10000),M49*1%,IF(AND(M49&gt;1000,M49&lt;=5000),M49*2%,IF(AND(M49&gt;200,M49&lt;=1000),M49*3%,M49*5%))))</f>
        <v>21.7</v>
      </c>
      <c r="M68" s="24">
        <f ca="1">ROUND(L68,1)</f>
        <v>21.7</v>
      </c>
      <c r="Z68" s="2420"/>
      <c r="AI68" s="2421"/>
    </row>
    <row r="69" spans="1:35" s="2443" customFormat="1" ht="16.5" customHeight="1">
      <c r="A69" s="2497"/>
      <c r="B69" s="2498"/>
      <c r="C69" s="2499"/>
      <c r="D69" s="2500"/>
      <c r="E69" s="2501"/>
      <c r="F69" s="2162"/>
      <c r="G69" s="2162"/>
      <c r="H69" s="2161"/>
      <c r="I69" s="2415"/>
      <c r="J69" s="3071"/>
      <c r="K69" s="2496" t="s">
        <v>2250</v>
      </c>
      <c r="L69" s="2502"/>
      <c r="M69" s="24">
        <f ca="1">ROUND(SUM(M63:M68),0)</f>
        <v>43</v>
      </c>
      <c r="N69" s="1749">
        <f ca="1">M69/M49</f>
        <v>3.9631336405529953E-2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15" t="s">
        <v>2251</v>
      </c>
      <c r="B70" s="3116"/>
      <c r="C70" s="3116"/>
      <c r="D70" s="3116"/>
      <c r="E70" s="3116"/>
      <c r="F70" s="3116"/>
      <c r="G70" s="3116"/>
      <c r="H70" s="311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06" t="s">
        <v>2232</v>
      </c>
      <c r="B71" s="3107"/>
      <c r="C71" s="1800"/>
      <c r="D71" s="1800"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2252</v>
      </c>
      <c r="C72" s="206">
        <f ca="1">ROUND(D45/(1+'数据-取费表'!C42),0)</f>
        <v>1033</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2253</v>
      </c>
      <c r="C73" s="206">
        <f ca="1">C74+C78</f>
        <v>5</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112" t="s">
        <v>2260</v>
      </c>
      <c r="F76" s="3111"/>
      <c r="G76" s="3111"/>
      <c r="H76" s="311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5</v>
      </c>
      <c r="D78" s="225">
        <f>'数据-取费表'!B43</f>
        <v>5.000000000000001E-3</v>
      </c>
      <c r="E78" s="3103" t="s">
        <v>2265</v>
      </c>
      <c r="F78" s="3104"/>
      <c r="G78" s="3104"/>
      <c r="H78" s="310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2266</v>
      </c>
      <c r="C79" s="206">
        <f ca="1">C72-C73</f>
        <v>1028</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205.6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2268</v>
      </c>
      <c r="C81" s="227">
        <f ca="1">ROUND(IF(C79&lt;=0,0,IF(C80&gt;=200%,C79*60%-C73*35%,IF(C80&gt;=100%,C79*50%-C73*15%,IF(C80&gt;=50%,C79*40%-C73*5%,IF(C80&lt;50%,C79*30%,0))))),0)</f>
        <v>615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15" t="s">
        <v>2269</v>
      </c>
      <c r="B83" s="3116"/>
      <c r="C83" s="3116"/>
      <c r="D83" s="3116"/>
      <c r="E83" s="3116"/>
      <c r="F83" s="3116"/>
      <c r="G83" s="3116"/>
      <c r="H83" s="311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06" t="s">
        <v>2232</v>
      </c>
      <c r="B84" s="3107"/>
      <c r="C84" s="1800"/>
      <c r="D84" s="1800"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2252</v>
      </c>
      <c r="C85" s="206">
        <f ca="1">ROUND(D45/(1+'数据-取费表'!C42),0)</f>
        <v>1033</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2253</v>
      </c>
      <c r="C86" s="206">
        <f ca="1">IF(H88="仅含出让金",C87+C90+C91+C92+C93+C94,C87+C91+C92+C93+C94)</f>
        <v>994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2270</v>
      </c>
      <c r="C87" s="224">
        <f>C88+C89</f>
        <v>111</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26.4">
      <c r="A88" s="216" t="s">
        <v>776</v>
      </c>
      <c r="B88" s="197" t="s">
        <v>2271</v>
      </c>
      <c r="C88" s="235">
        <v>108</v>
      </c>
      <c r="D88" s="225"/>
      <c r="E88" s="236" t="s">
        <v>2272</v>
      </c>
      <c r="F88" s="1796"/>
      <c r="G88" s="237" t="s">
        <v>2273</v>
      </c>
      <c r="H88" s="2514" t="s">
        <v>3095</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2261</v>
      </c>
      <c r="C89" s="224">
        <f>ROUND(C88*D89,0)</f>
        <v>3</v>
      </c>
      <c r="D89" s="225">
        <f>'数据-取费表'!B48+'数据-取费表'!B49</f>
        <v>3.0499999999999999E-2</v>
      </c>
      <c r="E89" s="236"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2275</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650</v>
      </c>
      <c r="D91" s="225"/>
      <c r="E91" s="3103" t="s">
        <v>2278</v>
      </c>
      <c r="F91" s="3104"/>
      <c r="G91" s="3104"/>
      <c r="H91" s="2515" t="s">
        <v>3096</v>
      </c>
      <c r="I91" s="2516">
        <v>650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76</v>
      </c>
      <c r="D92" s="225">
        <v>0.1</v>
      </c>
      <c r="E92" s="3103" t="s">
        <v>2281</v>
      </c>
      <c r="F92" s="3104"/>
      <c r="G92" s="3104"/>
      <c r="H92" s="310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2264</v>
      </c>
      <c r="C93" s="224">
        <f ca="1">ROUND(D45*D93/(1+'数据-取费表'!C42),0)</f>
        <v>5</v>
      </c>
      <c r="D93" s="225">
        <f>'数据-取费表'!B43</f>
        <v>5.000000000000001E-3</v>
      </c>
      <c r="E93" s="3103" t="s">
        <v>2265</v>
      </c>
      <c r="F93" s="3104"/>
      <c r="G93" s="3104"/>
      <c r="H93" s="310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152</v>
      </c>
      <c r="D94" s="225">
        <v>0.2</v>
      </c>
      <c r="E94" s="3151" t="s">
        <v>2285</v>
      </c>
      <c r="F94" s="3152"/>
      <c r="G94" s="3152"/>
      <c r="H94" s="315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2266</v>
      </c>
      <c r="C95" s="206">
        <f ca="1">ROUND(C85-C86,0)</f>
        <v>39</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3.9235412474849095E-2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2268</v>
      </c>
      <c r="C97" s="227">
        <f ca="1">ROUND(IF(C95&lt;=0,0,IF(C96&gt;=200%,C95*60%-C86*35%,IF(C96&gt;=100%,C95*50%-C86*15%,IF(C96&gt;=50%,C95*40%-C86*5%,IF(C96&lt;50%,C95*30%,0))))),0)</f>
        <v>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2286</v>
      </c>
      <c r="B99" s="2415"/>
      <c r="C99" s="2415"/>
      <c r="D99" s="2415"/>
      <c r="E99" s="2162"/>
      <c r="F99" s="2162"/>
      <c r="G99" s="2162"/>
      <c r="H99" s="2161"/>
      <c r="I99" s="137"/>
    </row>
    <row r="100" spans="1:35" ht="18.75" customHeight="1">
      <c r="A100" s="3055" t="s">
        <v>2287</v>
      </c>
      <c r="B100" s="3056"/>
      <c r="C100" s="3056"/>
      <c r="D100" s="3087"/>
      <c r="E100" s="3056" t="s">
        <v>2288</v>
      </c>
      <c r="F100" s="3056"/>
      <c r="G100" s="3056"/>
      <c r="H100" s="3087"/>
      <c r="I100" s="137"/>
    </row>
    <row r="101" spans="1:35" ht="18.75" customHeight="1">
      <c r="A101" s="3095" t="s">
        <v>2289</v>
      </c>
      <c r="B101" s="3096"/>
      <c r="C101" s="735" t="str">
        <f>C4</f>
        <v>成本法</v>
      </c>
      <c r="D101" s="736" t="str">
        <f>D4</f>
        <v>收益法</v>
      </c>
      <c r="E101" s="3067" t="s">
        <v>2290</v>
      </c>
      <c r="F101" s="3068"/>
      <c r="G101" s="2517" t="s">
        <v>2291</v>
      </c>
      <c r="H101" s="1044">
        <f ca="1">H118</f>
        <v>1085</v>
      </c>
      <c r="I101" s="137"/>
    </row>
    <row r="102" spans="1:35" ht="18.75" customHeight="1">
      <c r="A102" s="3097" t="s">
        <v>2292</v>
      </c>
      <c r="B102" s="2517" t="s">
        <v>2291</v>
      </c>
      <c r="C102" s="735">
        <f ca="1">C19</f>
        <v>1042</v>
      </c>
      <c r="D102" s="736">
        <f ca="1">D19</f>
        <v>1127</v>
      </c>
      <c r="E102" s="3067"/>
      <c r="F102" s="3068"/>
      <c r="G102" s="2517" t="s">
        <v>2293</v>
      </c>
      <c r="H102" s="370">
        <f ca="1">I118</f>
        <v>9806</v>
      </c>
      <c r="I102" s="137"/>
    </row>
    <row r="103" spans="1:35" ht="42.75" customHeight="1">
      <c r="A103" s="3097"/>
      <c r="B103" s="2517" t="s">
        <v>2293</v>
      </c>
      <c r="C103" s="737">
        <f ca="1">C20</f>
        <v>9418</v>
      </c>
      <c r="D103" s="738">
        <f ca="1">D20</f>
        <v>10186</v>
      </c>
      <c r="E103" s="3061" t="s">
        <v>2294</v>
      </c>
      <c r="F103" s="3062"/>
      <c r="G103" s="2518" t="s">
        <v>2295</v>
      </c>
      <c r="H103" s="1044">
        <f>IF(D36="正常操作",H104+H105+H106,H105+H106)</f>
        <v>0</v>
      </c>
      <c r="I103" s="137"/>
    </row>
    <row r="104" spans="1:35" ht="18.75" customHeight="1">
      <c r="A104" s="3097" t="s">
        <v>2296</v>
      </c>
      <c r="B104" s="2519" t="s">
        <v>2291</v>
      </c>
      <c r="C104" s="739">
        <f ca="1">H118</f>
        <v>1085</v>
      </c>
      <c r="D104" s="740"/>
      <c r="E104" s="2263" t="s">
        <v>2297</v>
      </c>
      <c r="F104" s="2254"/>
      <c r="G104" s="2518" t="s">
        <v>2295</v>
      </c>
      <c r="H104" s="1045">
        <f>IF(D36="同一抵押权人同一抵押物续贷",C36&amp;"（未扣减，详见特别提示）",C36)</f>
        <v>0</v>
      </c>
      <c r="I104" s="137"/>
    </row>
    <row r="105" spans="1:35" ht="18.75" customHeight="1" thickBot="1">
      <c r="A105" s="3109"/>
      <c r="B105" s="2520" t="s">
        <v>2293</v>
      </c>
      <c r="C105" s="741">
        <f ca="1">I118</f>
        <v>9806</v>
      </c>
      <c r="D105" s="742"/>
      <c r="E105" s="2263" t="s">
        <v>2298</v>
      </c>
      <c r="F105" s="2254"/>
      <c r="G105" s="2518" t="s">
        <v>2295</v>
      </c>
      <c r="H105" s="1045">
        <f>C37</f>
        <v>0</v>
      </c>
      <c r="I105" s="137"/>
    </row>
    <row r="106" spans="1:35" ht="18.75" customHeight="1">
      <c r="A106" s="2415" t="s">
        <v>2299</v>
      </c>
      <c r="B106" s="2415"/>
      <c r="C106" s="2415"/>
      <c r="D106" s="2415"/>
      <c r="E106" s="2521" t="s">
        <v>2300</v>
      </c>
      <c r="F106" s="2254"/>
      <c r="G106" s="2518" t="s">
        <v>2295</v>
      </c>
      <c r="H106" s="1045">
        <f>C38</f>
        <v>0</v>
      </c>
      <c r="I106" s="137"/>
    </row>
    <row r="107" spans="1:35" ht="18.75" customHeight="1">
      <c r="A107" s="137"/>
      <c r="B107" s="137"/>
      <c r="C107" s="137"/>
      <c r="D107" s="137"/>
      <c r="E107" s="3098" t="str">
        <f>IF(项目基本情况!E8="已注销","——","3.房地产抵押价值")</f>
        <v>3.房地产抵押价值</v>
      </c>
      <c r="F107" s="3068"/>
      <c r="G107" s="2517" t="s">
        <v>2291</v>
      </c>
      <c r="H107" s="1044">
        <f ca="1">IF(E107="——","——",H101-H103)</f>
        <v>1085</v>
      </c>
      <c r="I107" s="137"/>
    </row>
    <row r="108" spans="1:35" ht="18.75" customHeight="1">
      <c r="A108" s="137"/>
      <c r="B108" s="137"/>
      <c r="C108" s="137"/>
      <c r="D108" s="137"/>
      <c r="E108" s="3098"/>
      <c r="F108" s="3068"/>
      <c r="G108" s="2517" t="s">
        <v>2293</v>
      </c>
      <c r="H108" s="370">
        <f ca="1">ROUND(H107*10000/'数据-汇总表'!E3,0)</f>
        <v>9806</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68"/>
      <c r="G109" s="2517" t="s">
        <v>2291</v>
      </c>
      <c r="H109" s="347" t="str">
        <f>IF(E109="——","——",H101-H105-H106)</f>
        <v>——</v>
      </c>
      <c r="I109" s="137"/>
    </row>
    <row r="110" spans="1:35" ht="18.75" customHeight="1">
      <c r="A110" s="137"/>
      <c r="B110" s="137"/>
      <c r="C110" s="137"/>
      <c r="D110" s="137"/>
      <c r="E110" s="3098"/>
      <c r="F110" s="3068"/>
      <c r="G110" s="2517" t="s">
        <v>2293</v>
      </c>
      <c r="H110" s="370" t="str">
        <f>IF(H109="——","——",ROUND(H109*10000/'数据-汇总表'!E3,0))</f>
        <v>——</v>
      </c>
      <c r="I110" s="137"/>
    </row>
    <row r="111" spans="1:35" ht="18.75" customHeight="1">
      <c r="A111" s="137"/>
      <c r="B111" s="137"/>
      <c r="C111" s="137"/>
      <c r="D111" s="137"/>
      <c r="E111" s="3099" t="str">
        <f>IF(项目基本情况!E9="抵押净值",IF(OR(项目基本情况!E8="已注销",项目基本情况!E8="房地产抵押价值"),"4.抵押净值","5.抵押净值"),"——")</f>
        <v>4.抵押净值</v>
      </c>
      <c r="F111" s="3100"/>
      <c r="G111" s="2517" t="s">
        <v>2291</v>
      </c>
      <c r="H111" s="1044">
        <f ca="1">IF(E111="——","——",N59)</f>
        <v>1015</v>
      </c>
      <c r="I111" s="137"/>
    </row>
    <row r="112" spans="1:35" ht="18.75" customHeight="1" thickBot="1">
      <c r="A112" s="137"/>
      <c r="B112" s="137"/>
      <c r="C112" s="137"/>
      <c r="D112" s="137"/>
      <c r="E112" s="3101"/>
      <c r="F112" s="3102"/>
      <c r="G112" s="2522" t="s">
        <v>2293</v>
      </c>
      <c r="H112" s="789">
        <f ca="1">IF(E111="——","——",N61)</f>
        <v>9174</v>
      </c>
      <c r="I112" s="137"/>
    </row>
    <row r="113" spans="1:11" ht="18.75" customHeight="1">
      <c r="A113" s="137"/>
      <c r="B113" s="137"/>
      <c r="C113" s="137"/>
      <c r="D113" s="137"/>
      <c r="E113" s="3110" t="s">
        <v>2299</v>
      </c>
      <c r="F113" s="3110"/>
      <c r="G113" s="3110"/>
      <c r="H113" s="3110"/>
      <c r="I113" s="137"/>
    </row>
    <row r="114" spans="1:11" ht="3.75" customHeight="1">
      <c r="A114" s="2415"/>
      <c r="B114" s="2415"/>
      <c r="C114" s="2415"/>
      <c r="D114" s="2415"/>
      <c r="E114" s="2493"/>
      <c r="F114" s="2493"/>
      <c r="G114" s="2493"/>
      <c r="H114" s="2493"/>
      <c r="I114" s="2415"/>
    </row>
    <row r="115" spans="1:11" ht="18.75" customHeight="1">
      <c r="A115" s="3123" t="s">
        <v>2301</v>
      </c>
      <c r="B115" s="3124"/>
      <c r="C115" s="3124"/>
      <c r="D115" s="3124"/>
      <c r="E115" s="3124"/>
      <c r="F115" s="3124"/>
      <c r="G115" s="3124"/>
      <c r="H115" s="3124"/>
      <c r="I115" s="3125"/>
    </row>
    <row r="116" spans="1:11" ht="27" customHeight="1">
      <c r="A116" s="3034" t="s">
        <v>2302</v>
      </c>
      <c r="B116" s="3077" t="s">
        <v>2303</v>
      </c>
      <c r="C116" s="3077" t="s">
        <v>2304</v>
      </c>
      <c r="D116" s="3083" t="s">
        <v>2305</v>
      </c>
      <c r="E116" s="3084"/>
      <c r="F116" s="3119" t="s">
        <v>2306</v>
      </c>
      <c r="G116" s="3119"/>
      <c r="H116" s="3034" t="s">
        <v>2307</v>
      </c>
      <c r="I116" s="3034"/>
    </row>
    <row r="117" spans="1:11" ht="18.75" customHeight="1">
      <c r="A117" s="3034"/>
      <c r="B117" s="3078"/>
      <c r="C117" s="3078"/>
      <c r="D117" s="1794" t="s">
        <v>2308</v>
      </c>
      <c r="E117" s="1794" t="s">
        <v>2309</v>
      </c>
      <c r="F117" s="1794" t="s">
        <v>2308</v>
      </c>
      <c r="G117" s="1794" t="s">
        <v>2310</v>
      </c>
      <c r="H117" s="1794" t="s">
        <v>2308</v>
      </c>
      <c r="I117" s="1794" t="s">
        <v>2310</v>
      </c>
    </row>
    <row r="118" spans="1:11" ht="24.75" customHeight="1">
      <c r="A118" s="2523" t="str">
        <f>项目基本情况!S2</f>
        <v>北京市昌平区南口镇前洼村南液化气站工业用房房地产房地产</v>
      </c>
      <c r="B118" s="1794">
        <f>M18</f>
        <v>1106.44</v>
      </c>
      <c r="C118" s="1794">
        <f>M19</f>
        <v>8001.46</v>
      </c>
      <c r="D118" s="1794">
        <f ca="1">ROUND(IF(D32="总价",C34,E118*B118/10000),0)</f>
        <v>841</v>
      </c>
      <c r="E118" s="1794">
        <f ca="1">ROUND(IF(C33="自定义",IF(D32="楼面单价",C34,D118*10000/B118),I118-G118),0)</f>
        <v>7601</v>
      </c>
      <c r="F118" s="1794">
        <f ca="1">ROUND(IF(D32="总价",C35,G118*B118/10000),0)</f>
        <v>244</v>
      </c>
      <c r="G118" s="1794">
        <f ca="1">ROUND(IF(D32="楼面单价",C35,F118*10000/B118),0)</f>
        <v>2205</v>
      </c>
      <c r="H118" s="1794">
        <f ca="1">ROUND(IF(D32="总价",C32,I118*B118/10000),0)</f>
        <v>1085</v>
      </c>
      <c r="I118" s="1794">
        <f ca="1">ROUND(IF(D32="楼面单价",C32,H118*10000/B118),0)</f>
        <v>9806</v>
      </c>
    </row>
    <row r="119" spans="1:11" ht="18.75" customHeight="1">
      <c r="A119" s="3034" t="s">
        <v>2311</v>
      </c>
      <c r="B119" s="3034"/>
      <c r="C119" s="3034"/>
      <c r="D119" s="3079" t="str">
        <f ca="1">NUMBERSTRING(INT(D118*10000),2)&amp;"元整"</f>
        <v>捌佰肆拾壹万元整</v>
      </c>
      <c r="E119" s="3080"/>
      <c r="F119" s="3079" t="str">
        <f ca="1">NUMBERSTRING(INT(F118*10000),2)&amp;"元整"</f>
        <v>贰佰肆拾肆万元整</v>
      </c>
      <c r="G119" s="3080"/>
      <c r="H119" s="3079" t="str">
        <f ca="1">NUMBERSTRING(INT(H118*10000),2)&amp;"元整"</f>
        <v>壹仟零捌拾伍万元整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0" t="str">
        <f>IF(D120=0,"故，本次评估不存在"&amp;A120,"故，本次评估"&amp;A120&amp;"为人民币"&amp;D120&amp;"万元整。")</f>
        <v>故，本次评估不存在估价师知悉的法定优先受偿款</v>
      </c>
    </row>
    <row r="121" spans="1:11" ht="18.75" customHeight="1">
      <c r="A121" s="3120" t="s">
        <v>2311</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1085</v>
      </c>
      <c r="E122" s="3075"/>
      <c r="F122" s="3075"/>
      <c r="G122" s="3075"/>
      <c r="H122" s="3075"/>
      <c r="I122" s="3076"/>
    </row>
    <row r="123" spans="1:11" ht="18.75" customHeight="1">
      <c r="A123" s="3034" t="s">
        <v>2311</v>
      </c>
      <c r="B123" s="3034"/>
      <c r="C123" s="3034"/>
      <c r="D123" s="3079" t="str">
        <f ca="1">NUMBERSTRING(INT(D122*10000),2)&amp;"元整"</f>
        <v>壹仟零捌拾伍万元整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2311</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抵押净值</v>
      </c>
      <c r="B126" s="3085"/>
      <c r="C126" s="3085"/>
      <c r="D126" s="3074">
        <f ca="1">H111</f>
        <v>1015</v>
      </c>
      <c r="E126" s="3075"/>
      <c r="F126" s="3075"/>
      <c r="G126" s="3075"/>
      <c r="H126" s="3075"/>
      <c r="I126" s="3076"/>
    </row>
    <row r="127" spans="1:11" ht="18.75" customHeight="1">
      <c r="A127" s="3034" t="s">
        <v>2311</v>
      </c>
      <c r="B127" s="3034"/>
      <c r="C127" s="3034"/>
      <c r="D127" s="3079" t="str">
        <f ca="1">NUMBERSTRING(INT(D126*10000),2)&amp;"元整"</f>
        <v>壹仟零壹拾伍万元整</v>
      </c>
      <c r="E127" s="3081"/>
      <c r="F127" s="3081"/>
      <c r="G127" s="3081"/>
      <c r="H127" s="3081"/>
      <c r="I127" s="3080"/>
    </row>
    <row r="128" spans="1:11" ht="21.75" customHeight="1">
      <c r="A128" s="3082" t="s">
        <v>2312</v>
      </c>
      <c r="B128" s="3082"/>
      <c r="C128" s="3082"/>
      <c r="D128" s="3082"/>
      <c r="E128" s="3082"/>
      <c r="F128" s="3082"/>
      <c r="G128" s="3082"/>
      <c r="H128" s="3082"/>
      <c r="I128" s="3082"/>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36"/>
      <c r="C1" s="241"/>
      <c r="D1" s="241"/>
      <c r="E1" s="241"/>
      <c r="F1" s="241"/>
      <c r="G1" s="1378">
        <f>MATCH(B1,'数据-取费表'!A6:A16,0)+5</f>
        <v>7</v>
      </c>
    </row>
    <row r="2" spans="1:9" s="243" customFormat="1" ht="18" customHeight="1">
      <c r="A2" s="244" t="s">
        <v>2321</v>
      </c>
      <c r="B2" s="245">
        <f ca="1">IF(D2="——",C52,C52-E2)</f>
        <v>1042</v>
      </c>
      <c r="C2" s="242" t="s">
        <v>2322</v>
      </c>
      <c r="D2" s="2546" t="s">
        <v>70</v>
      </c>
      <c r="E2" s="1439"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9418</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654</v>
      </c>
      <c r="D5" s="254" t="s">
        <v>2328</v>
      </c>
      <c r="E5" s="255" t="s">
        <v>2329</v>
      </c>
      <c r="F5" s="255" t="s">
        <v>2330</v>
      </c>
      <c r="G5" s="256"/>
    </row>
    <row r="6" spans="1:9" s="257" customFormat="1" ht="13.5" customHeight="1">
      <c r="A6" s="948" t="s">
        <v>2331</v>
      </c>
      <c r="B6" s="258" t="s">
        <v>2332</v>
      </c>
      <c r="C6" s="259">
        <f ca="1">基准地价修正!B2</f>
        <v>614</v>
      </c>
      <c r="D6" s="260"/>
      <c r="E6" s="261"/>
      <c r="F6" s="261"/>
      <c r="G6" s="262"/>
    </row>
    <row r="7" spans="1:9" s="257" customFormat="1" ht="13.5" customHeight="1">
      <c r="A7" s="948" t="s">
        <v>2333</v>
      </c>
      <c r="B7" s="258" t="s">
        <v>2334</v>
      </c>
      <c r="C7" s="263">
        <f ca="1">ROUND(C6*F7,0)</f>
        <v>19</v>
      </c>
      <c r="D7" s="263"/>
      <c r="E7" s="261"/>
      <c r="F7" s="264">
        <f>IF(项目基本情况!B8="出让",0,'数据-取费表'!B48+'数据-取费表'!B49)</f>
        <v>3.0499999999999999E-2</v>
      </c>
      <c r="G7" s="262"/>
    </row>
    <row r="8" spans="1:9" s="266" customFormat="1">
      <c r="A8" s="948" t="s">
        <v>2335</v>
      </c>
      <c r="B8" s="258" t="s">
        <v>2336</v>
      </c>
      <c r="C8" s="2960">
        <f>IF(G8="已包含在土地购买价格中","0",IF(B1="",'数据-取费表'!B29,IF(G9="全部缴纳",C9+C10,H9)))</f>
        <v>21</v>
      </c>
      <c r="D8" s="265"/>
      <c r="E8" s="263"/>
      <c r="F8" s="264"/>
      <c r="G8" s="2549" t="s">
        <v>3092</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150</v>
      </c>
      <c r="F9" s="264"/>
      <c r="G9" s="2550"/>
      <c r="H9" s="1389"/>
      <c r="I9" s="2551" t="s">
        <v>2338</v>
      </c>
    </row>
    <row r="10" spans="1:9" s="257" customFormat="1" ht="13.5" customHeight="1">
      <c r="A10" s="949" t="s">
        <v>801</v>
      </c>
      <c r="B10" s="267" t="s">
        <v>2339</v>
      </c>
      <c r="C10" s="268">
        <f ca="1">ROUND(D10*E10/10000,0)</f>
        <v>21</v>
      </c>
      <c r="D10" s="1031">
        <f ca="1">IF(B1="",'数据-汇总表'!E6,IF(INDIRECT("'数据-取费表'!c"&amp;$G$1)="住宅",INDIRECT("'数据-取费表'!s"&amp;$G$1),INDIRECT("'数据-取费表'!k"&amp;$G$1)+INDIRECT("'数据-取费表'!s"&amp;$G$1)))</f>
        <v>1106.44</v>
      </c>
      <c r="E10" s="268">
        <f>'数据-取费表'!B28</f>
        <v>190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1106.44</v>
      </c>
      <c r="E19" s="254">
        <f>'数据-取费表'!B31</f>
        <v>200</v>
      </c>
      <c r="F19" s="274"/>
      <c r="G19" s="2549" t="s">
        <v>3093</v>
      </c>
    </row>
    <row r="20" spans="1:7" s="257" customFormat="1" ht="13.5" customHeight="1">
      <c r="A20" s="298" t="s">
        <v>2352</v>
      </c>
      <c r="B20" s="253" t="s">
        <v>2353</v>
      </c>
      <c r="C20" s="275">
        <f ca="1">ROUND((C5+C19)*F20,0)</f>
        <v>13</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14</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14</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6.4">
      <c r="A27" s="298" t="s">
        <v>2371</v>
      </c>
      <c r="B27" s="287" t="s">
        <v>2372</v>
      </c>
      <c r="C27" s="288">
        <f ca="1">C28</f>
        <v>67</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67</v>
      </c>
      <c r="D28" s="278"/>
      <c r="E28" s="279"/>
      <c r="F28" s="289"/>
      <c r="G28" s="290"/>
    </row>
    <row r="29" spans="1:7" s="257" customFormat="1" ht="13.5" customHeight="1">
      <c r="A29" s="950"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808</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255</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221</v>
      </c>
      <c r="D34" s="260"/>
      <c r="E34" s="263"/>
      <c r="F34" s="300">
        <f ca="1">IF('数据-取费表'!B24=0,1,IF(B1="",'数据-取费表'!N16,INDIRECT("'数据-取费表'!n"&amp;$G$1)))</f>
        <v>1</v>
      </c>
      <c r="G34" s="262" t="s">
        <v>2385</v>
      </c>
    </row>
    <row r="35" spans="1:7" ht="13.5" customHeight="1">
      <c r="A35" s="950" t="s">
        <v>796</v>
      </c>
      <c r="B35" s="258" t="s">
        <v>2386</v>
      </c>
      <c r="C35" s="263">
        <f ca="1">ROUND(C34*F35,0)</f>
        <v>9</v>
      </c>
      <c r="D35" s="263"/>
      <c r="E35" s="263"/>
      <c r="F35" s="302">
        <f>'数据-取费表'!B33</f>
        <v>0.04</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22</v>
      </c>
      <c r="D37" s="260">
        <f ca="1">D19</f>
        <v>1106.44</v>
      </c>
      <c r="E37" s="292">
        <f>'数据-取费表'!B35</f>
        <v>200</v>
      </c>
      <c r="F37" s="302"/>
      <c r="G37" s="304" t="s">
        <v>2391</v>
      </c>
    </row>
    <row r="38" spans="1:7" ht="13.5" customHeight="1">
      <c r="A38" s="950" t="s">
        <v>799</v>
      </c>
      <c r="B38" s="258" t="s">
        <v>2392</v>
      </c>
      <c r="C38" s="263">
        <f ca="1">ROUND(C34*F38,0)</f>
        <v>3</v>
      </c>
      <c r="D38" s="263"/>
      <c r="E38" s="263"/>
      <c r="F38" s="302">
        <f>'数据-取费表'!B36</f>
        <v>1.4999999999999999E-2</v>
      </c>
      <c r="G38" s="262" t="s">
        <v>2387</v>
      </c>
    </row>
    <row r="39" spans="1:7" s="257" customFormat="1" ht="13.5" customHeight="1">
      <c r="A39" s="298" t="s">
        <v>2393</v>
      </c>
      <c r="B39" s="253" t="s">
        <v>2394</v>
      </c>
      <c r="C39" s="275">
        <f ca="1">ROUND(C33*F20,0)</f>
        <v>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3</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3</v>
      </c>
      <c r="D42" s="281"/>
      <c r="E42" s="281"/>
      <c r="F42" s="282"/>
      <c r="G42" s="3154" t="s">
        <v>2403</v>
      </c>
    </row>
    <row r="43" spans="1:7" ht="13.5" customHeight="1">
      <c r="A43" s="950" t="s">
        <v>792</v>
      </c>
      <c r="B43" s="258" t="s">
        <v>2404</v>
      </c>
      <c r="C43" s="281">
        <f ca="1">ROUND(IF('数据-取费表'!B22&lt;=1,C39*F22*'数据-取费表'!B21/2,C39*(POWER((1+F22),'数据-取费表'!B21/2)-1)),0)</f>
        <v>0</v>
      </c>
      <c r="D43" s="281"/>
      <c r="E43" s="281"/>
      <c r="F43" s="282"/>
      <c r="G43" s="3155"/>
    </row>
    <row r="44" spans="1:7" ht="13.5" customHeight="1">
      <c r="A44" s="950" t="s">
        <v>793</v>
      </c>
      <c r="B44" s="258" t="s">
        <v>2405</v>
      </c>
      <c r="C44" s="281">
        <f ca="1">ROUND(IF('数据-取费表'!B22&lt;=1,C40*F22*'数据-取费表'!B21/2,C40*(POWER((1+F22),'数据-取费表'!B21/2)-1)),4)</f>
        <v>2.0000000000000001E-4</v>
      </c>
      <c r="D44" s="281"/>
      <c r="E44" s="281"/>
      <c r="F44" s="282"/>
      <c r="G44" s="3156"/>
    </row>
    <row r="45" spans="1:7" s="257" customFormat="1" ht="13.5" customHeight="1">
      <c r="A45" s="298" t="s">
        <v>2406</v>
      </c>
      <c r="B45" s="287" t="s">
        <v>2372</v>
      </c>
      <c r="C45" s="288">
        <f ca="1">C46</f>
        <v>26</v>
      </c>
      <c r="D45" s="278">
        <f ca="1">C47</f>
        <v>2E-3</v>
      </c>
      <c r="E45" s="279" t="s">
        <v>2398</v>
      </c>
      <c r="F45" s="289"/>
      <c r="G45" s="290" t="s">
        <v>2407</v>
      </c>
    </row>
    <row r="46" spans="1:7" s="257" customFormat="1" ht="13.5" customHeight="1">
      <c r="A46" s="950" t="s">
        <v>791</v>
      </c>
      <c r="B46" s="291" t="s">
        <v>2408</v>
      </c>
      <c r="C46" s="292">
        <f ca="1">ROUND((C33+C39)*F27,0)</f>
        <v>26</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312</v>
      </c>
      <c r="D49" s="275"/>
      <c r="E49" s="275"/>
      <c r="F49" s="307"/>
      <c r="G49" s="277" t="s">
        <v>2413</v>
      </c>
    </row>
    <row r="50" spans="1:7" s="301" customFormat="1" ht="24">
      <c r="A50" s="298" t="s">
        <v>2414</v>
      </c>
      <c r="B50" s="253" t="s">
        <v>2415</v>
      </c>
      <c r="C50" s="275"/>
      <c r="D50" s="275"/>
      <c r="E50" s="275"/>
      <c r="F50" s="307">
        <f>IF('数据-取费表'!B24=0,'数据-取费表'!N16,1)</f>
        <v>0.75</v>
      </c>
      <c r="G50" s="290" t="s">
        <v>2416</v>
      </c>
    </row>
    <row r="51" spans="1:7" ht="16.5" customHeight="1">
      <c r="A51" s="298" t="s">
        <v>2417</v>
      </c>
      <c r="B51" s="253" t="s">
        <v>2418</v>
      </c>
      <c r="C51" s="275">
        <f ca="1">ROUND(C49*F50,0)</f>
        <v>234</v>
      </c>
      <c r="D51" s="275"/>
      <c r="E51" s="275"/>
      <c r="F51" s="307"/>
      <c r="G51" s="277" t="s">
        <v>2419</v>
      </c>
    </row>
    <row r="52" spans="1:7" s="251" customFormat="1" ht="16.8" thickBot="1">
      <c r="A52" s="308" t="s">
        <v>2420</v>
      </c>
      <c r="B52" s="309"/>
      <c r="C52" s="310">
        <f ca="1">C31+C51</f>
        <v>1042</v>
      </c>
      <c r="D52" s="309"/>
      <c r="E52" s="309"/>
      <c r="F52" s="309"/>
      <c r="G52" s="311"/>
    </row>
    <row r="55" spans="1:7" ht="15">
      <c r="B55" s="313" t="s">
        <v>2421</v>
      </c>
      <c r="C55" s="314"/>
    </row>
    <row r="56" spans="1:7">
      <c r="B56" s="316" t="s">
        <v>1508</v>
      </c>
      <c r="C56" s="318">
        <f ca="1">1-C57</f>
        <v>0.77500000000000002</v>
      </c>
    </row>
    <row r="57" spans="1:7">
      <c r="B57" s="316" t="s">
        <v>1509</v>
      </c>
      <c r="C57" s="317">
        <f ca="1">ROUND(C51/C52,3)</f>
        <v>0.22500000000000001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68" t="str">
        <f>项目基本情况!B1</f>
        <v>北京市昌平区南口镇前洼村南液化气站工业用房房地产房地产抵押价值预评估</v>
      </c>
      <c r="C37" s="2968"/>
      <c r="D37" s="2968"/>
      <c r="E37" s="2968"/>
      <c r="F37" s="2968"/>
      <c r="G37" s="2968"/>
      <c r="H37" s="2968"/>
      <c r="I37" s="2968"/>
    </row>
    <row r="38" spans="1:9">
      <c r="A38" s="1015"/>
      <c r="B38" s="1015"/>
    </row>
    <row r="39" spans="1:9">
      <c r="A39" s="1013" t="s">
        <v>818</v>
      </c>
      <c r="B39" s="1013" t="s">
        <v>820</v>
      </c>
    </row>
    <row r="40" spans="1:9">
      <c r="A40" s="1013"/>
      <c r="B40" s="1941" t="str">
        <f>项目基本情况!B5</f>
        <v>北京德利生华液化气有限公司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康正预评字2019-1-0411-F01DYGJ1号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36"/>
      <c r="C1" s="2552"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288</v>
      </c>
      <c r="C2" s="242" t="s">
        <v>2322</v>
      </c>
      <c r="D2" s="2546" t="s">
        <v>70</v>
      </c>
      <c r="E2" s="1439"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2603</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210224</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210224</v>
      </c>
      <c r="D8" s="265"/>
      <c r="E8" s="263"/>
      <c r="F8" s="264"/>
      <c r="G8" s="2549"/>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2339</v>
      </c>
      <c r="C10" s="268">
        <f ca="1">ROUND(D10*E10,0)</f>
        <v>210224</v>
      </c>
      <c r="D10" s="1031">
        <f ca="1">IF(B1="",'数据-汇总表'!E6,IF(INDIRECT("'数据-取费表'!c"&amp;$G$1)="住宅",INDIRECT("'数据-取费表'!s"&amp;$G$1),INDIRECT("'数据-取费表'!k"&amp;$G$1)+INDIRECT("'数据-取费表'!s"&amp;$G$1)))</f>
        <v>1106.44</v>
      </c>
      <c r="E10" s="268">
        <f>'数据-取费表'!B28</f>
        <v>190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221288</v>
      </c>
      <c r="D19" s="1035">
        <f ca="1">D9+D10</f>
        <v>1106.44</v>
      </c>
      <c r="E19" s="254">
        <f>'数据-取费表'!B31</f>
        <v>200</v>
      </c>
      <c r="F19" s="274"/>
      <c r="G19" s="2549"/>
    </row>
    <row r="20" spans="1:7" s="257" customFormat="1" ht="13.5" customHeight="1">
      <c r="A20" s="298" t="s">
        <v>2433</v>
      </c>
      <c r="B20" s="253" t="s">
        <v>2434</v>
      </c>
      <c r="C20" s="275">
        <f ca="1">ROUND((C5+C19)*F20,0)</f>
        <v>8630</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9479</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4572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4813</v>
      </c>
      <c r="D24" s="281"/>
      <c r="E24" s="281"/>
      <c r="F24" s="282"/>
      <c r="G24" s="283" t="s">
        <v>2445</v>
      </c>
    </row>
    <row r="25" spans="1:7" s="257" customFormat="1" ht="24">
      <c r="A25" s="950" t="s">
        <v>2335</v>
      </c>
      <c r="B25" s="258" t="s">
        <v>2446</v>
      </c>
      <c r="C25" s="1380">
        <f ca="1">ROUND(IF('数据-取费表'!B22&lt;=1,C20*F22*'数据-取费表'!B22/2,C20*(POWER((1+F22),'数据-取费表'!B22/2)-1)),0)</f>
        <v>94</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6.4">
      <c r="A27" s="298" t="s">
        <v>2371</v>
      </c>
      <c r="B27" s="287" t="s">
        <v>2372</v>
      </c>
      <c r="C27" s="288">
        <f ca="1">C28</f>
        <v>44014</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ROUND((C5+C19+C20)*F27,0)</f>
        <v>44014</v>
      </c>
      <c r="D28" s="278"/>
      <c r="E28" s="279"/>
      <c r="F28" s="289"/>
      <c r="G28" s="290"/>
    </row>
    <row r="29" spans="1:7" s="257" customFormat="1" ht="13.5" customHeight="1">
      <c r="A29" s="950"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533429</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2555876</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2212880</v>
      </c>
      <c r="D34" s="260"/>
      <c r="E34" s="263"/>
      <c r="F34" s="300"/>
      <c r="G34" s="262"/>
    </row>
    <row r="35" spans="1:7" ht="13.5" customHeight="1">
      <c r="A35" s="950" t="s">
        <v>796</v>
      </c>
      <c r="B35" s="258" t="s">
        <v>2386</v>
      </c>
      <c r="C35" s="263">
        <f ca="1">ROUND(C34*F35,0)</f>
        <v>88515</v>
      </c>
      <c r="D35" s="263"/>
      <c r="E35" s="263"/>
      <c r="F35" s="302">
        <f>'数据-取费表'!B33</f>
        <v>0.04</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221288</v>
      </c>
      <c r="D37" s="260">
        <f ca="1">D19</f>
        <v>1106.44</v>
      </c>
      <c r="E37" s="292">
        <f>'数据-取费表'!B35</f>
        <v>200</v>
      </c>
      <c r="F37" s="302"/>
      <c r="G37" s="304"/>
    </row>
    <row r="38" spans="1:7" ht="13.5" customHeight="1">
      <c r="A38" s="950" t="s">
        <v>799</v>
      </c>
      <c r="B38" s="258" t="s">
        <v>2392</v>
      </c>
      <c r="C38" s="263">
        <f ca="1">ROUND(C34*F38,0)</f>
        <v>33193</v>
      </c>
      <c r="D38" s="263"/>
      <c r="E38" s="263"/>
      <c r="F38" s="302">
        <f>'数据-取费表'!B36</f>
        <v>1.4999999999999999E-2</v>
      </c>
      <c r="G38" s="262" t="s">
        <v>2387</v>
      </c>
    </row>
    <row r="39" spans="1:7" s="257" customFormat="1" ht="13.5" customHeight="1">
      <c r="A39" s="298" t="s">
        <v>2393</v>
      </c>
      <c r="B39" s="253" t="s">
        <v>2394</v>
      </c>
      <c r="C39" s="275">
        <f ca="1">ROUND(C33*F20,0)</f>
        <v>51118</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28351</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27795</v>
      </c>
      <c r="D42" s="281"/>
      <c r="E42" s="281"/>
      <c r="F42" s="282"/>
      <c r="G42" s="3154" t="s">
        <v>2450</v>
      </c>
    </row>
    <row r="43" spans="1:7" ht="13.5" customHeight="1">
      <c r="A43" s="950" t="s">
        <v>792</v>
      </c>
      <c r="B43" s="258" t="s">
        <v>2404</v>
      </c>
      <c r="C43" s="281">
        <f ca="1">ROUND(IF('数据-取费表'!B22&lt;=1,C39*F22*'数据-取费表'!B20/2,C39*(POWER((1+F22),'数据-取费表'!B20/2)-1)),0)</f>
        <v>556</v>
      </c>
      <c r="D43" s="281"/>
      <c r="E43" s="281"/>
      <c r="F43" s="282"/>
      <c r="G43" s="3155"/>
    </row>
    <row r="44" spans="1:7" ht="13.5" customHeight="1">
      <c r="A44" s="950" t="s">
        <v>793</v>
      </c>
      <c r="B44" s="258" t="s">
        <v>2405</v>
      </c>
      <c r="C44" s="281">
        <f ca="1">ROUND(IF('数据-取费表'!B22&lt;=1,C40*F22*'数据-取费表'!B20/2,C40*(POWER((1+F22),'数据-取费表'!B20/2)-1)),4)</f>
        <v>2.0000000000000001E-4</v>
      </c>
      <c r="D44" s="281"/>
      <c r="E44" s="281"/>
      <c r="F44" s="282"/>
      <c r="G44" s="3156"/>
    </row>
    <row r="45" spans="1:7" s="257" customFormat="1" ht="13.5" customHeight="1">
      <c r="A45" s="298" t="s">
        <v>2406</v>
      </c>
      <c r="B45" s="287" t="s">
        <v>2372</v>
      </c>
      <c r="C45" s="288">
        <f ca="1">C46</f>
        <v>260699</v>
      </c>
      <c r="D45" s="278">
        <f ca="1">C47</f>
        <v>2E-3</v>
      </c>
      <c r="E45" s="279" t="s">
        <v>2398</v>
      </c>
      <c r="F45" s="289"/>
      <c r="G45" s="290" t="s">
        <v>2407</v>
      </c>
    </row>
    <row r="46" spans="1:7" s="257" customFormat="1" ht="13.5" customHeight="1">
      <c r="A46" s="950" t="s">
        <v>791</v>
      </c>
      <c r="B46" s="291" t="s">
        <v>2408</v>
      </c>
      <c r="C46" s="292">
        <f ca="1">ROUND((C33+C39)*F27,0)</f>
        <v>260699</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3129505</v>
      </c>
      <c r="D49" s="275"/>
      <c r="E49" s="275"/>
      <c r="F49" s="307"/>
      <c r="G49" s="277" t="s">
        <v>2413</v>
      </c>
    </row>
    <row r="50" spans="1:7" s="301" customFormat="1">
      <c r="A50" s="298" t="s">
        <v>2414</v>
      </c>
      <c r="B50" s="253" t="s">
        <v>2415</v>
      </c>
      <c r="C50" s="275"/>
      <c r="D50" s="275"/>
      <c r="E50" s="275"/>
      <c r="F50" s="307">
        <f>IF('数据-取费表'!B24=0,'数据-取费表'!N16,1)</f>
        <v>0.75</v>
      </c>
      <c r="G50" s="290"/>
    </row>
    <row r="51" spans="1:7" ht="16.5" customHeight="1">
      <c r="A51" s="298" t="s">
        <v>2417</v>
      </c>
      <c r="B51" s="253" t="s">
        <v>2452</v>
      </c>
      <c r="C51" s="275">
        <f ca="1">ROUND(C49*F50,0)</f>
        <v>2347129</v>
      </c>
      <c r="D51" s="275"/>
      <c r="E51" s="275"/>
      <c r="F51" s="307"/>
      <c r="G51" s="277" t="s">
        <v>2419</v>
      </c>
    </row>
    <row r="52" spans="1:7" s="251" customFormat="1" ht="16.8" thickBot="1">
      <c r="A52" s="308" t="s">
        <v>2420</v>
      </c>
      <c r="B52" s="309"/>
      <c r="C52" s="310">
        <f ca="1">C31+C51</f>
        <v>2880558</v>
      </c>
      <c r="D52" s="309"/>
      <c r="E52" s="309"/>
      <c r="F52" s="309"/>
      <c r="G52" s="311"/>
    </row>
    <row r="55" spans="1:7" ht="15">
      <c r="B55" s="313" t="s">
        <v>2421</v>
      </c>
      <c r="C55" s="314"/>
    </row>
    <row r="56" spans="1:7">
      <c r="B56" s="316" t="s">
        <v>1508</v>
      </c>
      <c r="C56" s="318">
        <f ca="1">1-C57</f>
        <v>0.18500000000000005</v>
      </c>
    </row>
    <row r="57" spans="1:7">
      <c r="B57" s="316" t="s">
        <v>1509</v>
      </c>
      <c r="C57" s="317">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2453</v>
      </c>
      <c r="B1" s="1580"/>
      <c r="C1" s="1581"/>
      <c r="D1" s="1579"/>
      <c r="E1" s="319"/>
      <c r="F1" s="319"/>
      <c r="G1" s="1580"/>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5.2">
      <c r="A5" s="956" t="s">
        <v>2457</v>
      </c>
      <c r="B5" s="957" t="s">
        <v>2458</v>
      </c>
      <c r="C5" s="2553" t="s">
        <v>2459</v>
      </c>
      <c r="D5" s="2553" t="s">
        <v>2460</v>
      </c>
      <c r="E5" s="2553" t="s">
        <v>2461</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0.04</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1106.44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1106.44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0</v>
      </c>
      <c r="D18" s="1032"/>
      <c r="E18" s="24"/>
      <c r="F18" s="975"/>
      <c r="G18" s="2555"/>
      <c r="H18" s="1576"/>
      <c r="I18" s="2556"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2489</v>
      </c>
      <c r="C20" s="24">
        <f ca="1">ROUND(D20*E20/10000,0)</f>
        <v>21</v>
      </c>
      <c r="D20" s="1032">
        <f ca="1">IF(C1="",'数据-汇总表'!E6,IF(INDIRECT("'数据-取费表'!c"&amp;$K$1)="住宅",INDIRECT("'数据-取费表'!s"&amp;$K$1),INDIRECT("'数据-取费表'!k"&amp;$K$1)+INDIRECT("'数据-取费表'!s"&amp;$K$1)))</f>
        <v>1106.44</v>
      </c>
      <c r="E20" s="24">
        <f>'数据-取费表'!B28</f>
        <v>190</v>
      </c>
      <c r="F20" s="975"/>
      <c r="G20" s="15"/>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2503</v>
      </c>
      <c r="B28" s="2558"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9"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F36" sqref="F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t="s">
        <v>6</v>
      </c>
      <c r="D1" s="1819" t="s">
        <v>70</v>
      </c>
      <c r="E1" s="1820" t="s">
        <v>1382</v>
      </c>
      <c r="F1" s="1282">
        <f ca="1">J53</f>
        <v>36.72</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1127</v>
      </c>
      <c r="C2" s="1844" t="s">
        <v>1511</v>
      </c>
      <c r="D2" s="1844"/>
      <c r="E2" s="1845"/>
      <c r="F2" s="1846"/>
      <c r="G2" s="1847"/>
      <c r="H2" s="1839"/>
      <c r="I2" s="1839"/>
      <c r="J2" s="1839"/>
      <c r="K2" s="1840"/>
      <c r="L2" s="1839"/>
      <c r="M2" s="1839"/>
    </row>
    <row r="3" spans="1:37" ht="18" customHeight="1" thickBot="1">
      <c r="A3" s="1848" t="s">
        <v>1512</v>
      </c>
      <c r="B3" s="1849">
        <f ca="1">IF(ISERROR(B2*10000/F43),0,ROUND(B2*10000/F43,0))</f>
        <v>10186</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59.6</v>
      </c>
      <c r="D5" s="1821" t="s">
        <v>1397</v>
      </c>
      <c r="E5" s="1292"/>
      <c r="F5" s="1293"/>
      <c r="G5" s="1850"/>
      <c r="H5" s="343">
        <v>1</v>
      </c>
      <c r="I5" s="344" t="s">
        <v>1396</v>
      </c>
      <c r="J5" s="1291">
        <f ca="1">J6+J10+J12</f>
        <v>0</v>
      </c>
      <c r="K5" s="1821" t="s">
        <v>1397</v>
      </c>
      <c r="L5" s="1292"/>
      <c r="M5" s="1293"/>
    </row>
    <row r="6" spans="1:37" ht="18" customHeight="1">
      <c r="A6" s="1290" t="s">
        <v>1032</v>
      </c>
      <c r="B6" s="3159" t="s">
        <v>1398</v>
      </c>
      <c r="C6" s="1295">
        <f ca="1">ROUND(F6*F8*F7*(1-F9)/10000,1)</f>
        <v>59.5</v>
      </c>
      <c r="D6" s="163" t="s">
        <v>3024</v>
      </c>
      <c r="E6" s="346" t="s">
        <v>1400</v>
      </c>
      <c r="F6" s="2963">
        <f ca="1">INDIRECT("'数据-取费表'!u"&amp;$G$1)</f>
        <v>1.55</v>
      </c>
      <c r="G6" s="1850"/>
      <c r="H6" s="1290" t="s">
        <v>1032</v>
      </c>
      <c r="I6" s="3159" t="s">
        <v>1398</v>
      </c>
      <c r="J6" s="345">
        <f ca="1">ROUND(M6*M8*M7*(1-M9)/10000,0)</f>
        <v>0</v>
      </c>
      <c r="K6" s="163" t="s">
        <v>3023</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1106.44</v>
      </c>
      <c r="G7" s="1850"/>
      <c r="H7" s="348"/>
      <c r="I7" s="3160"/>
      <c r="J7" s="350"/>
      <c r="K7" s="351"/>
      <c r="L7" s="346" t="s">
        <v>1401</v>
      </c>
      <c r="M7" s="347">
        <f ca="1">F7</f>
        <v>1106.44</v>
      </c>
    </row>
    <row r="8" spans="1:37" ht="18" customHeight="1">
      <c r="A8" s="348"/>
      <c r="B8" s="3160"/>
      <c r="C8" s="350"/>
      <c r="D8" s="351"/>
      <c r="E8" s="346" t="s">
        <v>1402</v>
      </c>
      <c r="F8" s="347">
        <f ca="1">INDIRECT("'数据-取费表'!ai"&amp;$G$1)</f>
        <v>365</v>
      </c>
      <c r="G8" s="1850"/>
      <c r="H8" s="348"/>
      <c r="I8" s="3160"/>
      <c r="J8" s="350"/>
      <c r="K8" s="351"/>
      <c r="L8" s="346" t="s">
        <v>1402</v>
      </c>
      <c r="M8" s="347">
        <f ca="1">INDIRECT("'数据-取费表'!ai"&amp;$G$1)</f>
        <v>365</v>
      </c>
    </row>
    <row r="9" spans="1:37" ht="18" customHeight="1">
      <c r="A9" s="348"/>
      <c r="B9" s="3161"/>
      <c r="C9" s="350"/>
      <c r="D9" s="351"/>
      <c r="E9" s="346" t="s">
        <v>1403</v>
      </c>
      <c r="F9" s="356">
        <f ca="1">INDIRECT("'数据-取费表'!w"&amp;$G$1)</f>
        <v>0.05</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ROUND(IF(F10="押一",C6/12*F11,IF(F10="押二",C6/12*2*F11,IF(F10="押三",C6/12*3*F11,C11*F11))),1)</f>
        <v>0.1</v>
      </c>
      <c r="D10" s="1823" t="s">
        <v>3033</v>
      </c>
      <c r="E10" s="357" t="s">
        <v>1405</v>
      </c>
      <c r="F10" s="1365" t="s">
        <v>3080</v>
      </c>
      <c r="G10" s="1850"/>
      <c r="H10" s="1290" t="s">
        <v>1036</v>
      </c>
      <c r="I10" s="1822" t="s">
        <v>1404</v>
      </c>
      <c r="J10" s="345">
        <f ca="1">ROUND(IF(M10="押一",J6/12*M11,IF(M10="押二",J6/12*2*M11,IF(M10="押三",J6/12*3*M11,J11*M11))),0)</f>
        <v>0</v>
      </c>
      <c r="K10" s="1823" t="s">
        <v>3032</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234</v>
      </c>
      <c r="D13" s="1330" t="s">
        <v>1410</v>
      </c>
      <c r="E13" s="1330" t="s">
        <v>1411</v>
      </c>
      <c r="F13" s="1331">
        <f ca="1">INDIRECT("'数据-取费表'!y"&amp;$G$1)</f>
        <v>0.75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221</v>
      </c>
      <c r="D14" s="1799" t="s">
        <v>1413</v>
      </c>
      <c r="E14" s="1793"/>
      <c r="F14" s="363"/>
      <c r="G14" s="1850"/>
      <c r="H14" s="1200" t="s">
        <v>1032</v>
      </c>
      <c r="I14" s="346" t="s">
        <v>1414</v>
      </c>
      <c r="J14" s="24">
        <f ca="1">C29</f>
        <v>312</v>
      </c>
      <c r="K14" s="15"/>
      <c r="L14" s="978"/>
      <c r="M14" s="979"/>
    </row>
    <row r="15" spans="1:37" s="1857" customFormat="1" ht="18" customHeight="1" thickBot="1">
      <c r="A15" s="1200" t="s">
        <v>1033</v>
      </c>
      <c r="B15" s="346" t="s">
        <v>1415</v>
      </c>
      <c r="C15" s="24">
        <f ca="1">ROUND(C14*F15,0)</f>
        <v>9</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7</v>
      </c>
      <c r="K16" s="1336" t="s">
        <v>1420</v>
      </c>
      <c r="L16" s="1337"/>
      <c r="M16" s="1293"/>
    </row>
    <row r="17" spans="1:37" s="1857" customFormat="1" ht="18" customHeight="1">
      <c r="A17" s="1200" t="s">
        <v>1385</v>
      </c>
      <c r="B17" s="346" t="s">
        <v>1421</v>
      </c>
      <c r="C17" s="24">
        <f ca="1">ROUND(F17*(F43+INDIRECT("'数据-取费表'!S"&amp;$G$1))/10000,0)</f>
        <v>22</v>
      </c>
      <c r="D17" s="346" t="s">
        <v>1422</v>
      </c>
      <c r="E17" s="346" t="s">
        <v>1423</v>
      </c>
      <c r="F17" s="26">
        <f>'数据-取费表'!B35</f>
        <v>200</v>
      </c>
      <c r="G17" s="1853"/>
      <c r="H17" s="1200" t="s">
        <v>1032</v>
      </c>
      <c r="I17" s="346" t="s">
        <v>1424</v>
      </c>
      <c r="J17" s="24">
        <f ca="1">ROUND(IF(项目基本情况!B11="自然人",J5*M17,J18+J19+J20),1)</f>
        <v>3.8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3</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255</v>
      </c>
      <c r="D19" s="139" t="s">
        <v>1431</v>
      </c>
      <c r="E19" s="1817"/>
      <c r="F19" s="26"/>
      <c r="G19" s="1850"/>
      <c r="H19" s="1200" t="s">
        <v>1033</v>
      </c>
      <c r="I19" s="346" t="s">
        <v>1432</v>
      </c>
      <c r="J19" s="24">
        <f ca="1">IF(K19="按租金收入计税",ROUND(J5*M19,2),ROUND(C29*M19*0.7,2))</f>
        <v>2.62</v>
      </c>
      <c r="K19" s="1827" t="s">
        <v>1433</v>
      </c>
      <c r="L19" s="346" t="s">
        <v>1417</v>
      </c>
      <c r="M19" s="366">
        <f>IF(K19="按租金收入计税",'数据-取费表'!B51,'数据-取费表'!B50)</f>
        <v>1.2E-2</v>
      </c>
    </row>
    <row r="20" spans="1:37" s="1857" customFormat="1" ht="18" customHeight="1">
      <c r="A20" s="1200" t="s">
        <v>1036</v>
      </c>
      <c r="B20" s="346" t="s">
        <v>1434</v>
      </c>
      <c r="C20" s="24">
        <f ca="1">ROUND(C19*F20,0)</f>
        <v>5</v>
      </c>
      <c r="D20" s="368" t="s">
        <v>1435</v>
      </c>
      <c r="E20" s="346" t="s">
        <v>1417</v>
      </c>
      <c r="F20" s="366">
        <f>'数据-取费表'!B37</f>
        <v>0.02</v>
      </c>
      <c r="G20" s="1853"/>
      <c r="H20" s="1200" t="s">
        <v>1384</v>
      </c>
      <c r="I20" s="163" t="s">
        <v>1436</v>
      </c>
      <c r="J20" s="25">
        <f ca="1">ROUND(M20*M21/10000,2)</f>
        <v>1.2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8001.46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2.8</v>
      </c>
      <c r="K22" s="1797" t="s">
        <v>1445</v>
      </c>
      <c r="L22" s="346" t="s">
        <v>1417</v>
      </c>
      <c r="M22" s="373">
        <f ca="1">INDIRECT("'数据-取费表'!Ak"&amp;$G$1)</f>
        <v>8.9999999999999993E-3</v>
      </c>
    </row>
    <row r="23" spans="1:37" s="1857" customFormat="1" ht="18" customHeight="1">
      <c r="A23" s="1200" t="s">
        <v>1031</v>
      </c>
      <c r="B23" s="346" t="s">
        <v>1446</v>
      </c>
      <c r="C23" s="24">
        <f ca="1">IF('数据-取费表'!B22&lt;=1,ROUND(C19*F24*F23/2,0)+ROUND(C20*F24*F23/2,0),ROUND(C19*(POWER((1+F24),F23/2)-1),0)+ROUND(C20*(POWER((1+F24),F23/2)-1),0))</f>
        <v>3</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-7</v>
      </c>
      <c r="K25" s="1344" t="s">
        <v>1459</v>
      </c>
      <c r="L25" s="1345"/>
      <c r="M25" s="1346"/>
    </row>
    <row r="26" spans="1:37">
      <c r="A26" s="1200" t="s">
        <v>1031</v>
      </c>
      <c r="B26" s="346" t="s">
        <v>1460</v>
      </c>
      <c r="C26" s="24">
        <f ca="1">ROUND((C19+C20)*F26,0)</f>
        <v>26</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4">
        <f ca="1">ROUND(F21*F26,4)</f>
        <v>2E-3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312</v>
      </c>
      <c r="D29" s="1341"/>
      <c r="E29" s="1339"/>
      <c r="F29" s="1342"/>
      <c r="G29" s="1853"/>
      <c r="H29" s="379" t="s">
        <v>1030</v>
      </c>
      <c r="I29" s="380" t="s">
        <v>1474</v>
      </c>
      <c r="J29" s="381">
        <f ca="1">ROUND(J26/(1+F40)^F41,0)</f>
        <v>0</v>
      </c>
      <c r="K29" s="382" t="s">
        <v>1475</v>
      </c>
      <c r="L29" s="383"/>
      <c r="M29" s="384">
        <f ca="1">INDIRECT("'数据-取费表'!k"&amp;$G$1)</f>
        <v>1106.44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ROUND(C31+C36+C37+C38,1)</f>
        <v>15.1</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11.5</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3.12</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961">
        <f ca="1">IF(项目基本情况!B11="自然人","——",IF(D33="按租金收入计税",ROUND(C5*F33,2),IF(D33="按房产原值计税",ROUND(C29*F33*0.7,2),INDIRECT("'数据-取费表'!Aj"&amp;$G$1))))</f>
        <v>7.15</v>
      </c>
      <c r="D33" s="1827" t="s">
        <v>3081</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5">
        <f ca="1">IF(项目基本情况!B11="自然人","——",ROUND(F34*F35/10000,2))</f>
        <v>1.2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8001.46</v>
      </c>
      <c r="G35" s="1850"/>
      <c r="H35" s="744"/>
      <c r="I35" s="1859"/>
      <c r="J35" s="1860"/>
      <c r="K35" s="1861"/>
      <c r="L35" s="1858"/>
      <c r="M35" s="1858"/>
    </row>
    <row r="36" spans="1:18" ht="18" customHeight="1">
      <c r="A36" s="1351" t="s">
        <v>1036</v>
      </c>
      <c r="B36" s="346" t="s">
        <v>1444</v>
      </c>
      <c r="C36" s="24">
        <f ca="1">ROUND(C29*F36,1)</f>
        <v>2.8</v>
      </c>
      <c r="D36" s="1797" t="s">
        <v>1477</v>
      </c>
      <c r="E36" s="346" t="s">
        <v>1417</v>
      </c>
      <c r="F36" s="373">
        <f ca="1">INDIRECT("'数据-取费表'!Ak"&amp;$G$1)</f>
        <v>8.9999999999999993E-3</v>
      </c>
      <c r="G36" s="1850"/>
      <c r="H36" s="1858"/>
      <c r="I36" s="1859"/>
      <c r="J36" s="1860"/>
      <c r="K36" s="750"/>
      <c r="L36" s="1858"/>
      <c r="M36" s="1858"/>
    </row>
    <row r="37" spans="1:18" ht="18" customHeight="1">
      <c r="A37" s="1200" t="s">
        <v>1072</v>
      </c>
      <c r="B37" s="346" t="s">
        <v>1448</v>
      </c>
      <c r="C37" s="24">
        <f ca="1">ROUND(C13*F37,1)</f>
        <v>0.2</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0.6</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44.5</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1127</v>
      </c>
      <c r="D40" s="369" t="s">
        <v>1464</v>
      </c>
      <c r="E40" s="346" t="s">
        <v>1465</v>
      </c>
      <c r="F40" s="2962">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36.72</v>
      </c>
      <c r="G41" s="1850"/>
      <c r="H41" s="731"/>
      <c r="I41" s="1859"/>
      <c r="J41" s="1860"/>
      <c r="K41" s="750"/>
      <c r="L41" s="731"/>
      <c r="M41" s="731"/>
    </row>
    <row r="42" spans="1:18" ht="18" customHeight="1">
      <c r="A42" s="352"/>
      <c r="B42" s="353"/>
      <c r="C42" s="354"/>
      <c r="D42" s="372"/>
      <c r="E42" s="346" t="s">
        <v>1472</v>
      </c>
      <c r="F42" s="2962">
        <f ca="1">INDIRECT("'数据-取费表'!v"&amp;$G$1)</f>
        <v>0.03</v>
      </c>
      <c r="G42" s="1850"/>
      <c r="H42" s="731"/>
      <c r="I42" s="1859"/>
      <c r="J42" s="1860"/>
      <c r="K42" s="750"/>
      <c r="L42" s="731"/>
      <c r="M42" s="731"/>
    </row>
    <row r="43" spans="1:18" ht="18" customHeight="1" thickBot="1">
      <c r="A43" s="379" t="s">
        <v>1030</v>
      </c>
      <c r="B43" s="380" t="s">
        <v>1482</v>
      </c>
      <c r="C43" s="381">
        <f ca="1">ROUND(C40*10000/F43,0)</f>
        <v>10186</v>
      </c>
      <c r="D43" s="382" t="s">
        <v>1483</v>
      </c>
      <c r="E43" s="383" t="s">
        <v>1484</v>
      </c>
      <c r="F43" s="384">
        <f ca="1">INDIRECT("'数据-取费表'!k"&amp;$G$1)</f>
        <v>1106.44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-1194</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3082</v>
      </c>
      <c r="K47" s="1881" t="s">
        <v>1522</v>
      </c>
      <c r="L47" s="1882">
        <f ca="1">INDIRECT("'数据-取费表'!d"&amp;$G$1)</f>
        <v>50</v>
      </c>
      <c r="M47" s="1837" t="str">
        <f>IF(ISNUMBER(FIND("住宅",C1)),"住宅","非住宅")</f>
        <v>非住宅</v>
      </c>
      <c r="O47" s="1883" t="s">
        <v>1037</v>
      </c>
      <c r="P47" s="1884" t="s">
        <v>1523</v>
      </c>
      <c r="Q47" s="1885">
        <f ca="1">C40+J29</f>
        <v>1127</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t="s">
        <v>3083</v>
      </c>
      <c r="K48" s="1888" t="s">
        <v>1526</v>
      </c>
      <c r="L48" s="1889">
        <f ca="1">INDIRECT("'数据-取费表'!f"&amp;$G$1)</f>
        <v>36.72</v>
      </c>
      <c r="O48" s="1883" t="s">
        <v>1038</v>
      </c>
      <c r="P48" s="1884" t="s">
        <v>1527</v>
      </c>
      <c r="Q48" s="1885" t="str">
        <f ca="1">J60</f>
        <v>0</v>
      </c>
      <c r="R48" s="1885" t="s">
        <v>1528</v>
      </c>
    </row>
    <row r="49" spans="1:18" s="1841" customFormat="1" ht="13.8" thickBot="1">
      <c r="A49" s="1193" t="s">
        <v>1133</v>
      </c>
      <c r="B49" s="1828" t="s">
        <v>1485</v>
      </c>
      <c r="C49" s="1363">
        <f ca="1">ROUND(F49*F51*F50*(1-F52)/10000,0)</f>
        <v>0</v>
      </c>
      <c r="D49" s="1275" t="s">
        <v>3025</v>
      </c>
      <c r="E49" s="1829" t="s">
        <v>1486</v>
      </c>
      <c r="F49" s="1280"/>
      <c r="G49" s="1890"/>
      <c r="H49" s="792"/>
      <c r="I49" s="1886" t="s">
        <v>1529</v>
      </c>
      <c r="J49" s="1891">
        <v>2006</v>
      </c>
      <c r="K49" s="1888" t="s">
        <v>1530</v>
      </c>
      <c r="L49" s="1892"/>
      <c r="O49" s="1893" t="s">
        <v>1039</v>
      </c>
      <c r="P49" s="1884" t="s">
        <v>1531</v>
      </c>
      <c r="Q49" s="1885">
        <f ca="1">C29</f>
        <v>312</v>
      </c>
      <c r="R49" s="1885" t="s">
        <v>1524</v>
      </c>
    </row>
    <row r="50" spans="1:18" s="1841" customFormat="1" ht="13.8" thickBot="1">
      <c r="A50" s="1194"/>
      <c r="B50" s="1197"/>
      <c r="C50" s="1367"/>
      <c r="D50" s="1171"/>
      <c r="E50" s="1276" t="s">
        <v>1401</v>
      </c>
      <c r="F50" s="1277">
        <f ca="1">F7</f>
        <v>1106.44</v>
      </c>
      <c r="H50" s="792"/>
      <c r="I50" s="1886" t="s">
        <v>1532</v>
      </c>
      <c r="J50" s="1894">
        <f>SUMPRODUCT((I63:I65=J47)*(J62:L62=J48)*(J63:L65))</f>
        <v>50</v>
      </c>
      <c r="K50" s="1888" t="s">
        <v>1533</v>
      </c>
      <c r="L50" s="1892"/>
      <c r="M50" s="1895"/>
      <c r="O50" s="1893" t="s">
        <v>1040</v>
      </c>
      <c r="P50" s="1884" t="s">
        <v>1534</v>
      </c>
      <c r="Q50" s="1896" t="e">
        <f ca="1">J58</f>
        <v>#VALUE!</v>
      </c>
      <c r="R50" s="1885"/>
    </row>
    <row r="51" spans="1:18" s="1841" customFormat="1" ht="13.8" thickBot="1">
      <c r="A51" s="1195"/>
      <c r="B51" s="1197"/>
      <c r="C51" s="1198"/>
      <c r="D51" s="1171"/>
      <c r="E51" s="1199" t="s">
        <v>1402</v>
      </c>
      <c r="F51" s="347">
        <f ca="1">F8</f>
        <v>365</v>
      </c>
      <c r="I51" s="1897" t="s">
        <v>1535</v>
      </c>
      <c r="J51" s="1898">
        <f>IF(J49="",J50,J49+J50-YEAR('数据-取费表'!B2))</f>
        <v>37</v>
      </c>
      <c r="K51" s="1899" t="s">
        <v>1536</v>
      </c>
      <c r="L51" s="1900">
        <f ca="1">ROUND(-PV(INDIRECT("'数据-取费表'!h"&amp;$G$1),L48,(C39-C13*C76),0),0)</f>
        <v>421</v>
      </c>
      <c r="M51" s="1901"/>
      <c r="O51" s="1893" t="s">
        <v>1041</v>
      </c>
      <c r="P51" s="1884" t="s">
        <v>1537</v>
      </c>
      <c r="Q51" s="1896">
        <f>J52</f>
        <v>0.09</v>
      </c>
      <c r="R51" s="1885"/>
    </row>
    <row r="52" spans="1:18" s="1841" customFormat="1" ht="13.8" thickBot="1">
      <c r="A52" s="1195"/>
      <c r="B52" s="1197"/>
      <c r="C52" s="1198"/>
      <c r="D52" s="1171"/>
      <c r="E52" s="1199" t="s">
        <v>1403</v>
      </c>
      <c r="F52" s="1274"/>
      <c r="I52" s="1902" t="s">
        <v>1538</v>
      </c>
      <c r="J52" s="1903">
        <v>0.09</v>
      </c>
      <c r="K52" s="1902" t="s">
        <v>1539</v>
      </c>
      <c r="L52" s="1903"/>
      <c r="O52" s="1893" t="s">
        <v>1042</v>
      </c>
      <c r="P52" s="1884" t="s">
        <v>1540</v>
      </c>
      <c r="Q52" s="1885">
        <f ca="1">J53</f>
        <v>36.72</v>
      </c>
      <c r="R52" s="1885" t="s">
        <v>1541</v>
      </c>
    </row>
    <row r="53" spans="1:18" s="1841" customFormat="1" ht="36.6" thickBot="1">
      <c r="A53" s="1404" t="s">
        <v>1134</v>
      </c>
      <c r="B53" s="1830" t="s">
        <v>1404</v>
      </c>
      <c r="C53" s="360">
        <f ca="1">ROUND(IF(F53="押一",C49/12*F11,IF(F53="押二",C49/12*2*F11,IF(F53="押三",C49/12*3*F11,C54*F11))),0)</f>
        <v>0</v>
      </c>
      <c r="D53" s="1823" t="s">
        <v>3032</v>
      </c>
      <c r="E53" s="357" t="s">
        <v>1405</v>
      </c>
      <c r="F53" s="1365" t="s">
        <v>3080</v>
      </c>
      <c r="I53" s="1904" t="s">
        <v>1542</v>
      </c>
      <c r="J53" s="1905">
        <f ca="1">IF(M47="住宅",IF(D1="——",MAX(J51,L48),IF(D1="在建（套用方法）",MAX(J51,L48-'数据-取费表'!B24),MAX(J51,L48-'数据-取费表'!B20))),IF(D1="——",MIN(J51,L48),IF(D1="在建（套用方法）",MIN(J51,L48-'数据-取费表'!B24),IF(D1="土地（套用方法）",MIN(J51,L48-'数据-取费表'!B20)))))</f>
        <v>36.72</v>
      </c>
      <c r="K53" s="3157" t="s">
        <v>1543</v>
      </c>
      <c r="L53" s="3158"/>
      <c r="O53" s="1883" t="s">
        <v>1043</v>
      </c>
      <c r="P53" s="1884" t="s">
        <v>1544</v>
      </c>
      <c r="Q53" s="1885">
        <f ca="1">Q47+Q48</f>
        <v>1127</v>
      </c>
      <c r="R53" s="1885" t="s">
        <v>1044</v>
      </c>
    </row>
    <row r="54" spans="1:18" s="1841" customFormat="1" ht="24.6" thickBot="1">
      <c r="A54" s="1405"/>
      <c r="B54" s="1824" t="s">
        <v>1383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37.200000000000003" thickTop="1" thickBot="1">
      <c r="A56" s="1175">
        <v>2</v>
      </c>
      <c r="B56" s="1176" t="s">
        <v>1409</v>
      </c>
      <c r="C56" s="275">
        <f ca="1">C13</f>
        <v>234</v>
      </c>
      <c r="D56" s="1913"/>
      <c r="E56" s="1914"/>
      <c r="F56" s="1906"/>
      <c r="I56" s="1915" t="s">
        <v>1549</v>
      </c>
      <c r="J56" s="1916" t="s">
        <v>3058</v>
      </c>
      <c r="K56" s="1886" t="s">
        <v>1550</v>
      </c>
      <c r="L56" s="1889" t="str">
        <f ca="1">IF(L48&lt;J51,"——",L48-J53)</f>
        <v>——</v>
      </c>
      <c r="O56" s="1883" t="s">
        <v>1037</v>
      </c>
      <c r="P56" s="1884" t="s">
        <v>1523</v>
      </c>
      <c r="Q56" s="1885">
        <f ca="1">C40+J29</f>
        <v>1127</v>
      </c>
      <c r="R56" s="1885" t="s">
        <v>1524</v>
      </c>
    </row>
    <row r="57" spans="1:18" s="1841" customFormat="1" ht="24.6" thickBot="1">
      <c r="A57" s="1917"/>
      <c r="B57" s="1168" t="s">
        <v>1473</v>
      </c>
      <c r="C57" s="281">
        <f ca="1">C29</f>
        <v>312</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59" t="s">
        <v>1027</v>
      </c>
      <c r="B58" s="1176" t="s">
        <v>1419</v>
      </c>
      <c r="C58" s="360">
        <f ca="1">ROUND(C59+C64+C65+C66,0)</f>
        <v>4</v>
      </c>
      <c r="D58" s="1178" t="s">
        <v>1420</v>
      </c>
      <c r="E58" s="1179"/>
      <c r="F58" s="1180"/>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1.2</v>
      </c>
      <c r="D59" s="1181" t="s">
        <v>1425</v>
      </c>
      <c r="E59" s="1182" t="s">
        <v>1426</v>
      </c>
      <c r="F59" s="367"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3081</v>
      </c>
      <c r="E61" s="1168" t="s">
        <v>1489</v>
      </c>
      <c r="F61" s="366">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1.2</v>
      </c>
      <c r="D62" s="1183" t="s">
        <v>1492</v>
      </c>
      <c r="E62" s="1168" t="s">
        <v>1493</v>
      </c>
      <c r="F62" s="370">
        <f t="shared" si="0"/>
        <v>1.5</v>
      </c>
      <c r="I62" s="1928" t="s">
        <v>1565</v>
      </c>
      <c r="J62" s="1929" t="s">
        <v>1566</v>
      </c>
      <c r="K62" s="1929" t="s">
        <v>1567</v>
      </c>
      <c r="L62" s="1929" t="s">
        <v>1568</v>
      </c>
      <c r="M62" s="1930" t="s">
        <v>1569</v>
      </c>
      <c r="O62" s="1883" t="s">
        <v>1043</v>
      </c>
      <c r="P62" s="1884" t="s">
        <v>1570</v>
      </c>
      <c r="Q62" s="1885">
        <f ca="1">Q56+Q57</f>
        <v>1127</v>
      </c>
      <c r="R62" s="1885" t="s">
        <v>1044</v>
      </c>
    </row>
    <row r="63" spans="1:18" s="1841" customFormat="1" ht="13.8" thickBot="1">
      <c r="A63" s="371"/>
      <c r="B63" s="1174"/>
      <c r="C63" s="29"/>
      <c r="D63" s="1184"/>
      <c r="E63" s="1168" t="s">
        <v>1494</v>
      </c>
      <c r="F63" s="347">
        <f t="shared" ca="1" si="0"/>
        <v>8001.46</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ROUND(C57*F64,1)</f>
        <v>2.8</v>
      </c>
      <c r="D64" s="1182" t="s">
        <v>1497</v>
      </c>
      <c r="E64" s="1168" t="s">
        <v>1489</v>
      </c>
      <c r="F64" s="373">
        <f t="shared" ca="1" si="0"/>
        <v>8.9999999999999993E-3</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ROUND(C56*F65,1)</f>
        <v>0.2</v>
      </c>
      <c r="D65" s="1182" t="s">
        <v>1449</v>
      </c>
      <c r="E65" s="1168" t="s">
        <v>1450</v>
      </c>
      <c r="F65" s="375">
        <f t="shared" ca="1" si="0"/>
        <v>1E-3</v>
      </c>
      <c r="I65" s="1928" t="s">
        <v>1574</v>
      </c>
      <c r="J65" s="1929">
        <v>40</v>
      </c>
      <c r="K65" s="1929">
        <v>30</v>
      </c>
      <c r="L65" s="1929">
        <v>50</v>
      </c>
      <c r="M65" s="1931">
        <v>0.02</v>
      </c>
      <c r="O65" s="1883" t="s">
        <v>1037</v>
      </c>
      <c r="P65" s="1884" t="s">
        <v>1575</v>
      </c>
      <c r="Q65" s="1885">
        <f ca="1">C40+J29</f>
        <v>1127</v>
      </c>
      <c r="R65" s="1885" t="s">
        <v>1524</v>
      </c>
    </row>
    <row r="66" spans="1:18" s="1841" customFormat="1" ht="16.2" thickBot="1">
      <c r="A66" s="1200" t="s">
        <v>1499</v>
      </c>
      <c r="B66" s="1168" t="s">
        <v>1434</v>
      </c>
      <c r="C66" s="24">
        <f ca="1">ROUND(C48*F66,1)</f>
        <v>0</v>
      </c>
      <c r="D66" s="1182" t="s">
        <v>1500</v>
      </c>
      <c r="E66" s="1168" t="s">
        <v>1417</v>
      </c>
      <c r="F66" s="356">
        <f t="shared" ca="1" si="0"/>
        <v>0.01</v>
      </c>
      <c r="O66" s="1883" t="s">
        <v>1038</v>
      </c>
      <c r="P66" s="1884" t="s">
        <v>1553</v>
      </c>
      <c r="Q66" s="1885">
        <f ca="1">L60</f>
        <v>0</v>
      </c>
      <c r="R66" s="1885" t="s">
        <v>1576</v>
      </c>
    </row>
    <row r="67" spans="1:18" s="1841" customFormat="1" ht="24.6" thickBot="1">
      <c r="A67" s="1175" t="s">
        <v>1028</v>
      </c>
      <c r="B67" s="1185" t="s">
        <v>1458</v>
      </c>
      <c r="C67" s="360">
        <f ca="1">C48-C58</f>
        <v>-4</v>
      </c>
      <c r="D67" s="1181" t="s">
        <v>1459</v>
      </c>
      <c r="E67" s="1186"/>
      <c r="F67" s="1187"/>
      <c r="O67" s="1893" t="s">
        <v>1039</v>
      </c>
      <c r="P67" s="1884" t="s">
        <v>1557</v>
      </c>
      <c r="Q67" s="1932">
        <f ca="1">L51</f>
        <v>421</v>
      </c>
      <c r="R67" s="1885" t="s">
        <v>1577</v>
      </c>
    </row>
    <row r="68" spans="1:18" s="1841" customFormat="1" ht="16.2" thickBot="1">
      <c r="A68" s="1165" t="s">
        <v>1029</v>
      </c>
      <c r="B68" s="1166" t="s">
        <v>1480</v>
      </c>
      <c r="C68" s="345">
        <f ca="1">ROUND(C67*(1-((1+F70)/(1+F68))^F69)/(F68-F70),0)</f>
        <v>-67</v>
      </c>
      <c r="D68" s="1183" t="s">
        <v>1464</v>
      </c>
      <c r="E68" s="1168" t="s">
        <v>1465</v>
      </c>
      <c r="F68" s="356">
        <f ca="1">F40</f>
        <v>0.05</v>
      </c>
      <c r="O68" s="1893" t="s">
        <v>1040</v>
      </c>
      <c r="P68" s="1933" t="s">
        <v>1578</v>
      </c>
      <c r="Q68" s="1885">
        <f ca="1">ROUND(Q69-Q70*Q71,0)</f>
        <v>25</v>
      </c>
      <c r="R68" s="1885" t="s">
        <v>1048</v>
      </c>
    </row>
    <row r="69" spans="1:18" s="1841" customFormat="1" ht="13.8" thickBot="1">
      <c r="A69" s="1169"/>
      <c r="B69" s="1170"/>
      <c r="C69" s="350"/>
      <c r="D69" s="1188" t="s">
        <v>1468</v>
      </c>
      <c r="E69" s="1168" t="s">
        <v>1469</v>
      </c>
      <c r="F69" s="378">
        <f ca="1">F41</f>
        <v>36.72</v>
      </c>
      <c r="O69" s="1893" t="s">
        <v>1045</v>
      </c>
      <c r="P69" s="1933" t="s">
        <v>1579</v>
      </c>
      <c r="Q69" s="1885">
        <f ca="1">C39</f>
        <v>44.5</v>
      </c>
      <c r="R69" s="1885" t="s">
        <v>1524</v>
      </c>
    </row>
    <row r="70" spans="1:18" s="1841" customFormat="1" ht="13.8" thickBot="1">
      <c r="A70" s="1172"/>
      <c r="B70" s="1173"/>
      <c r="C70" s="354"/>
      <c r="D70" s="1184"/>
      <c r="E70" s="1168" t="s">
        <v>1472</v>
      </c>
      <c r="F70" s="1274"/>
      <c r="O70" s="1893" t="s">
        <v>1046</v>
      </c>
      <c r="P70" s="1933" t="s">
        <v>1580</v>
      </c>
      <c r="Q70" s="1885">
        <f ca="1">C13</f>
        <v>234</v>
      </c>
      <c r="R70" s="1885" t="s">
        <v>1524</v>
      </c>
    </row>
    <row r="71" spans="1:18" s="1841" customFormat="1" ht="13.8" thickBot="1">
      <c r="A71" s="1189" t="s">
        <v>1030</v>
      </c>
      <c r="B71" s="1190" t="s">
        <v>1482</v>
      </c>
      <c r="C71" s="381">
        <f ca="1">ROUND(C68*10000/F71,0)</f>
        <v>-606</v>
      </c>
      <c r="D71" s="1191" t="s">
        <v>1483</v>
      </c>
      <c r="E71" s="1192" t="s">
        <v>1484</v>
      </c>
      <c r="F71" s="384">
        <f ca="1">F43</f>
        <v>1106.44</v>
      </c>
      <c r="O71" s="1893" t="s">
        <v>1047</v>
      </c>
      <c r="P71" s="1933" t="s">
        <v>1581</v>
      </c>
      <c r="Q71" s="1896">
        <f ca="1">C76</f>
        <v>8.5000000000000006E-2</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建筑物剩余耐用年限下的土地年期修正系数Kn</v>
      </c>
      <c r="Q74" s="1885" t="e">
        <f ca="1">L59</f>
        <v>#DIV/0!</v>
      </c>
      <c r="R74" s="1885" t="s">
        <v>1564</v>
      </c>
    </row>
    <row r="75" spans="1:18" ht="13.8" thickBot="1">
      <c r="A75" s="1841"/>
      <c r="B75" s="385" t="s">
        <v>1501</v>
      </c>
      <c r="C75" s="386">
        <f ca="1">ROUND(C13*C76,0)</f>
        <v>20</v>
      </c>
      <c r="D75" s="1841"/>
      <c r="E75" s="1841"/>
      <c r="F75" s="1841"/>
      <c r="K75" s="1867"/>
      <c r="L75" s="1841"/>
      <c r="O75" s="1883" t="s">
        <v>1043</v>
      </c>
      <c r="P75" s="1884" t="s">
        <v>1544</v>
      </c>
      <c r="Q75" s="1885">
        <f ca="1">Q65+Q66</f>
        <v>1127</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0.55099999999999993</v>
      </c>
    </row>
    <row r="80" spans="1:18">
      <c r="B80" s="385" t="s">
        <v>1506</v>
      </c>
      <c r="C80" s="317">
        <f ca="1">ROUND(C75/C39,3)</f>
        <v>0.44900000000000001</v>
      </c>
    </row>
    <row r="81" spans="2:3">
      <c r="B81" s="313" t="s">
        <v>1507</v>
      </c>
      <c r="C81" s="281"/>
    </row>
    <row r="82" spans="2:3">
      <c r="B82" s="316" t="s">
        <v>1508</v>
      </c>
      <c r="C82" s="318">
        <f ca="1">1-C83</f>
        <v>0.79200000000000004</v>
      </c>
    </row>
    <row r="83" spans="2:3">
      <c r="B83" s="316" t="s">
        <v>1509</v>
      </c>
      <c r="C83" s="317">
        <f ca="1">ROUND(C13/C40,3)</f>
        <v>0.20799999999999999</v>
      </c>
    </row>
  </sheetData>
  <sheetProtection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9" t="s">
        <v>1398</v>
      </c>
      <c r="C6" s="1295">
        <f ca="1">ROUND(F6*F8*F7*(1-F9),0)</f>
        <v>0</v>
      </c>
      <c r="D6" s="163" t="s">
        <v>3021</v>
      </c>
      <c r="E6" s="346" t="s">
        <v>1400</v>
      </c>
      <c r="F6" s="347">
        <f ca="1">INDIRECT("'数据-取费表'!u"&amp;$G$1)</f>
        <v>0</v>
      </c>
      <c r="G6" s="1850"/>
      <c r="H6" s="1290" t="s">
        <v>1032</v>
      </c>
      <c r="I6" s="3159" t="s">
        <v>1398</v>
      </c>
      <c r="J6" s="345">
        <f ca="1">ROUND(M6*M8*M7*(1-M9),0)</f>
        <v>0</v>
      </c>
      <c r="K6" s="1833" t="s">
        <v>3022</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0</v>
      </c>
      <c r="G7" s="1850"/>
      <c r="H7" s="348"/>
      <c r="I7" s="3160"/>
      <c r="J7" s="350"/>
      <c r="K7" s="351"/>
      <c r="L7" s="346" t="s">
        <v>1401</v>
      </c>
      <c r="M7" s="347">
        <f ca="1">F7</f>
        <v>0</v>
      </c>
    </row>
    <row r="8" spans="1:37" ht="18" customHeight="1">
      <c r="A8" s="348"/>
      <c r="B8" s="3160"/>
      <c r="C8" s="350"/>
      <c r="D8" s="351"/>
      <c r="E8" s="346" t="s">
        <v>1402</v>
      </c>
      <c r="F8" s="347">
        <f ca="1">INDIRECT("'数据-取费表'!ai"&amp;$G$1)</f>
        <v>0</v>
      </c>
      <c r="G8" s="1850"/>
      <c r="H8" s="348"/>
      <c r="I8" s="3160"/>
      <c r="J8" s="350"/>
      <c r="K8" s="351"/>
      <c r="L8" s="346" t="s">
        <v>1402</v>
      </c>
      <c r="M8" s="347">
        <f ca="1">INDIRECT("'数据-取费表'!ai"&amp;$G$1)</f>
        <v>0</v>
      </c>
    </row>
    <row r="9" spans="1:37" ht="18" customHeight="1">
      <c r="A9" s="348"/>
      <c r="B9" s="3161"/>
      <c r="C9" s="350"/>
      <c r="D9" s="351"/>
      <c r="E9" s="346" t="s">
        <v>1403</v>
      </c>
      <c r="F9" s="356">
        <f ca="1">INDIRECT("'数据-取费表'!w"&amp;$G$1)</f>
        <v>0</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57" t="s">
        <v>1543</v>
      </c>
      <c r="L53" s="3158"/>
      <c r="O53" s="1883" t="s">
        <v>1043</v>
      </c>
      <c r="P53" s="1884" t="s">
        <v>1544</v>
      </c>
      <c r="Q53" s="1885" t="e">
        <f ca="1">Q47+Q48</f>
        <v>#DIV/0!</v>
      </c>
      <c r="R53" s="1885" t="s">
        <v>1044</v>
      </c>
    </row>
    <row r="54" spans="1:18" s="1841" customFormat="1" ht="13.8" thickBot="1">
      <c r="A54" s="1193"/>
      <c r="B54" s="1940" t="s">
        <v>1598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6" thickBot="1">
      <c r="A57" s="1917"/>
      <c r="B57" s="1168" t="s">
        <v>1473</v>
      </c>
      <c r="C57" s="281">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2">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3"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3" t="s">
        <v>1579</v>
      </c>
      <c r="Q69" s="1885">
        <f ca="1">C39</f>
        <v>0</v>
      </c>
      <c r="R69" s="1885" t="s">
        <v>1524</v>
      </c>
    </row>
    <row r="70" spans="1:18" s="1841" customFormat="1" ht="13.8" thickBot="1">
      <c r="A70" s="1172"/>
      <c r="B70" s="1173"/>
      <c r="C70" s="354"/>
      <c r="D70" s="1184"/>
      <c r="E70" s="1168" t="s">
        <v>1472</v>
      </c>
      <c r="F70" s="1274">
        <f ca="1">F42</f>
        <v>0</v>
      </c>
      <c r="O70" s="1893" t="s">
        <v>1046</v>
      </c>
      <c r="P70" s="1933"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3"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2520</v>
      </c>
      <c r="B1" s="2561"/>
      <c r="C1" s="2561"/>
      <c r="D1" s="2561"/>
      <c r="E1" s="2562"/>
    </row>
    <row r="2" spans="1:6" ht="15.6">
      <c r="A2" s="2563" t="s">
        <v>2321</v>
      </c>
      <c r="B2" s="2564">
        <f ca="1">SUMIF(B6:B13,"&lt;&gt;#ref!",B6:B13)</f>
        <v>1127</v>
      </c>
      <c r="C2" s="2565" t="s">
        <v>2513</v>
      </c>
      <c r="D2" s="2566" t="s">
        <v>2514</v>
      </c>
      <c r="E2" s="2567">
        <f>SUM(E6:E13)</f>
        <v>1106.44</v>
      </c>
    </row>
    <row r="3" spans="1:6" ht="15.6">
      <c r="A3" s="2563" t="s">
        <v>1390</v>
      </c>
      <c r="B3" s="2564">
        <f ca="1">ROUND(B2*10000/E2,0)</f>
        <v>10186</v>
      </c>
      <c r="C3" s="2565" t="s">
        <v>2521</v>
      </c>
      <c r="D3" s="2568"/>
      <c r="E3" s="2569"/>
    </row>
    <row r="4" spans="1:6" ht="15.6">
      <c r="A4" s="2570"/>
      <c r="B4" s="2568"/>
      <c r="C4" s="2568"/>
      <c r="D4" s="2568"/>
      <c r="E4" s="2569"/>
    </row>
    <row r="5" spans="1:6" ht="14.4">
      <c r="A5" s="2571" t="s">
        <v>2515</v>
      </c>
      <c r="B5" s="3162" t="s">
        <v>2516</v>
      </c>
      <c r="C5" s="3162"/>
      <c r="D5" s="2572"/>
      <c r="E5" s="2573" t="s">
        <v>2517</v>
      </c>
      <c r="F5" s="2574" t="s">
        <v>2518</v>
      </c>
    </row>
    <row r="6" spans="1:6" ht="14.4">
      <c r="A6" s="2575" t="str">
        <f>'数据-取费表'!AN6</f>
        <v>收益法</v>
      </c>
      <c r="B6" s="2574">
        <f ca="1">IF(F6="是",'数据-取费表'!AO6,0)</f>
        <v>1127</v>
      </c>
      <c r="C6" s="2565" t="s">
        <v>2513</v>
      </c>
      <c r="D6" s="2568"/>
      <c r="E6" s="2576">
        <f>IF(OR(A6=0,F6="否"),0,'数据-取费表'!K6+'数据-取费表'!S6)</f>
        <v>1106.44</v>
      </c>
      <c r="F6" s="2577" t="s">
        <v>2519</v>
      </c>
    </row>
    <row r="7" spans="1:6" ht="14.4">
      <c r="A7" s="2575">
        <f>'数据-取费表'!AN7</f>
        <v>0</v>
      </c>
      <c r="B7" s="2574" t="e">
        <f ca="1">IF(F7="是",'数据-取费表'!AO7,0)</f>
        <v>#REF!</v>
      </c>
      <c r="C7" s="2565" t="s">
        <v>2513</v>
      </c>
      <c r="D7" s="2568"/>
      <c r="E7" s="2576">
        <f>IF(OR(A7=0,F7="否"),0,'数据-取费表'!K7+'数据-取费表'!S7)</f>
        <v>0</v>
      </c>
      <c r="F7" s="2577" t="s">
        <v>2519</v>
      </c>
    </row>
    <row r="8" spans="1:6" ht="14.4">
      <c r="A8" s="2575">
        <f>'数据-取费表'!AN8</f>
        <v>0</v>
      </c>
      <c r="B8" s="2574" t="e">
        <f ca="1">IF(F8="是",'数据-取费表'!AO8,0)</f>
        <v>#REF!</v>
      </c>
      <c r="C8" s="2565" t="s">
        <v>2513</v>
      </c>
      <c r="D8" s="2568"/>
      <c r="E8" s="2576">
        <f>IF(OR(A8=0,F8="否"),0,'数据-取费表'!K8+'数据-取费表'!S8)</f>
        <v>0</v>
      </c>
      <c r="F8" s="2577" t="s">
        <v>2519</v>
      </c>
    </row>
    <row r="9" spans="1:6" ht="14.4">
      <c r="A9" s="2575">
        <f>'数据-取费表'!AN9</f>
        <v>0</v>
      </c>
      <c r="B9" s="2574" t="e">
        <f ca="1">IF(F9="是",'数据-取费表'!AO9,0)</f>
        <v>#REF!</v>
      </c>
      <c r="C9" s="2565" t="s">
        <v>2513</v>
      </c>
      <c r="D9" s="2568"/>
      <c r="E9" s="2576">
        <f>IF(OR(A9=0,F9="否"),0,'数据-取费表'!K9+'数据-取费表'!S9)</f>
        <v>0</v>
      </c>
      <c r="F9" s="2577" t="s">
        <v>2519</v>
      </c>
    </row>
    <row r="10" spans="1:6" ht="14.4">
      <c r="A10" s="2575">
        <f>'数据-取费表'!AN10</f>
        <v>0</v>
      </c>
      <c r="B10" s="2574" t="e">
        <f ca="1">IF(F10="是",'数据-取费表'!AO10,0)</f>
        <v>#REF!</v>
      </c>
      <c r="C10" s="2565" t="s">
        <v>2513</v>
      </c>
      <c r="D10" s="2568"/>
      <c r="E10" s="2576">
        <f>IF(OR(A10=0,F10="否"),0,'数据-取费表'!K10+'数据-取费表'!S10)</f>
        <v>0</v>
      </c>
      <c r="F10" s="2577" t="s">
        <v>2519</v>
      </c>
    </row>
    <row r="11" spans="1:6" ht="14.4">
      <c r="A11" s="2575">
        <f>'数据-取费表'!AN11</f>
        <v>0</v>
      </c>
      <c r="B11" s="2574" t="e">
        <f ca="1">IF(F11="是",'数据-取费表'!AO11,0)</f>
        <v>#REF!</v>
      </c>
      <c r="C11" s="2565" t="s">
        <v>2513</v>
      </c>
      <c r="D11" s="2568"/>
      <c r="E11" s="2576">
        <f>IF(OR(A11=0,F11="否"),0,'数据-取费表'!K11+'数据-取费表'!S11)</f>
        <v>0</v>
      </c>
      <c r="F11" s="2577" t="s">
        <v>2519</v>
      </c>
    </row>
    <row r="12" spans="1:6" ht="14.4">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63" t="s">
        <v>1073</v>
      </c>
      <c r="B1" s="3164"/>
      <c r="C1" s="3165"/>
      <c r="D1" s="3166">
        <f>SUM(I10,I15,I20,I21,I23)</f>
        <v>0</v>
      </c>
      <c r="E1" s="3166"/>
      <c r="F1" s="3166"/>
      <c r="G1" s="3166"/>
      <c r="H1" s="3166"/>
      <c r="I1" s="3167"/>
    </row>
    <row r="2" spans="1:9">
      <c r="A2" s="3168" t="s">
        <v>1074</v>
      </c>
      <c r="B2" s="3169" t="s">
        <v>1075</v>
      </c>
      <c r="C2" s="3169"/>
      <c r="D2" s="1300" t="s">
        <v>1076</v>
      </c>
      <c r="E2" s="1300" t="s">
        <v>1077</v>
      </c>
      <c r="F2" s="1300" t="s">
        <v>1078</v>
      </c>
      <c r="G2" s="1300" t="s">
        <v>1079</v>
      </c>
      <c r="H2" s="1300" t="s">
        <v>1080</v>
      </c>
      <c r="I2" s="1301" t="s">
        <v>1081</v>
      </c>
    </row>
    <row r="3" spans="1:9">
      <c r="A3" s="3168"/>
      <c r="B3" s="3169" t="s">
        <v>1082</v>
      </c>
      <c r="C3" s="3169"/>
      <c r="D3" s="1302"/>
      <c r="E3" s="1300"/>
      <c r="F3" s="1303"/>
      <c r="G3" s="1303"/>
      <c r="H3" s="1304"/>
      <c r="I3" s="1305">
        <f>ROUND(D3*E3*F3*G3*H3/10000,0)</f>
        <v>0</v>
      </c>
    </row>
    <row r="4" spans="1:9">
      <c r="A4" s="3168"/>
      <c r="B4" s="3169" t="s">
        <v>1083</v>
      </c>
      <c r="C4" s="3169"/>
      <c r="D4" s="1302"/>
      <c r="E4" s="1300"/>
      <c r="F4" s="1303"/>
      <c r="G4" s="1303"/>
      <c r="H4" s="1304"/>
      <c r="I4" s="1305">
        <f t="shared" ref="I4:I9" si="0">ROUND(D4*E4*F4*G4*H4/10000,0)</f>
        <v>0</v>
      </c>
    </row>
    <row r="5" spans="1:9">
      <c r="A5" s="3168"/>
      <c r="B5" s="3169" t="s">
        <v>1084</v>
      </c>
      <c r="C5" s="3169"/>
      <c r="D5" s="1302"/>
      <c r="E5" s="1300"/>
      <c r="F5" s="1303"/>
      <c r="G5" s="1303"/>
      <c r="H5" s="1304"/>
      <c r="I5" s="1305">
        <f t="shared" si="0"/>
        <v>0</v>
      </c>
    </row>
    <row r="6" spans="1:9">
      <c r="A6" s="3168"/>
      <c r="B6" s="3169" t="s">
        <v>1085</v>
      </c>
      <c r="C6" s="3169"/>
      <c r="D6" s="1302"/>
      <c r="E6" s="1300"/>
      <c r="F6" s="1303"/>
      <c r="G6" s="1303"/>
      <c r="H6" s="1304"/>
      <c r="I6" s="1305">
        <f t="shared" si="0"/>
        <v>0</v>
      </c>
    </row>
    <row r="7" spans="1:9">
      <c r="A7" s="3168"/>
      <c r="B7" s="3169" t="s">
        <v>1086</v>
      </c>
      <c r="C7" s="3169"/>
      <c r="D7" s="1302"/>
      <c r="E7" s="1300"/>
      <c r="F7" s="1303"/>
      <c r="G7" s="1303"/>
      <c r="H7" s="1304"/>
      <c r="I7" s="1305">
        <f t="shared" si="0"/>
        <v>0</v>
      </c>
    </row>
    <row r="8" spans="1:9">
      <c r="A8" s="3168"/>
      <c r="B8" s="3169" t="s">
        <v>1087</v>
      </c>
      <c r="C8" s="3169"/>
      <c r="D8" s="1302"/>
      <c r="E8" s="1300"/>
      <c r="F8" s="1303"/>
      <c r="G8" s="1303"/>
      <c r="H8" s="1304"/>
      <c r="I8" s="1305">
        <f t="shared" si="0"/>
        <v>0</v>
      </c>
    </row>
    <row r="9" spans="1:9">
      <c r="A9" s="3168"/>
      <c r="B9" s="3169" t="s">
        <v>1088</v>
      </c>
      <c r="C9" s="3169"/>
      <c r="D9" s="1302"/>
      <c r="E9" s="1300"/>
      <c r="F9" s="1303"/>
      <c r="G9" s="1303"/>
      <c r="H9" s="1304"/>
      <c r="I9" s="1305">
        <f t="shared" si="0"/>
        <v>0</v>
      </c>
    </row>
    <row r="10" spans="1:9">
      <c r="A10" s="3168"/>
      <c r="B10" s="3170" t="s">
        <v>1089</v>
      </c>
      <c r="C10" s="3170"/>
      <c r="D10" s="1306"/>
      <c r="E10" s="1306" t="e">
        <f>ROUND(D1*10000/D10/H9,0)</f>
        <v>#DIV/0!</v>
      </c>
      <c r="F10" s="1307"/>
      <c r="G10" s="1307"/>
      <c r="H10" s="1308"/>
      <c r="I10" s="1309">
        <f>SUM(I3:I9)</f>
        <v>0</v>
      </c>
    </row>
    <row r="11" spans="1:9" ht="15.6">
      <c r="A11" s="3168" t="s">
        <v>1090</v>
      </c>
      <c r="B11" s="3169" t="s">
        <v>1091</v>
      </c>
      <c r="C11" s="3169"/>
      <c r="D11" s="1302" t="s">
        <v>1092</v>
      </c>
      <c r="E11" s="1302" t="s">
        <v>1093</v>
      </c>
      <c r="F11" s="1303" t="s">
        <v>1094</v>
      </c>
      <c r="G11" s="1303" t="s">
        <v>1080</v>
      </c>
      <c r="H11" s="1310" t="s">
        <v>1095</v>
      </c>
      <c r="I11" s="1301" t="s">
        <v>1081</v>
      </c>
    </row>
    <row r="12" spans="1:9">
      <c r="A12" s="3168"/>
      <c r="B12" s="3169" t="s">
        <v>1096</v>
      </c>
      <c r="C12" s="3169"/>
      <c r="D12" s="1302"/>
      <c r="E12" s="1302"/>
      <c r="F12" s="1303"/>
      <c r="G12" s="1304"/>
      <c r="H12" s="1311"/>
      <c r="I12" s="1301">
        <f>ROUND(D12*E12*F12*G12/10000,0)</f>
        <v>0</v>
      </c>
    </row>
    <row r="13" spans="1:9">
      <c r="A13" s="3168"/>
      <c r="B13" s="3169" t="s">
        <v>1097</v>
      </c>
      <c r="C13" s="3169"/>
      <c r="D13" s="1302"/>
      <c r="E13" s="1302"/>
      <c r="F13" s="1303"/>
      <c r="G13" s="1304"/>
      <c r="H13" s="1311"/>
      <c r="I13" s="1301">
        <f>ROUND(D13*E13*F13*G13/10000,0)</f>
        <v>0</v>
      </c>
    </row>
    <row r="14" spans="1:9">
      <c r="A14" s="3168"/>
      <c r="B14" s="3169" t="s">
        <v>1098</v>
      </c>
      <c r="C14" s="3169"/>
      <c r="D14" s="1302"/>
      <c r="E14" s="1302"/>
      <c r="F14" s="1303"/>
      <c r="G14" s="1304"/>
      <c r="H14" s="1311"/>
      <c r="I14" s="1301">
        <f>ROUND(D14*E14*F14*G14/10000,0)</f>
        <v>0</v>
      </c>
    </row>
    <row r="15" spans="1:9">
      <c r="A15" s="3168"/>
      <c r="B15" s="3170" t="s">
        <v>1089</v>
      </c>
      <c r="C15" s="3170"/>
      <c r="D15" s="1306"/>
      <c r="E15" s="1306">
        <f>SUM(E12:E14)</f>
        <v>0</v>
      </c>
      <c r="F15" s="1307"/>
      <c r="G15" s="1304"/>
      <c r="H15" s="1311"/>
      <c r="I15" s="1312">
        <f>SUM(I12:I14)</f>
        <v>0</v>
      </c>
    </row>
    <row r="16" spans="1:9" ht="24">
      <c r="A16" s="3168" t="s">
        <v>1099</v>
      </c>
      <c r="B16" s="3169" t="s">
        <v>1100</v>
      </c>
      <c r="C16" s="3169"/>
      <c r="D16" s="1302" t="s">
        <v>1076</v>
      </c>
      <c r="E16" s="1313" t="s">
        <v>1101</v>
      </c>
      <c r="F16" s="1303" t="s">
        <v>1102</v>
      </c>
      <c r="G16" s="1304" t="s">
        <v>1080</v>
      </c>
      <c r="H16" s="1310" t="s">
        <v>1095</v>
      </c>
      <c r="I16" s="1301" t="s">
        <v>1081</v>
      </c>
    </row>
    <row r="17" spans="1:9" ht="15.6">
      <c r="A17" s="3168"/>
      <c r="B17" s="3169" t="s">
        <v>1103</v>
      </c>
      <c r="C17" s="3169"/>
      <c r="D17" s="1302"/>
      <c r="E17" s="1302"/>
      <c r="F17" s="1303"/>
      <c r="G17" s="1304"/>
      <c r="H17" s="1314"/>
      <c r="I17" s="1315">
        <f>ROUND(D17*E17*F17*G17/10000,0)</f>
        <v>0</v>
      </c>
    </row>
    <row r="18" spans="1:9" ht="15.6">
      <c r="A18" s="3168"/>
      <c r="B18" s="3169" t="s">
        <v>1104</v>
      </c>
      <c r="C18" s="3169"/>
      <c r="D18" s="1302"/>
      <c r="E18" s="1302"/>
      <c r="F18" s="1303"/>
      <c r="G18" s="1304"/>
      <c r="H18" s="1314"/>
      <c r="I18" s="1315">
        <f>ROUND(D18*E18*F18*G18/10000,0)</f>
        <v>0</v>
      </c>
    </row>
    <row r="19" spans="1:9" ht="15.6">
      <c r="A19" s="3168"/>
      <c r="B19" s="3169" t="s">
        <v>1105</v>
      </c>
      <c r="C19" s="3169"/>
      <c r="D19" s="1302"/>
      <c r="E19" s="1302"/>
      <c r="F19" s="1303"/>
      <c r="G19" s="1304"/>
      <c r="H19" s="1314"/>
      <c r="I19" s="1315">
        <f>ROUND(D19*E19*F19*G19/10000,0)</f>
        <v>0</v>
      </c>
    </row>
    <row r="20" spans="1:9">
      <c r="A20" s="3168"/>
      <c r="B20" s="3170" t="s">
        <v>1089</v>
      </c>
      <c r="C20" s="3170"/>
      <c r="D20" s="1306">
        <f>SUM(D17:D19)</f>
        <v>0</v>
      </c>
      <c r="E20" s="1306"/>
      <c r="F20" s="1307"/>
      <c r="G20" s="1304"/>
      <c r="H20" s="1311"/>
      <c r="I20" s="1312">
        <f>SUM(I17:I19)</f>
        <v>0</v>
      </c>
    </row>
    <row r="21" spans="1:9">
      <c r="A21" s="3168" t="s">
        <v>1106</v>
      </c>
      <c r="B21" s="3172"/>
      <c r="C21" s="3172"/>
      <c r="D21" s="3172"/>
      <c r="E21" s="3172"/>
      <c r="F21" s="3172"/>
      <c r="G21" s="3172"/>
      <c r="H21" s="1764">
        <v>0.1</v>
      </c>
      <c r="I21" s="1309">
        <f>ROUND(I10*H21,0)</f>
        <v>0</v>
      </c>
    </row>
    <row r="22" spans="1:9" ht="15.6">
      <c r="A22" s="3173" t="s">
        <v>1107</v>
      </c>
      <c r="B22" s="3174"/>
      <c r="C22" s="3175"/>
      <c r="D22" s="1316" t="s">
        <v>1108</v>
      </c>
      <c r="E22" s="1316" t="s">
        <v>1109</v>
      </c>
      <c r="F22" s="1317" t="s">
        <v>1110</v>
      </c>
      <c r="G22" s="1317" t="s">
        <v>1111</v>
      </c>
      <c r="H22" s="1310" t="s">
        <v>1112</v>
      </c>
      <c r="I22" s="1301" t="s">
        <v>1113</v>
      </c>
    </row>
    <row r="23" spans="1:9" ht="15" thickBot="1">
      <c r="A23" s="3176"/>
      <c r="B23" s="3177"/>
      <c r="C23" s="3178"/>
      <c r="D23" s="1318"/>
      <c r="E23" s="1318"/>
      <c r="F23" s="1318"/>
      <c r="G23" s="1319"/>
      <c r="H23" s="1320"/>
      <c r="I23" s="1321">
        <f>ROUND(E23*D23*F23*(1-G23)/10000,0)</f>
        <v>0</v>
      </c>
    </row>
    <row r="26" spans="1:9">
      <c r="A26" s="1322" t="s">
        <v>1114</v>
      </c>
      <c r="B26" s="1322"/>
      <c r="C26" s="1322"/>
      <c r="D26" s="1322"/>
      <c r="E26" s="3179">
        <f>C27-C30-C31-C32</f>
        <v>0</v>
      </c>
      <c r="F26" s="3179"/>
      <c r="G26" s="3179"/>
      <c r="H26" s="1736" t="s">
        <v>1336</v>
      </c>
    </row>
    <row r="27" spans="1:9">
      <c r="A27" s="1323">
        <v>1</v>
      </c>
      <c r="B27" s="1324" t="s">
        <v>1115</v>
      </c>
      <c r="C27" s="1324">
        <f>C28+C29</f>
        <v>0</v>
      </c>
      <c r="D27" s="1324"/>
      <c r="E27" s="3180"/>
      <c r="F27" s="3180"/>
      <c r="G27" s="3180"/>
    </row>
    <row r="28" spans="1:9">
      <c r="A28" s="1325" t="s">
        <v>1116</v>
      </c>
      <c r="B28" s="1324" t="s">
        <v>1117</v>
      </c>
      <c r="C28" s="1324"/>
      <c r="D28" s="1324"/>
      <c r="E28" s="3180"/>
      <c r="F28" s="3180"/>
      <c r="G28" s="318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1"/>
      <c r="F32" s="3171"/>
      <c r="G32" s="3171"/>
    </row>
    <row r="33" spans="1:7" hidden="1">
      <c r="A33" s="3181" t="s">
        <v>1126</v>
      </c>
      <c r="B33" s="3182"/>
      <c r="C33" s="3182"/>
      <c r="D33" s="3183"/>
      <c r="E33" s="3179"/>
      <c r="F33" s="3179"/>
      <c r="G33" s="3179"/>
    </row>
    <row r="34" spans="1:7" hidden="1">
      <c r="A34" s="1327">
        <v>1</v>
      </c>
      <c r="B34" s="1324" t="s">
        <v>1127</v>
      </c>
      <c r="C34" s="1324"/>
      <c r="D34" s="1324"/>
      <c r="E34" s="3180"/>
      <c r="F34" s="3180"/>
      <c r="G34" s="3180"/>
    </row>
    <row r="35" spans="1:7" hidden="1">
      <c r="A35" s="1327">
        <v>2</v>
      </c>
      <c r="B35" s="1324" t="s">
        <v>1128</v>
      </c>
      <c r="C35" s="1324"/>
      <c r="D35" s="1324"/>
      <c r="E35" s="3180"/>
      <c r="F35" s="3180"/>
      <c r="G35" s="3180"/>
    </row>
    <row r="36" spans="1:7" hidden="1">
      <c r="A36" s="1327">
        <v>3</v>
      </c>
      <c r="B36" s="1324" t="s">
        <v>1129</v>
      </c>
      <c r="C36" s="1324"/>
      <c r="D36" s="1324"/>
      <c r="E36" s="3180"/>
      <c r="F36" s="3180"/>
      <c r="G36" s="3180"/>
    </row>
    <row r="37" spans="1:7" hidden="1">
      <c r="A37" s="1327">
        <v>4</v>
      </c>
      <c r="B37" s="1324" t="s">
        <v>1130</v>
      </c>
      <c r="C37" s="1324"/>
      <c r="D37" s="1324"/>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2527</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2528</v>
      </c>
      <c r="D3" s="398">
        <f>IF(D1="",'数据-汇总表'!E3,SUMIF('数据-汇总表'!$C19:$C33,D1,'数据-汇总表'!$E19:$E33))</f>
        <v>1106.44</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4.4">
      <c r="A4" s="400" t="s">
        <v>2529</v>
      </c>
      <c r="B4" s="401"/>
      <c r="C4" s="3202" t="s">
        <v>2530</v>
      </c>
      <c r="D4" s="3203"/>
      <c r="E4" s="3204" t="s">
        <v>2531</v>
      </c>
      <c r="F4" s="3205"/>
      <c r="G4" s="3202" t="s">
        <v>2532</v>
      </c>
      <c r="H4" s="3203"/>
      <c r="I4" s="3202" t="s">
        <v>2533</v>
      </c>
      <c r="J4" s="3203"/>
      <c r="K4" s="2595" t="s">
        <v>2534</v>
      </c>
      <c r="L4" s="1129"/>
      <c r="M4" s="1130"/>
      <c r="N4" s="1130"/>
      <c r="O4" s="1130"/>
      <c r="P4" s="3206" t="s">
        <v>2535</v>
      </c>
      <c r="Q4" s="3207"/>
      <c r="R4" s="3189" t="s">
        <v>2531</v>
      </c>
      <c r="S4" s="3190"/>
      <c r="T4" s="3189" t="s">
        <v>2532</v>
      </c>
      <c r="U4" s="3190"/>
      <c r="V4" s="3214" t="s">
        <v>2533</v>
      </c>
      <c r="W4" s="3214"/>
      <c r="X4" s="1812"/>
      <c r="Y4" s="3189" t="s">
        <v>2535</v>
      </c>
      <c r="Z4" s="3190"/>
      <c r="AA4" s="3184" t="s">
        <v>2531</v>
      </c>
      <c r="AB4" s="3184" t="s">
        <v>2532</v>
      </c>
      <c r="AC4" s="3184" t="s">
        <v>2533</v>
      </c>
    </row>
    <row r="5" spans="1:29">
      <c r="A5" s="403"/>
      <c r="B5" s="404"/>
      <c r="C5" s="3195" t="s">
        <v>2536</v>
      </c>
      <c r="D5" s="3196"/>
      <c r="E5" s="3193" t="s">
        <v>2537</v>
      </c>
      <c r="F5" s="3194"/>
      <c r="G5" s="3195" t="s">
        <v>2538</v>
      </c>
      <c r="H5" s="3196"/>
      <c r="I5" s="3195" t="s">
        <v>2539</v>
      </c>
      <c r="J5" s="3196"/>
      <c r="K5" s="2596"/>
      <c r="L5" s="1129"/>
      <c r="M5" s="1130"/>
      <c r="N5" s="1130"/>
      <c r="O5" s="1130"/>
      <c r="P5" s="3208"/>
      <c r="Q5" s="3209"/>
      <c r="R5" s="3191"/>
      <c r="S5" s="3192"/>
      <c r="T5" s="3191"/>
      <c r="U5" s="3192"/>
      <c r="V5" s="3214"/>
      <c r="W5" s="3214"/>
      <c r="X5" s="1812"/>
      <c r="Y5" s="3191"/>
      <c r="Z5" s="3192"/>
      <c r="AA5" s="3185"/>
      <c r="AB5" s="3185"/>
      <c r="AC5" s="3185"/>
    </row>
    <row r="6" spans="1:29" ht="15" thickBot="1">
      <c r="A6" s="405"/>
      <c r="B6" s="406"/>
      <c r="C6" s="3197" t="s">
        <v>2540</v>
      </c>
      <c r="D6" s="3198"/>
      <c r="E6" s="3199" t="s">
        <v>2540</v>
      </c>
      <c r="F6" s="3200"/>
      <c r="G6" s="3197" t="s">
        <v>2540</v>
      </c>
      <c r="H6" s="3198"/>
      <c r="I6" s="3197" t="s">
        <v>2540</v>
      </c>
      <c r="J6" s="3198"/>
      <c r="K6" s="2596" t="s">
        <v>2541</v>
      </c>
      <c r="L6" s="1129"/>
      <c r="M6" s="1130"/>
      <c r="N6" s="1130"/>
      <c r="O6" s="1130"/>
      <c r="P6" s="3210"/>
      <c r="Q6" s="3211"/>
      <c r="R6" s="3191"/>
      <c r="S6" s="3192"/>
      <c r="T6" s="3212"/>
      <c r="U6" s="3213"/>
      <c r="V6" s="3214"/>
      <c r="W6" s="3214"/>
      <c r="X6" s="1812"/>
      <c r="Y6" s="3212"/>
      <c r="Z6" s="3213"/>
      <c r="AA6" s="3186"/>
      <c r="AB6" s="3186"/>
      <c r="AC6" s="3186"/>
    </row>
    <row r="7" spans="1:29" s="117" customFormat="1" ht="1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187" t="s">
        <v>2543</v>
      </c>
      <c r="Q7" s="3215"/>
      <c r="R7" s="769" t="s">
        <v>23</v>
      </c>
      <c r="S7" s="770">
        <f t="shared" ref="S7:S15" si="0">F7</f>
        <v>0</v>
      </c>
      <c r="T7" s="769" t="s">
        <v>23</v>
      </c>
      <c r="U7" s="770">
        <f t="shared" ref="U7:U15" si="1">H7</f>
        <v>0</v>
      </c>
      <c r="V7" s="769" t="s">
        <v>23</v>
      </c>
      <c r="W7" s="770">
        <f t="shared" ref="W7:W15" si="2">J7</f>
        <v>0</v>
      </c>
      <c r="X7" s="771"/>
      <c r="Y7" s="3187" t="s">
        <v>2543</v>
      </c>
      <c r="Z7" s="3188"/>
      <c r="AA7" s="772" t="e">
        <f>D7/F7</f>
        <v>#DIV/0!</v>
      </c>
      <c r="AB7" s="772" t="e">
        <f>D7/H7</f>
        <v>#DIV/0!</v>
      </c>
      <c r="AC7" s="772" t="e">
        <f>D7/J7</f>
        <v>#DIV/0!</v>
      </c>
    </row>
    <row r="8" spans="1:29" s="117" customFormat="1" ht="1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187" t="s">
        <v>2546</v>
      </c>
      <c r="Q8" s="3188"/>
      <c r="R8" s="769" t="s">
        <v>23</v>
      </c>
      <c r="S8" s="770">
        <f t="shared" si="0"/>
        <v>0</v>
      </c>
      <c r="T8" s="769" t="s">
        <v>23</v>
      </c>
      <c r="U8" s="770">
        <f t="shared" si="1"/>
        <v>0</v>
      </c>
      <c r="V8" s="769" t="s">
        <v>23</v>
      </c>
      <c r="W8" s="770">
        <f t="shared" si="2"/>
        <v>0</v>
      </c>
      <c r="X8" s="771"/>
      <c r="Y8" s="3187" t="s">
        <v>2546</v>
      </c>
      <c r="Z8" s="3188"/>
      <c r="AA8" s="772" t="e">
        <f t="shared" ref="AA8:AA19" si="3">D8/F8</f>
        <v>#DIV/0!</v>
      </c>
      <c r="AB8" s="772" t="e">
        <f t="shared" ref="AB8:AB19" si="4">D8/H8</f>
        <v>#DIV/0!</v>
      </c>
      <c r="AC8" s="772" t="e">
        <f t="shared" ref="AC8:AC19" si="5">D8/J8</f>
        <v>#DIV/0!</v>
      </c>
    </row>
    <row r="9" spans="1:29" s="117" customFormat="1" ht="14.4">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201"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1"/>
      <c r="Q11" s="1794" t="str">
        <f t="shared" si="6"/>
        <v>容积率</v>
      </c>
      <c r="R11" s="769" t="s">
        <v>21</v>
      </c>
      <c r="S11" s="770" t="e">
        <f t="shared" si="0"/>
        <v>#N/A</v>
      </c>
      <c r="T11" s="769" t="s">
        <v>21</v>
      </c>
      <c r="U11" s="770" t="e">
        <f t="shared" si="1"/>
        <v>#N/A</v>
      </c>
      <c r="V11" s="769" t="s">
        <v>21</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201"/>
      <c r="Q12" s="1794">
        <f t="shared" si="6"/>
        <v>111</v>
      </c>
      <c r="R12" s="769" t="s">
        <v>21</v>
      </c>
      <c r="S12" s="770">
        <f t="shared" si="0"/>
        <v>100</v>
      </c>
      <c r="T12" s="769" t="s">
        <v>21</v>
      </c>
      <c r="U12" s="770">
        <f t="shared" si="1"/>
        <v>100</v>
      </c>
      <c r="V12" s="769" t="s">
        <v>21</v>
      </c>
      <c r="W12" s="770">
        <f t="shared" si="2"/>
        <v>100</v>
      </c>
      <c r="X12" s="771"/>
      <c r="Y12" s="303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201"/>
      <c r="Q13" s="1794">
        <f t="shared" si="6"/>
        <v>111</v>
      </c>
      <c r="R13" s="769" t="s">
        <v>21</v>
      </c>
      <c r="S13" s="770">
        <f t="shared" si="0"/>
        <v>100</v>
      </c>
      <c r="T13" s="769" t="s">
        <v>21</v>
      </c>
      <c r="U13" s="770">
        <f t="shared" si="1"/>
        <v>100</v>
      </c>
      <c r="V13" s="769" t="s">
        <v>21</v>
      </c>
      <c r="W13" s="770">
        <f t="shared" si="2"/>
        <v>100</v>
      </c>
      <c r="X13" s="771"/>
      <c r="Y13" s="3034"/>
      <c r="Z13" s="55">
        <f t="shared" si="7"/>
        <v>111</v>
      </c>
      <c r="AA13" s="772">
        <f t="shared" si="3"/>
        <v>1</v>
      </c>
      <c r="AB13" s="772">
        <f t="shared" si="4"/>
        <v>1</v>
      </c>
      <c r="AC13" s="772">
        <f t="shared" si="5"/>
        <v>1</v>
      </c>
    </row>
    <row r="14" spans="1:29" ht="15.6"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201"/>
      <c r="Q14" s="1794">
        <f t="shared" si="6"/>
        <v>111</v>
      </c>
      <c r="R14" s="769" t="s">
        <v>21</v>
      </c>
      <c r="S14" s="770">
        <f t="shared" si="0"/>
        <v>100</v>
      </c>
      <c r="T14" s="769" t="s">
        <v>21</v>
      </c>
      <c r="U14" s="770">
        <f t="shared" si="1"/>
        <v>100</v>
      </c>
      <c r="V14" s="769" t="s">
        <v>21</v>
      </c>
      <c r="W14" s="770">
        <f t="shared" si="2"/>
        <v>100</v>
      </c>
      <c r="X14" s="771"/>
      <c r="Y14" s="3034"/>
      <c r="Z14" s="55">
        <f t="shared" si="7"/>
        <v>111</v>
      </c>
      <c r="AA14" s="772">
        <f t="shared" si="3"/>
        <v>1</v>
      </c>
      <c r="AB14" s="772">
        <f t="shared" si="4"/>
        <v>1</v>
      </c>
      <c r="AC14" s="772">
        <f t="shared" si="5"/>
        <v>1</v>
      </c>
    </row>
    <row r="15" spans="1:29" ht="96.6">
      <c r="A15" s="439" t="s">
        <v>2553</v>
      </c>
      <c r="B15" s="69" t="s">
        <v>2080</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8" t="s">
        <v>2554</v>
      </c>
      <c r="Q15" s="1809" t="str">
        <f t="shared" si="6"/>
        <v>居住社区成熟度</v>
      </c>
      <c r="R15" s="773" t="s">
        <v>21</v>
      </c>
      <c r="S15" s="774">
        <f t="shared" si="0"/>
        <v>100</v>
      </c>
      <c r="T15" s="773" t="s">
        <v>21</v>
      </c>
      <c r="U15" s="774">
        <f t="shared" si="1"/>
        <v>100</v>
      </c>
      <c r="V15" s="773" t="s">
        <v>21</v>
      </c>
      <c r="W15" s="774">
        <f t="shared" si="2"/>
        <v>100</v>
      </c>
      <c r="X15" s="1812"/>
      <c r="Y15" s="3221" t="s">
        <v>2554</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29"/>
      <c r="Q16" s="1809"/>
      <c r="R16" s="773"/>
      <c r="S16" s="774"/>
      <c r="T16" s="773"/>
      <c r="U16" s="774"/>
      <c r="V16" s="773"/>
      <c r="W16" s="774"/>
      <c r="X16" s="1812"/>
      <c r="Y16" s="3222"/>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9"/>
      <c r="Q17" s="1809" t="str">
        <f>B17</f>
        <v>交通便捷度</v>
      </c>
      <c r="R17" s="773" t="s">
        <v>21</v>
      </c>
      <c r="S17" s="774">
        <f>F17</f>
        <v>100</v>
      </c>
      <c r="T17" s="773" t="s">
        <v>21</v>
      </c>
      <c r="U17" s="774">
        <f>H17</f>
        <v>100</v>
      </c>
      <c r="V17" s="773" t="s">
        <v>21</v>
      </c>
      <c r="W17" s="774">
        <f>J17</f>
        <v>100</v>
      </c>
      <c r="X17" s="1812"/>
      <c r="Y17" s="3222"/>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29"/>
      <c r="Q18" s="1809"/>
      <c r="R18" s="773"/>
      <c r="S18" s="774"/>
      <c r="T18" s="773"/>
      <c r="U18" s="774"/>
      <c r="V18" s="773"/>
      <c r="W18" s="774"/>
      <c r="X18" s="1812"/>
      <c r="Y18" s="3222"/>
      <c r="Z18" s="1813"/>
      <c r="AA18" s="1810">
        <v>1</v>
      </c>
      <c r="AB18" s="1810">
        <v>1</v>
      </c>
      <c r="AC18" s="1810">
        <v>1</v>
      </c>
    </row>
    <row r="19" spans="1:29" ht="41.4">
      <c r="A19" s="427"/>
      <c r="B19" s="450" t="s">
        <v>2090</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9"/>
      <c r="Q19" s="1809" t="str">
        <f>B19</f>
        <v>公共配套设施</v>
      </c>
      <c r="R19" s="773" t="s">
        <v>21</v>
      </c>
      <c r="S19" s="774">
        <f>F19</f>
        <v>100</v>
      </c>
      <c r="T19" s="773" t="s">
        <v>21</v>
      </c>
      <c r="U19" s="774">
        <f>H19</f>
        <v>100</v>
      </c>
      <c r="V19" s="773" t="s">
        <v>21</v>
      </c>
      <c r="W19" s="774">
        <f>J19</f>
        <v>100</v>
      </c>
      <c r="X19" s="1812"/>
      <c r="Y19" s="3222"/>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29"/>
      <c r="Q20" s="1809"/>
      <c r="R20" s="773"/>
      <c r="S20" s="774"/>
      <c r="T20" s="773"/>
      <c r="U20" s="774"/>
      <c r="V20" s="773"/>
      <c r="W20" s="774"/>
      <c r="X20" s="1812"/>
      <c r="Y20" s="3222"/>
      <c r="Z20" s="1813"/>
      <c r="AA20" s="1810">
        <v>1</v>
      </c>
      <c r="AB20" s="1810">
        <v>1</v>
      </c>
      <c r="AC20" s="1810">
        <v>1</v>
      </c>
    </row>
    <row r="21" spans="1:29" ht="27.6">
      <c r="A21" s="427"/>
      <c r="B21" s="1383" t="s">
        <v>2093</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29"/>
      <c r="Q22" s="1809"/>
      <c r="R22" s="773"/>
      <c r="S22" s="774"/>
      <c r="T22" s="773"/>
      <c r="U22" s="774"/>
      <c r="V22" s="773"/>
      <c r="W22" s="774"/>
      <c r="X22" s="1812"/>
      <c r="Y22" s="3222"/>
      <c r="Z22" s="1813"/>
      <c r="AA22" s="1810">
        <v>1</v>
      </c>
      <c r="AB22" s="1810">
        <v>1</v>
      </c>
      <c r="AC22" s="1810">
        <v>1</v>
      </c>
    </row>
    <row r="23" spans="1:29" ht="55.2">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9"/>
      <c r="Q23" s="1809" t="str">
        <f>B23</f>
        <v>自然及人文环境</v>
      </c>
      <c r="R23" s="773" t="s">
        <v>21</v>
      </c>
      <c r="S23" s="774">
        <f>F23</f>
        <v>100</v>
      </c>
      <c r="T23" s="773" t="s">
        <v>21</v>
      </c>
      <c r="U23" s="774">
        <f>H23</f>
        <v>100</v>
      </c>
      <c r="V23" s="773" t="s">
        <v>21</v>
      </c>
      <c r="W23" s="774">
        <f>J23</f>
        <v>100</v>
      </c>
      <c r="X23" s="1812"/>
      <c r="Y23" s="3222"/>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29"/>
      <c r="Q24" s="1809"/>
      <c r="R24" s="773"/>
      <c r="S24" s="774"/>
      <c r="T24" s="773"/>
      <c r="U24" s="774"/>
      <c r="V24" s="773"/>
      <c r="W24" s="774"/>
      <c r="X24" s="1812"/>
      <c r="Y24" s="3222"/>
      <c r="Z24" s="1813"/>
      <c r="AA24" s="1810">
        <v>1</v>
      </c>
      <c r="AB24" s="1810">
        <v>1</v>
      </c>
      <c r="AC24" s="1810">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2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22"/>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29"/>
      <c r="Q26" s="1809" t="str">
        <f t="shared" si="11"/>
        <v>朝向</v>
      </c>
      <c r="R26" s="773" t="s">
        <v>21</v>
      </c>
      <c r="S26" s="774">
        <f t="shared" si="12"/>
        <v>100</v>
      </c>
      <c r="T26" s="773" t="s">
        <v>21</v>
      </c>
      <c r="U26" s="774">
        <f t="shared" si="13"/>
        <v>100</v>
      </c>
      <c r="V26" s="773" t="s">
        <v>21</v>
      </c>
      <c r="W26" s="774">
        <f t="shared" si="14"/>
        <v>100</v>
      </c>
      <c r="X26" s="1812"/>
      <c r="Y26" s="3222"/>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29"/>
      <c r="Q27" s="1794">
        <f t="shared" si="11"/>
        <v>111</v>
      </c>
      <c r="R27" s="769" t="s">
        <v>21</v>
      </c>
      <c r="S27" s="770">
        <f t="shared" si="12"/>
        <v>100</v>
      </c>
      <c r="T27" s="769" t="s">
        <v>21</v>
      </c>
      <c r="U27" s="770">
        <f t="shared" si="13"/>
        <v>100</v>
      </c>
      <c r="V27" s="769" t="s">
        <v>21</v>
      </c>
      <c r="W27" s="770">
        <f t="shared" si="14"/>
        <v>100</v>
      </c>
      <c r="X27" s="771"/>
      <c r="Y27" s="3222"/>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29"/>
      <c r="Q28" s="1809">
        <f t="shared" si="11"/>
        <v>111</v>
      </c>
      <c r="R28" s="773" t="s">
        <v>21</v>
      </c>
      <c r="S28" s="774">
        <f t="shared" si="12"/>
        <v>100</v>
      </c>
      <c r="T28" s="773" t="s">
        <v>21</v>
      </c>
      <c r="U28" s="774">
        <f t="shared" si="13"/>
        <v>100</v>
      </c>
      <c r="V28" s="773" t="s">
        <v>21</v>
      </c>
      <c r="W28" s="774">
        <f t="shared" si="14"/>
        <v>100</v>
      </c>
      <c r="X28" s="1812"/>
      <c r="Y28" s="322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29"/>
      <c r="Q29" s="1809">
        <f t="shared" si="11"/>
        <v>111</v>
      </c>
      <c r="R29" s="773" t="s">
        <v>21</v>
      </c>
      <c r="S29" s="774">
        <f t="shared" si="12"/>
        <v>100</v>
      </c>
      <c r="T29" s="773" t="s">
        <v>21</v>
      </c>
      <c r="U29" s="774">
        <f t="shared" si="13"/>
        <v>100</v>
      </c>
      <c r="V29" s="773" t="s">
        <v>21</v>
      </c>
      <c r="W29" s="774">
        <f t="shared" si="14"/>
        <v>100</v>
      </c>
      <c r="X29" s="1812"/>
      <c r="Y29" s="322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29"/>
      <c r="Q30" s="1809">
        <f t="shared" si="11"/>
        <v>111</v>
      </c>
      <c r="R30" s="773" t="s">
        <v>21</v>
      </c>
      <c r="S30" s="774">
        <f t="shared" si="12"/>
        <v>100</v>
      </c>
      <c r="T30" s="773" t="s">
        <v>21</v>
      </c>
      <c r="U30" s="774">
        <f t="shared" si="13"/>
        <v>100</v>
      </c>
      <c r="V30" s="773" t="s">
        <v>21</v>
      </c>
      <c r="W30" s="774">
        <f t="shared" si="14"/>
        <v>100</v>
      </c>
      <c r="X30" s="1812"/>
      <c r="Y30" s="3222"/>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29"/>
      <c r="Q31" s="1809">
        <f t="shared" si="11"/>
        <v>111</v>
      </c>
      <c r="R31" s="773" t="s">
        <v>21</v>
      </c>
      <c r="S31" s="774">
        <f t="shared" si="12"/>
        <v>100</v>
      </c>
      <c r="T31" s="773" t="s">
        <v>21</v>
      </c>
      <c r="U31" s="774">
        <f t="shared" si="13"/>
        <v>100</v>
      </c>
      <c r="V31" s="773" t="s">
        <v>21</v>
      </c>
      <c r="W31" s="774">
        <f t="shared" si="14"/>
        <v>100</v>
      </c>
      <c r="X31" s="1812"/>
      <c r="Y31" s="3222"/>
      <c r="Z31" s="1813">
        <f t="shared" si="18"/>
        <v>111</v>
      </c>
      <c r="AA31" s="1810">
        <f t="shared" si="15"/>
        <v>1</v>
      </c>
      <c r="AB31" s="1810">
        <f t="shared" si="16"/>
        <v>1</v>
      </c>
      <c r="AC31" s="1810">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23" t="s">
        <v>2559</v>
      </c>
      <c r="Q32" s="1809" t="str">
        <f t="shared" si="11"/>
        <v>建筑类型</v>
      </c>
      <c r="R32" s="773" t="s">
        <v>21</v>
      </c>
      <c r="S32" s="774">
        <f t="shared" si="12"/>
        <v>100</v>
      </c>
      <c r="T32" s="773" t="s">
        <v>21</v>
      </c>
      <c r="U32" s="774">
        <f t="shared" si="13"/>
        <v>100</v>
      </c>
      <c r="V32" s="773" t="s">
        <v>21</v>
      </c>
      <c r="W32" s="774">
        <f t="shared" si="14"/>
        <v>100</v>
      </c>
      <c r="X32" s="1812"/>
      <c r="Y32" s="3226"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24"/>
      <c r="Q33" s="775" t="str">
        <f t="shared" si="11"/>
        <v>项目建筑规模</v>
      </c>
      <c r="R33" s="776" t="s">
        <v>21</v>
      </c>
      <c r="S33" s="777" t="e">
        <f t="shared" si="12"/>
        <v>#N/A</v>
      </c>
      <c r="T33" s="776" t="s">
        <v>21</v>
      </c>
      <c r="U33" s="777" t="e">
        <f t="shared" si="13"/>
        <v>#N/A</v>
      </c>
      <c r="V33" s="776" t="s">
        <v>21</v>
      </c>
      <c r="W33" s="777" t="e">
        <f t="shared" si="14"/>
        <v>#N/A</v>
      </c>
      <c r="X33" s="778"/>
      <c r="Y33" s="3226"/>
      <c r="Z33" s="779" t="str">
        <f t="shared" si="18"/>
        <v>项目建筑规模</v>
      </c>
      <c r="AA33" s="1810" t="e">
        <f t="shared" si="15"/>
        <v>#N/A</v>
      </c>
      <c r="AB33" s="1810" t="e">
        <f t="shared" si="16"/>
        <v>#N/A</v>
      </c>
      <c r="AC33" s="1810"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24"/>
      <c r="Q34" s="1809" t="str">
        <f t="shared" si="11"/>
        <v>建筑结构</v>
      </c>
      <c r="R34" s="773" t="s">
        <v>21</v>
      </c>
      <c r="S34" s="774">
        <f t="shared" si="12"/>
        <v>100</v>
      </c>
      <c r="T34" s="773" t="s">
        <v>21</v>
      </c>
      <c r="U34" s="774">
        <f t="shared" si="13"/>
        <v>100</v>
      </c>
      <c r="V34" s="773" t="s">
        <v>21</v>
      </c>
      <c r="W34" s="774">
        <f t="shared" si="14"/>
        <v>100</v>
      </c>
      <c r="X34" s="1812"/>
      <c r="Y34" s="3226"/>
      <c r="Z34" s="1813" t="str">
        <f t="shared" si="18"/>
        <v>建筑结构</v>
      </c>
      <c r="AA34" s="1810">
        <f t="shared" si="15"/>
        <v>1</v>
      </c>
      <c r="AB34" s="1810">
        <f t="shared" si="16"/>
        <v>1</v>
      </c>
      <c r="AC34" s="1810">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24"/>
      <c r="Q35" s="1809" t="str">
        <f t="shared" si="11"/>
        <v>建筑品质</v>
      </c>
      <c r="R35" s="773" t="s">
        <v>21</v>
      </c>
      <c r="S35" s="774">
        <f t="shared" si="12"/>
        <v>100</v>
      </c>
      <c r="T35" s="773" t="s">
        <v>21</v>
      </c>
      <c r="U35" s="774">
        <f t="shared" si="13"/>
        <v>100</v>
      </c>
      <c r="V35" s="773" t="s">
        <v>21</v>
      </c>
      <c r="W35" s="774">
        <f t="shared" si="14"/>
        <v>100</v>
      </c>
      <c r="X35" s="1812"/>
      <c r="Y35" s="3226"/>
      <c r="Z35" s="1813" t="str">
        <f t="shared" si="18"/>
        <v>建筑品质</v>
      </c>
      <c r="AA35" s="1810">
        <f t="shared" si="15"/>
        <v>1</v>
      </c>
      <c r="AB35" s="1810">
        <f t="shared" si="16"/>
        <v>1</v>
      </c>
      <c r="AC35" s="1810">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24"/>
      <c r="Q36" s="1809" t="str">
        <f t="shared" si="11"/>
        <v>公共部分装修</v>
      </c>
      <c r="R36" s="773" t="s">
        <v>21</v>
      </c>
      <c r="S36" s="774">
        <f t="shared" si="12"/>
        <v>100</v>
      </c>
      <c r="T36" s="773" t="s">
        <v>21</v>
      </c>
      <c r="U36" s="774">
        <f t="shared" si="13"/>
        <v>100</v>
      </c>
      <c r="V36" s="773" t="s">
        <v>21</v>
      </c>
      <c r="W36" s="774">
        <f t="shared" si="14"/>
        <v>100</v>
      </c>
      <c r="X36" s="1812"/>
      <c r="Y36" s="3226"/>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4"/>
      <c r="Q37" s="1794" t="str">
        <f t="shared" si="11"/>
        <v>成新度</v>
      </c>
      <c r="R37" s="769" t="s">
        <v>21</v>
      </c>
      <c r="S37" s="770" t="e">
        <f t="shared" si="12"/>
        <v>#N/A</v>
      </c>
      <c r="T37" s="769" t="s">
        <v>21</v>
      </c>
      <c r="U37" s="770" t="e">
        <f t="shared" si="13"/>
        <v>#N/A</v>
      </c>
      <c r="V37" s="769" t="s">
        <v>21</v>
      </c>
      <c r="W37" s="770" t="e">
        <f t="shared" si="14"/>
        <v>#N/A</v>
      </c>
      <c r="X37" s="771"/>
      <c r="Y37" s="3226"/>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24" t="s">
        <v>2559</v>
      </c>
      <c r="Q38" s="1809" t="str">
        <f t="shared" si="11"/>
        <v>物业管理</v>
      </c>
      <c r="R38" s="773" t="s">
        <v>21</v>
      </c>
      <c r="S38" s="774">
        <f t="shared" si="12"/>
        <v>100</v>
      </c>
      <c r="T38" s="773" t="s">
        <v>21</v>
      </c>
      <c r="U38" s="774">
        <f t="shared" si="13"/>
        <v>100</v>
      </c>
      <c r="V38" s="773" t="s">
        <v>21</v>
      </c>
      <c r="W38" s="774">
        <f t="shared" si="14"/>
        <v>100</v>
      </c>
      <c r="X38" s="1812"/>
      <c r="Y38" s="3226" t="s">
        <v>2559</v>
      </c>
      <c r="Z38" s="1813" t="str">
        <f t="shared" si="18"/>
        <v>物业管理</v>
      </c>
      <c r="AA38" s="1810">
        <f t="shared" si="15"/>
        <v>1</v>
      </c>
      <c r="AB38" s="1810">
        <f t="shared" si="16"/>
        <v>1</v>
      </c>
      <c r="AC38" s="1810">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24"/>
      <c r="Q39" s="1809" t="str">
        <f t="shared" si="11"/>
        <v>市政基础设施</v>
      </c>
      <c r="R39" s="773" t="s">
        <v>21</v>
      </c>
      <c r="S39" s="774">
        <f t="shared" si="12"/>
        <v>100</v>
      </c>
      <c r="T39" s="773" t="s">
        <v>21</v>
      </c>
      <c r="U39" s="774">
        <f t="shared" si="13"/>
        <v>100</v>
      </c>
      <c r="V39" s="773" t="s">
        <v>21</v>
      </c>
      <c r="W39" s="774">
        <f t="shared" si="14"/>
        <v>100</v>
      </c>
      <c r="X39" s="1812"/>
      <c r="Y39" s="3226"/>
      <c r="Z39" s="1813" t="str">
        <f t="shared" si="18"/>
        <v>市政基础设施</v>
      </c>
      <c r="AA39" s="1810">
        <f t="shared" si="15"/>
        <v>1</v>
      </c>
      <c r="AB39" s="1810">
        <f t="shared" si="16"/>
        <v>1</v>
      </c>
      <c r="AC39" s="1810">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24"/>
      <c r="Q40" s="1809" t="str">
        <f t="shared" si="11"/>
        <v>房型</v>
      </c>
      <c r="R40" s="773" t="s">
        <v>21</v>
      </c>
      <c r="S40" s="774">
        <f t="shared" si="12"/>
        <v>100</v>
      </c>
      <c r="T40" s="773" t="s">
        <v>21</v>
      </c>
      <c r="U40" s="774">
        <f t="shared" si="13"/>
        <v>100</v>
      </c>
      <c r="V40" s="773" t="s">
        <v>21</v>
      </c>
      <c r="W40" s="774">
        <f t="shared" si="14"/>
        <v>100</v>
      </c>
      <c r="X40" s="1812"/>
      <c r="Y40" s="3226"/>
      <c r="Z40" s="1813" t="str">
        <f t="shared" si="18"/>
        <v>房型</v>
      </c>
      <c r="AA40" s="1810">
        <f t="shared" si="15"/>
        <v>1</v>
      </c>
      <c r="AB40" s="1810">
        <f t="shared" si="16"/>
        <v>1</v>
      </c>
      <c r="AC40" s="1810">
        <f t="shared" si="17"/>
        <v>1</v>
      </c>
    </row>
    <row r="41" spans="1:29" s="470" customFormat="1" ht="28.8">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10">
        <f t="shared" si="15"/>
        <v>1</v>
      </c>
      <c r="AB41" s="1810">
        <f t="shared" si="16"/>
        <v>1</v>
      </c>
      <c r="AC41" s="1810">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24"/>
      <c r="Q42" s="1809" t="str">
        <f t="shared" si="11"/>
        <v>内部装修</v>
      </c>
      <c r="R42" s="773" t="s">
        <v>21</v>
      </c>
      <c r="S42" s="774">
        <f t="shared" si="12"/>
        <v>100</v>
      </c>
      <c r="T42" s="773" t="s">
        <v>21</v>
      </c>
      <c r="U42" s="774">
        <f t="shared" si="13"/>
        <v>100</v>
      </c>
      <c r="V42" s="773" t="s">
        <v>21</v>
      </c>
      <c r="W42" s="774">
        <f t="shared" si="14"/>
        <v>100</v>
      </c>
      <c r="X42" s="1812"/>
      <c r="Y42" s="3226"/>
      <c r="Z42" s="1813" t="str">
        <f t="shared" si="18"/>
        <v>内部装修</v>
      </c>
      <c r="AA42" s="1810">
        <f t="shared" si="15"/>
        <v>1</v>
      </c>
      <c r="AB42" s="1810">
        <f t="shared" si="16"/>
        <v>1</v>
      </c>
      <c r="AC42" s="1810">
        <f t="shared" si="17"/>
        <v>1</v>
      </c>
    </row>
    <row r="43" spans="1:29" ht="28.8">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24"/>
      <c r="Q43" s="1809" t="str">
        <f t="shared" si="11"/>
        <v>内部装修维护情况</v>
      </c>
      <c r="R43" s="773" t="s">
        <v>21</v>
      </c>
      <c r="S43" s="774">
        <f t="shared" si="12"/>
        <v>100</v>
      </c>
      <c r="T43" s="773" t="s">
        <v>21</v>
      </c>
      <c r="U43" s="774">
        <f t="shared" si="13"/>
        <v>100</v>
      </c>
      <c r="V43" s="773" t="s">
        <v>21</v>
      </c>
      <c r="W43" s="774">
        <f t="shared" si="14"/>
        <v>100</v>
      </c>
      <c r="X43" s="1812"/>
      <c r="Y43" s="3226"/>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24"/>
      <c r="Q44" s="1794">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24"/>
      <c r="Q45" s="1809">
        <f t="shared" si="11"/>
        <v>111</v>
      </c>
      <c r="R45" s="773" t="s">
        <v>21</v>
      </c>
      <c r="S45" s="774">
        <f t="shared" si="12"/>
        <v>100</v>
      </c>
      <c r="T45" s="773" t="s">
        <v>21</v>
      </c>
      <c r="U45" s="774">
        <f t="shared" si="13"/>
        <v>100</v>
      </c>
      <c r="V45" s="773" t="s">
        <v>21</v>
      </c>
      <c r="W45" s="774">
        <f t="shared" si="14"/>
        <v>100</v>
      </c>
      <c r="X45" s="1812"/>
      <c r="Y45" s="3226"/>
      <c r="Z45" s="1813">
        <f t="shared" si="18"/>
        <v>111</v>
      </c>
      <c r="AA45" s="1810">
        <f t="shared" si="15"/>
        <v>1</v>
      </c>
      <c r="AB45" s="1810">
        <f t="shared" si="16"/>
        <v>1</v>
      </c>
      <c r="AC45" s="1810">
        <f t="shared" si="17"/>
        <v>1</v>
      </c>
    </row>
    <row r="46" spans="1:29" ht="15.6"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25"/>
      <c r="Q46" s="1809">
        <f t="shared" si="11"/>
        <v>111</v>
      </c>
      <c r="R46" s="773" t="s">
        <v>20</v>
      </c>
      <c r="S46" s="774">
        <f t="shared" si="12"/>
        <v>100</v>
      </c>
      <c r="T46" s="773" t="s">
        <v>20</v>
      </c>
      <c r="U46" s="774">
        <f t="shared" si="13"/>
        <v>100</v>
      </c>
      <c r="V46" s="773" t="s">
        <v>20</v>
      </c>
      <c r="W46" s="774">
        <f t="shared" si="14"/>
        <v>100</v>
      </c>
      <c r="X46" s="1812"/>
      <c r="Y46" s="3227"/>
      <c r="Z46" s="1813">
        <f t="shared" si="18"/>
        <v>111</v>
      </c>
      <c r="AA46" s="1810">
        <f t="shared" si="15"/>
        <v>1</v>
      </c>
      <c r="AB46" s="1810">
        <f t="shared" si="16"/>
        <v>1</v>
      </c>
      <c r="AC46" s="1810">
        <f t="shared" si="17"/>
        <v>1</v>
      </c>
    </row>
    <row r="47" spans="1:29" ht="14.4">
      <c r="A47" s="478" t="s">
        <v>2571</v>
      </c>
      <c r="B47" s="479"/>
      <c r="C47" s="1406" t="s">
        <v>19</v>
      </c>
      <c r="D47" s="1407"/>
      <c r="E47" s="1408"/>
      <c r="F47" s="1409"/>
      <c r="G47" s="1410"/>
      <c r="H47" s="1411"/>
      <c r="I47" s="1408"/>
      <c r="J47" s="1411"/>
      <c r="K47" s="2620"/>
      <c r="L47" s="1142"/>
      <c r="M47" s="1143"/>
      <c r="N47" s="1130"/>
      <c r="O47" s="1143"/>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 thickBot="1">
      <c r="A48" s="485" t="s">
        <v>2572</v>
      </c>
      <c r="B48" s="486"/>
      <c r="C48" s="1412" t="e">
        <f>R49</f>
        <v>#DIV/0!</v>
      </c>
      <c r="D48" s="1413"/>
      <c r="E48" s="1414" t="e">
        <f>R48</f>
        <v>#DIV/0!</v>
      </c>
      <c r="F48" s="1414"/>
      <c r="G48" s="1412" t="e">
        <f>T48</f>
        <v>#DIV/0!</v>
      </c>
      <c r="H48" s="1413"/>
      <c r="I48" s="1414" t="e">
        <f>V48</f>
        <v>#DIV/0!</v>
      </c>
      <c r="J48" s="1413"/>
      <c r="K48" s="2621"/>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 thickBot="1">
      <c r="A49" s="491" t="s">
        <v>2573</v>
      </c>
      <c r="B49" s="492"/>
      <c r="C49" s="1415" t="e">
        <f>R49</f>
        <v>#DIV/0!</v>
      </c>
      <c r="D49" s="1416"/>
      <c r="E49" s="1416"/>
      <c r="F49" s="1416"/>
      <c r="G49" s="1416"/>
      <c r="H49" s="1416"/>
      <c r="I49" s="1416"/>
      <c r="J49" s="1416"/>
      <c r="K49" s="2622"/>
      <c r="L49" s="1142"/>
      <c r="M49" s="1143"/>
      <c r="N49" s="1143"/>
      <c r="O49" s="1143"/>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2.2" thickBot="1">
      <c r="A57" s="762" t="s">
        <v>2577</v>
      </c>
      <c r="B57" s="758"/>
      <c r="C57" s="763"/>
      <c r="D57" s="763"/>
      <c r="E57" s="763"/>
      <c r="F57" s="764"/>
      <c r="G57" s="764"/>
      <c r="H57" s="763"/>
      <c r="I57" s="763"/>
      <c r="J57" s="763"/>
      <c r="K57" s="1159"/>
      <c r="L57" s="1160"/>
      <c r="M57" s="1158"/>
      <c r="N57" s="1158"/>
      <c r="O57" s="1158"/>
      <c r="P57" s="2625"/>
      <c r="Q57" s="503"/>
    </row>
    <row r="58" spans="1:29" s="507" customFormat="1" ht="14.4">
      <c r="A58" s="504" t="s">
        <v>2578</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8"/>
      <c r="B59" s="2626"/>
      <c r="C59" s="1572">
        <v>100</v>
      </c>
      <c r="D59" s="510"/>
      <c r="E59" s="511"/>
      <c r="F59" s="511"/>
      <c r="G59" s="511"/>
      <c r="H59" s="511"/>
      <c r="I59" s="511"/>
      <c r="J59" s="511"/>
      <c r="K59" s="511"/>
      <c r="L59" s="511"/>
      <c r="M59" s="512"/>
      <c r="N59" s="511"/>
      <c r="O59" s="512"/>
      <c r="P59" s="2627"/>
    </row>
    <row r="60" spans="1:29" s="117" customFormat="1" ht="15" thickBot="1">
      <c r="A60" s="514" t="s">
        <v>2579</v>
      </c>
      <c r="B60" s="515"/>
      <c r="C60" s="516"/>
      <c r="D60" s="517"/>
      <c r="E60" s="517"/>
      <c r="F60" s="517"/>
      <c r="G60" s="517"/>
      <c r="H60" s="517"/>
      <c r="I60" s="517"/>
      <c r="J60" s="517"/>
      <c r="K60" s="517"/>
      <c r="L60" s="517"/>
      <c r="M60" s="518"/>
      <c r="N60" s="517"/>
      <c r="O60" s="518"/>
      <c r="P60" s="2627"/>
      <c r="Q60" s="503"/>
    </row>
    <row r="61" spans="1:29" s="117" customFormat="1" ht="14.4">
      <c r="A61" s="520" t="s">
        <v>2580</v>
      </c>
      <c r="B61" s="509"/>
      <c r="C61" s="521" t="s">
        <v>2581</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2582</v>
      </c>
      <c r="B63" s="527" t="s">
        <v>2548</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59"/>
      <c r="E73" s="559"/>
      <c r="F73" s="559"/>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2093</v>
      </c>
      <c r="C82" s="538" t="s">
        <v>2598</v>
      </c>
      <c r="D82" s="538" t="s">
        <v>2599</v>
      </c>
      <c r="E82" s="538" t="s">
        <v>2600</v>
      </c>
      <c r="F82" s="538" t="s">
        <v>2601</v>
      </c>
      <c r="G82" s="538" t="s">
        <v>2602</v>
      </c>
      <c r="H82" s="538"/>
      <c r="I82" s="538"/>
      <c r="J82" s="538"/>
      <c r="K82" s="538"/>
      <c r="L82" s="538"/>
      <c r="M82" s="1381"/>
      <c r="N82" s="1152"/>
      <c r="O82" s="1152"/>
      <c r="P82" s="262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2604</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 thickTop="1">
      <c r="A88" s="578"/>
      <c r="B88" s="537" t="s">
        <v>2605</v>
      </c>
      <c r="C88" s="553"/>
      <c r="D88" s="553"/>
      <c r="E88" s="553"/>
      <c r="F88" s="2634"/>
      <c r="G88" s="553"/>
      <c r="H88" s="553"/>
      <c r="I88" s="553"/>
      <c r="J88" s="553"/>
      <c r="K88" s="553"/>
      <c r="L88" s="553"/>
      <c r="M88" s="580"/>
      <c r="N88" s="1150"/>
      <c r="O88" s="1150"/>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4.4" thickTop="1">
      <c r="A90" s="552"/>
      <c r="B90" s="537">
        <f>B27</f>
        <v>111</v>
      </c>
      <c r="C90" s="553"/>
      <c r="D90" s="553"/>
      <c r="E90" s="553"/>
      <c r="F90" s="553"/>
      <c r="G90" s="553"/>
      <c r="H90" s="554"/>
      <c r="I90" s="554"/>
      <c r="J90" s="554"/>
      <c r="K90" s="554"/>
      <c r="L90" s="555"/>
      <c r="M90" s="556"/>
      <c r="N90" s="1153"/>
      <c r="O90" s="1153"/>
      <c r="P90" s="2630"/>
      <c r="Q90" s="558"/>
    </row>
    <row r="91" spans="1:17" s="470" customFormat="1" ht="14.4" thickBot="1">
      <c r="A91" s="552"/>
      <c r="B91" s="542"/>
      <c r="C91" s="559"/>
      <c r="D91" s="559"/>
      <c r="E91" s="559"/>
      <c r="F91" s="559"/>
      <c r="G91" s="559"/>
      <c r="H91" s="561"/>
      <c r="I91" s="561"/>
      <c r="J91" s="561"/>
      <c r="K91" s="561"/>
      <c r="L91" s="561"/>
      <c r="M91" s="562"/>
      <c r="N91" s="1153"/>
      <c r="O91" s="1153"/>
      <c r="P91" s="2630"/>
      <c r="Q91" s="558"/>
    </row>
    <row r="92" spans="1:17" ht="14.4" thickTop="1">
      <c r="A92" s="533"/>
      <c r="B92" s="537">
        <f>B28</f>
        <v>111</v>
      </c>
      <c r="C92" s="553"/>
      <c r="D92" s="553"/>
      <c r="E92" s="553"/>
      <c r="F92" s="553"/>
      <c r="G92" s="582"/>
      <c r="H92" s="582"/>
      <c r="I92" s="582"/>
      <c r="J92" s="582"/>
      <c r="K92" s="583"/>
      <c r="L92" s="584"/>
      <c r="M92" s="585"/>
      <c r="N92" s="1151"/>
      <c r="O92" s="1151"/>
      <c r="P92" s="2629"/>
      <c r="Q92" s="503"/>
    </row>
    <row r="93" spans="1:17" ht="14.4" thickBot="1">
      <c r="A93" s="533"/>
      <c r="B93" s="542"/>
      <c r="C93" s="559"/>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59"/>
      <c r="E95" s="559"/>
      <c r="F95" s="559"/>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69"/>
      <c r="D97" s="569"/>
      <c r="E97" s="569"/>
      <c r="F97" s="569"/>
      <c r="G97" s="535"/>
      <c r="H97" s="535"/>
      <c r="I97" s="535"/>
      <c r="J97" s="535"/>
      <c r="K97" s="535"/>
      <c r="L97" s="535"/>
      <c r="M97" s="536"/>
      <c r="N97" s="1152"/>
      <c r="O97" s="1152"/>
      <c r="P97" s="2629"/>
      <c r="Q97" s="503"/>
    </row>
    <row r="98" spans="1:17" ht="14.4" thickTop="1">
      <c r="A98" s="533"/>
      <c r="B98" s="545">
        <f>B31</f>
        <v>111</v>
      </c>
      <c r="C98" s="586"/>
      <c r="D98" s="586"/>
      <c r="E98" s="586"/>
      <c r="F98" s="586"/>
      <c r="G98" s="586"/>
      <c r="H98" s="586"/>
      <c r="I98" s="586"/>
      <c r="J98" s="586"/>
      <c r="K98" s="587"/>
      <c r="L98" s="588"/>
      <c r="M98" s="589"/>
      <c r="N98" s="1151"/>
      <c r="O98" s="1151"/>
      <c r="P98" s="2629"/>
      <c r="Q98" s="503"/>
    </row>
    <row r="99" spans="1:17" ht="14.4" thickBot="1">
      <c r="A99" s="2635"/>
      <c r="B99" s="568"/>
      <c r="C99" s="590"/>
      <c r="D99" s="590"/>
      <c r="E99" s="590"/>
      <c r="F99" s="590"/>
      <c r="G99" s="590"/>
      <c r="H99" s="590"/>
      <c r="I99" s="590"/>
      <c r="J99" s="590"/>
      <c r="K99" s="590"/>
      <c r="L99" s="590"/>
      <c r="M99" s="591"/>
      <c r="N99" s="1152"/>
      <c r="O99" s="1152"/>
      <c r="P99" s="2629"/>
      <c r="Q99" s="503"/>
    </row>
    <row r="100" spans="1:17" ht="14.4">
      <c r="A100" s="526" t="s">
        <v>2557</v>
      </c>
      <c r="B100" s="527" t="s">
        <v>2606</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2609</v>
      </c>
      <c r="C107" s="582"/>
      <c r="D107" s="582"/>
      <c r="E107" s="582"/>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2610</v>
      </c>
      <c r="C109" s="553"/>
      <c r="D109" s="553"/>
      <c r="E109" s="553"/>
      <c r="F109" s="582"/>
      <c r="G109" s="582"/>
      <c r="H109" s="582"/>
      <c r="I109" s="582"/>
      <c r="J109" s="582"/>
      <c r="K109" s="583"/>
      <c r="L109" s="584"/>
      <c r="M109" s="585"/>
      <c r="N109" s="1151"/>
      <c r="O109" s="1151"/>
      <c r="P109" s="2629"/>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2611</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2612</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2613</v>
      </c>
      <c r="C118" s="582"/>
      <c r="D118" s="582"/>
      <c r="E118" s="582"/>
      <c r="F118" s="582"/>
      <c r="G118" s="582"/>
      <c r="H118" s="582"/>
      <c r="I118" s="582"/>
      <c r="J118" s="582"/>
      <c r="K118" s="583"/>
      <c r="L118" s="584"/>
      <c r="M118" s="585"/>
      <c r="N118" s="1151"/>
      <c r="O118" s="1151"/>
      <c r="P118" s="2629"/>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9.4" thickTop="1">
      <c r="A120" s="592"/>
      <c r="B120" s="537" t="s">
        <v>2568</v>
      </c>
      <c r="C120" s="553"/>
      <c r="D120" s="553"/>
      <c r="E120" s="553"/>
      <c r="F120" s="553"/>
      <c r="G120" s="553"/>
      <c r="H120" s="553"/>
      <c r="I120" s="553"/>
      <c r="J120" s="553"/>
      <c r="K120" s="553"/>
      <c r="L120" s="579"/>
      <c r="M120" s="580"/>
      <c r="N120" s="1153"/>
      <c r="O120" s="1153"/>
      <c r="P120" s="2630"/>
      <c r="Q120" s="558"/>
    </row>
    <row r="121" spans="1:17" s="470" customFormat="1" ht="14.4"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59"/>
      <c r="E129" s="559"/>
      <c r="F129" s="559"/>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3">
        <v>6</v>
      </c>
      <c r="C139" s="1084">
        <v>96</v>
      </c>
      <c r="D139" s="2647" t="s">
        <v>2625</v>
      </c>
      <c r="E139" s="1085">
        <v>100</v>
      </c>
      <c r="F139" s="1086">
        <v>102.5</v>
      </c>
      <c r="G139" s="2647" t="s">
        <v>2625</v>
      </c>
      <c r="H139" s="1087">
        <v>105</v>
      </c>
      <c r="I139" s="2648" t="s">
        <v>2626</v>
      </c>
      <c r="J139" s="1084">
        <v>20</v>
      </c>
      <c r="K139" s="1088">
        <f>C145/(J139-2)</f>
        <v>4.0555555555555553E-3</v>
      </c>
    </row>
    <row r="140" spans="1:17" ht="15">
      <c r="B140" s="1089">
        <v>5</v>
      </c>
      <c r="C140" s="1090">
        <v>100</v>
      </c>
      <c r="D140" s="1090"/>
      <c r="E140" s="1091"/>
      <c r="F140" s="1092">
        <v>102</v>
      </c>
      <c r="G140" s="1090"/>
      <c r="H140" s="1093"/>
      <c r="I140" s="2649" t="s">
        <v>2627</v>
      </c>
      <c r="J140" s="314">
        <f>ROUNDUP((J139-1)/2,0)</f>
        <v>10</v>
      </c>
      <c r="K140" s="1094">
        <v>100</v>
      </c>
    </row>
    <row r="141" spans="1:17" ht="15">
      <c r="B141" s="1089">
        <v>4</v>
      </c>
      <c r="C141" s="1090">
        <v>102</v>
      </c>
      <c r="D141" s="1090"/>
      <c r="E141" s="1091"/>
      <c r="F141" s="1092">
        <v>101.5</v>
      </c>
      <c r="G141" s="1090"/>
      <c r="H141" s="1093"/>
      <c r="I141" s="2649" t="s">
        <v>2628</v>
      </c>
      <c r="J141" s="314">
        <v>1</v>
      </c>
      <c r="K141" s="1095">
        <f>ROUND(100+(J141-J140)*K139*100,1)</f>
        <v>96.4</v>
      </c>
    </row>
    <row r="142" spans="1:17" ht="15">
      <c r="B142" s="1089">
        <v>3</v>
      </c>
      <c r="C142" s="1090">
        <v>103</v>
      </c>
      <c r="D142" s="1090"/>
      <c r="E142" s="1091"/>
      <c r="F142" s="1092">
        <v>101</v>
      </c>
      <c r="G142" s="1090"/>
      <c r="H142" s="1093"/>
      <c r="I142" s="2649" t="s">
        <v>2629</v>
      </c>
      <c r="J142" s="314">
        <f>J139</f>
        <v>20</v>
      </c>
      <c r="K142" s="1096">
        <v>95</v>
      </c>
    </row>
    <row r="143" spans="1:17" ht="15">
      <c r="B143" s="1089">
        <v>2</v>
      </c>
      <c r="C143" s="1090">
        <v>100</v>
      </c>
      <c r="D143" s="1090"/>
      <c r="E143" s="1091"/>
      <c r="F143" s="1092">
        <v>100.5</v>
      </c>
      <c r="G143" s="1090"/>
      <c r="H143" s="1093"/>
      <c r="I143" s="2649" t="s">
        <v>2630</v>
      </c>
      <c r="J143" s="1090">
        <v>15</v>
      </c>
      <c r="K143" s="1095">
        <f>ROUND(100+(J143-J140)*K139*100,1)</f>
        <v>102</v>
      </c>
    </row>
    <row r="144" spans="1:17" ht="15">
      <c r="B144" s="1089">
        <v>1</v>
      </c>
      <c r="C144" s="1090">
        <v>98</v>
      </c>
      <c r="D144" s="2650" t="s">
        <v>2631</v>
      </c>
      <c r="E144" s="1091">
        <v>102</v>
      </c>
      <c r="F144" s="1097">
        <v>100</v>
      </c>
      <c r="G144" s="2650" t="s">
        <v>2631</v>
      </c>
      <c r="H144" s="1093">
        <v>105</v>
      </c>
      <c r="I144" s="2649" t="s">
        <v>2630</v>
      </c>
      <c r="J144" s="1090">
        <v>18</v>
      </c>
      <c r="K144" s="1095">
        <f>ROUND(100+(J144-J140)*K139*100,1)</f>
        <v>103.2</v>
      </c>
    </row>
    <row r="145" spans="2:11" ht="16.2" thickBot="1">
      <c r="B145" s="2651" t="s">
        <v>2632</v>
      </c>
      <c r="C145" s="1098">
        <f>ROUND(MAX(C139:C144)/MIN(C139:C144)-1,3)</f>
        <v>7.2999999999999995E-2</v>
      </c>
      <c r="D145" s="1099"/>
      <c r="E145" s="1099"/>
      <c r="F145" s="2652" t="s">
        <v>2633</v>
      </c>
      <c r="G145" s="2653"/>
      <c r="H145" s="2654"/>
      <c r="I145" s="2655" t="s">
        <v>2630</v>
      </c>
      <c r="J145" s="1100">
        <v>8</v>
      </c>
      <c r="K145" s="1101">
        <f>ROUND(100+(J145-J140)*K139*100,1)</f>
        <v>99.2</v>
      </c>
    </row>
    <row r="147" spans="2:11" ht="14.4">
      <c r="B147" s="2636" t="s">
        <v>2634</v>
      </c>
    </row>
    <row r="148" spans="2:11" ht="14.4">
      <c r="B148" s="2636"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2321</v>
      </c>
      <c r="B2" s="1417" t="e">
        <f ca="1">IF(C2="——",ROUND(C49*D3/10000,0),ROUND(C49*D3/10000,0)-D2)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2323</v>
      </c>
      <c r="B3" s="608" t="e">
        <f ca="1">IF(C2="——",C49,ROUND(B2*10000/D3,0))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214" t="s">
        <v>2642</v>
      </c>
      <c r="AC4" s="3184" t="s">
        <v>2643</v>
      </c>
    </row>
    <row r="5" spans="1:29">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214"/>
      <c r="AC5" s="3185"/>
    </row>
    <row r="6" spans="1:29" ht="15" thickBot="1">
      <c r="A6" s="405"/>
      <c r="B6" s="406"/>
      <c r="C6" s="3197" t="s">
        <v>2540</v>
      </c>
      <c r="D6" s="3198"/>
      <c r="E6" s="3199" t="s">
        <v>2540</v>
      </c>
      <c r="F6" s="3200"/>
      <c r="G6" s="3197" t="s">
        <v>2540</v>
      </c>
      <c r="H6" s="3198"/>
      <c r="I6" s="3197" t="s">
        <v>2540</v>
      </c>
      <c r="J6" s="3198"/>
      <c r="K6" s="609" t="s">
        <v>2541</v>
      </c>
      <c r="L6" s="1129"/>
      <c r="M6" s="1130"/>
      <c r="N6" s="1130"/>
      <c r="O6" s="1130"/>
      <c r="P6" s="3210"/>
      <c r="Q6" s="3211"/>
      <c r="R6" s="3191"/>
      <c r="S6" s="3192"/>
      <c r="T6" s="3212"/>
      <c r="U6" s="3213"/>
      <c r="V6" s="3214"/>
      <c r="W6" s="3214"/>
      <c r="X6" s="1812"/>
      <c r="Y6" s="3212"/>
      <c r="Z6" s="3213"/>
      <c r="AA6" s="3186"/>
      <c r="AB6" s="3214"/>
      <c r="AC6" s="3186"/>
    </row>
    <row r="7" spans="1:29" s="117" customFormat="1" ht="1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7" customFormat="1" ht="1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46" si="3">D8/F8</f>
        <v>#DIV/0!</v>
      </c>
      <c r="AB8" s="772" t="e">
        <f t="shared" ref="AB8:AB46" si="4">D8/H8</f>
        <v>#DIV/0!</v>
      </c>
      <c r="AC8" s="772" t="e">
        <f t="shared" ref="AC8:AC46" si="5">D8/J8</f>
        <v>#DIV/0!</v>
      </c>
    </row>
    <row r="9" spans="1:29" s="117" customFormat="1" ht="14.4">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01"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6"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69">
      <c r="A15" s="439" t="s">
        <v>2553</v>
      </c>
      <c r="B15" s="69"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28" t="s">
        <v>2554</v>
      </c>
      <c r="Q15" s="1809" t="str">
        <f t="shared" si="6"/>
        <v>商业繁华度</v>
      </c>
      <c r="R15" s="773" t="s">
        <v>17</v>
      </c>
      <c r="S15" s="774">
        <f t="shared" si="0"/>
        <v>100</v>
      </c>
      <c r="T15" s="773" t="s">
        <v>17</v>
      </c>
      <c r="U15" s="774">
        <f t="shared" si="1"/>
        <v>100</v>
      </c>
      <c r="V15" s="773" t="s">
        <v>17</v>
      </c>
      <c r="W15" s="774">
        <f t="shared" si="2"/>
        <v>100</v>
      </c>
      <c r="X15" s="1812"/>
      <c r="Y15" s="3221"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29"/>
      <c r="Q16" s="1809"/>
      <c r="R16" s="773"/>
      <c r="S16" s="774"/>
      <c r="T16" s="773"/>
      <c r="U16" s="774"/>
      <c r="V16" s="773"/>
      <c r="W16" s="774"/>
      <c r="X16" s="1812"/>
      <c r="Y16" s="3222"/>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9"/>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29"/>
      <c r="Q18" s="1809"/>
      <c r="R18" s="773"/>
      <c r="S18" s="774"/>
      <c r="T18" s="773"/>
      <c r="U18" s="774"/>
      <c r="V18" s="773"/>
      <c r="W18" s="774"/>
      <c r="X18" s="1812"/>
      <c r="Y18" s="3222"/>
      <c r="Z18" s="1813"/>
      <c r="AA18" s="1810">
        <v>1</v>
      </c>
      <c r="AB18" s="1810">
        <v>1</v>
      </c>
      <c r="AC18" s="1810">
        <v>1</v>
      </c>
    </row>
    <row r="19" spans="1:29" ht="41.4">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9"/>
      <c r="Q19" s="1809" t="str">
        <f>B19</f>
        <v>公共配套设施</v>
      </c>
      <c r="R19" s="773" t="s">
        <v>17</v>
      </c>
      <c r="S19" s="774">
        <f>F19</f>
        <v>100</v>
      </c>
      <c r="T19" s="773" t="s">
        <v>17</v>
      </c>
      <c r="U19" s="774">
        <f>H19</f>
        <v>100</v>
      </c>
      <c r="V19" s="773" t="s">
        <v>17</v>
      </c>
      <c r="W19" s="774">
        <f>J19</f>
        <v>100</v>
      </c>
      <c r="X19" s="1812"/>
      <c r="Y19" s="322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29"/>
      <c r="Q20" s="1809"/>
      <c r="R20" s="773"/>
      <c r="S20" s="774"/>
      <c r="T20" s="773"/>
      <c r="U20" s="774"/>
      <c r="V20" s="773"/>
      <c r="W20" s="774"/>
      <c r="X20" s="1812"/>
      <c r="Y20" s="3222"/>
      <c r="Z20" s="1813"/>
      <c r="AA20" s="1810">
        <v>1</v>
      </c>
      <c r="AB20" s="1810">
        <v>1</v>
      </c>
      <c r="AC20" s="1810">
        <v>1</v>
      </c>
    </row>
    <row r="21" spans="1:29" ht="27.6">
      <c r="A21" s="427"/>
      <c r="B21" s="1383"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29"/>
      <c r="Q22" s="1809"/>
      <c r="R22" s="773"/>
      <c r="S22" s="774"/>
      <c r="T22" s="773"/>
      <c r="U22" s="774"/>
      <c r="V22" s="773"/>
      <c r="W22" s="774"/>
      <c r="X22" s="1812"/>
      <c r="Y22" s="3222"/>
      <c r="Z22" s="1813"/>
      <c r="AA22" s="1810">
        <v>1</v>
      </c>
      <c r="AB22" s="1810">
        <v>1</v>
      </c>
      <c r="AC22" s="1810">
        <v>1</v>
      </c>
    </row>
    <row r="23" spans="1:29" ht="55.2">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9"/>
      <c r="Q23" s="1809" t="str">
        <f>B23</f>
        <v>自然及人文环境</v>
      </c>
      <c r="R23" s="773" t="s">
        <v>17</v>
      </c>
      <c r="S23" s="774">
        <f>F23</f>
        <v>100</v>
      </c>
      <c r="T23" s="773" t="s">
        <v>17</v>
      </c>
      <c r="U23" s="774">
        <f>H23</f>
        <v>100</v>
      </c>
      <c r="V23" s="773" t="s">
        <v>17</v>
      </c>
      <c r="W23" s="774">
        <f>J23</f>
        <v>100</v>
      </c>
      <c r="X23" s="1812"/>
      <c r="Y23" s="3222"/>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29"/>
      <c r="Q24" s="1809"/>
      <c r="R24" s="773"/>
      <c r="S24" s="774"/>
      <c r="T24" s="773"/>
      <c r="U24" s="774"/>
      <c r="V24" s="773"/>
      <c r="W24" s="774"/>
      <c r="X24" s="1812"/>
      <c r="Y24" s="3222"/>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9"/>
      <c r="Q25" s="1809" t="str">
        <f t="shared" ref="Q25:Q46" si="11">B25</f>
        <v>临街状况</v>
      </c>
      <c r="R25" s="773" t="s">
        <v>17</v>
      </c>
      <c r="S25" s="774">
        <f>F25</f>
        <v>100</v>
      </c>
      <c r="T25" s="773" t="s">
        <v>17</v>
      </c>
      <c r="U25" s="774">
        <f>H25</f>
        <v>100</v>
      </c>
      <c r="V25" s="773" t="s">
        <v>17</v>
      </c>
      <c r="W25" s="774">
        <f>J25</f>
        <v>100</v>
      </c>
      <c r="X25" s="1812"/>
      <c r="Y25" s="3222"/>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9"/>
      <c r="Q26" s="1809" t="str">
        <f t="shared" si="11"/>
        <v>平面位置/可视性</v>
      </c>
      <c r="R26" s="773" t="s">
        <v>17</v>
      </c>
      <c r="S26" s="774">
        <f>F26</f>
        <v>100</v>
      </c>
      <c r="T26" s="773" t="s">
        <v>17</v>
      </c>
      <c r="U26" s="774">
        <f>H26</f>
        <v>100</v>
      </c>
      <c r="V26" s="773" t="s">
        <v>17</v>
      </c>
      <c r="W26" s="774">
        <f>J26</f>
        <v>100</v>
      </c>
      <c r="X26" s="1812"/>
      <c r="Y26" s="3222"/>
      <c r="Z26" s="1813" t="str">
        <f>Q26</f>
        <v>平面位置/可视性</v>
      </c>
      <c r="AA26" s="1810">
        <f t="shared" si="3"/>
        <v>1</v>
      </c>
      <c r="AB26" s="1810">
        <f t="shared" si="4"/>
        <v>1</v>
      </c>
      <c r="AC26" s="1810">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29"/>
      <c r="Q27" s="1794" t="str">
        <f t="shared" si="11"/>
        <v>人流量</v>
      </c>
      <c r="R27" s="769" t="s">
        <v>17</v>
      </c>
      <c r="S27" s="770">
        <f>F27</f>
        <v>100</v>
      </c>
      <c r="T27" s="769" t="s">
        <v>17</v>
      </c>
      <c r="U27" s="770">
        <f>H27</f>
        <v>100</v>
      </c>
      <c r="V27" s="769" t="s">
        <v>17</v>
      </c>
      <c r="W27" s="770">
        <f>J27</f>
        <v>100</v>
      </c>
      <c r="X27" s="771"/>
      <c r="Y27" s="3222"/>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9"/>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2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9"/>
      <c r="Q29" s="1809">
        <f t="shared" si="11"/>
        <v>111</v>
      </c>
      <c r="R29" s="773" t="s">
        <v>17</v>
      </c>
      <c r="S29" s="774">
        <f t="shared" si="12"/>
        <v>100</v>
      </c>
      <c r="T29" s="773" t="s">
        <v>17</v>
      </c>
      <c r="U29" s="774">
        <f t="shared" si="13"/>
        <v>100</v>
      </c>
      <c r="V29" s="773" t="s">
        <v>17</v>
      </c>
      <c r="W29" s="774">
        <f t="shared" si="14"/>
        <v>100</v>
      </c>
      <c r="X29" s="1812"/>
      <c r="Y29" s="322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9"/>
      <c r="Q30" s="1809">
        <f t="shared" si="11"/>
        <v>111</v>
      </c>
      <c r="R30" s="773" t="s">
        <v>17</v>
      </c>
      <c r="S30" s="774">
        <f t="shared" si="12"/>
        <v>100</v>
      </c>
      <c r="T30" s="773" t="s">
        <v>17</v>
      </c>
      <c r="U30" s="774">
        <f t="shared" si="13"/>
        <v>100</v>
      </c>
      <c r="V30" s="773" t="s">
        <v>17</v>
      </c>
      <c r="W30" s="774">
        <f t="shared" si="14"/>
        <v>100</v>
      </c>
      <c r="X30" s="1812"/>
      <c r="Y30" s="3222"/>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9"/>
      <c r="Q31" s="1809">
        <f t="shared" si="11"/>
        <v>111</v>
      </c>
      <c r="R31" s="773" t="s">
        <v>17</v>
      </c>
      <c r="S31" s="774">
        <f t="shared" si="12"/>
        <v>100</v>
      </c>
      <c r="T31" s="773" t="s">
        <v>17</v>
      </c>
      <c r="U31" s="774">
        <f t="shared" si="13"/>
        <v>100</v>
      </c>
      <c r="V31" s="773" t="s">
        <v>17</v>
      </c>
      <c r="W31" s="774">
        <f t="shared" si="14"/>
        <v>100</v>
      </c>
      <c r="X31" s="1812"/>
      <c r="Y31" s="3222"/>
      <c r="Z31" s="1813">
        <f t="shared" si="15"/>
        <v>111</v>
      </c>
      <c r="AA31" s="1810">
        <f t="shared" si="3"/>
        <v>1</v>
      </c>
      <c r="AB31" s="1810">
        <f t="shared" si="4"/>
        <v>1</v>
      </c>
      <c r="AC31" s="1810">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23" t="s">
        <v>2559</v>
      </c>
      <c r="Q32" s="1809" t="str">
        <f t="shared" si="11"/>
        <v>商业类型</v>
      </c>
      <c r="R32" s="773" t="s">
        <v>17</v>
      </c>
      <c r="S32" s="774">
        <f t="shared" si="12"/>
        <v>100</v>
      </c>
      <c r="T32" s="773" t="s">
        <v>17</v>
      </c>
      <c r="U32" s="774">
        <f t="shared" si="13"/>
        <v>100</v>
      </c>
      <c r="V32" s="773" t="s">
        <v>17</v>
      </c>
      <c r="W32" s="774">
        <f t="shared" si="14"/>
        <v>100</v>
      </c>
      <c r="X32" s="1812"/>
      <c r="Y32" s="3226"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24"/>
      <c r="Q33" s="775" t="str">
        <f t="shared" si="11"/>
        <v>项目建筑规模</v>
      </c>
      <c r="R33" s="776" t="s">
        <v>17</v>
      </c>
      <c r="S33" s="777" t="e">
        <f t="shared" si="12"/>
        <v>#N/A</v>
      </c>
      <c r="T33" s="776" t="s">
        <v>17</v>
      </c>
      <c r="U33" s="777" t="e">
        <f t="shared" si="13"/>
        <v>#N/A</v>
      </c>
      <c r="V33" s="776" t="s">
        <v>17</v>
      </c>
      <c r="W33" s="777" t="e">
        <f t="shared" si="14"/>
        <v>#N/A</v>
      </c>
      <c r="X33" s="778"/>
      <c r="Y33" s="3226"/>
      <c r="Z33" s="779" t="str">
        <f t="shared" si="15"/>
        <v>项目建筑规模</v>
      </c>
      <c r="AA33" s="1810" t="e">
        <f t="shared" si="3"/>
        <v>#N/A</v>
      </c>
      <c r="AB33" s="1810" t="e">
        <f t="shared" si="4"/>
        <v>#N/A</v>
      </c>
      <c r="AC33" s="1810"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24"/>
      <c r="Q34" s="1809" t="str">
        <f t="shared" si="11"/>
        <v>建筑结构</v>
      </c>
      <c r="R34" s="773" t="s">
        <v>17</v>
      </c>
      <c r="S34" s="774">
        <f t="shared" si="12"/>
        <v>100</v>
      </c>
      <c r="T34" s="773" t="s">
        <v>17</v>
      </c>
      <c r="U34" s="774">
        <f t="shared" si="13"/>
        <v>100</v>
      </c>
      <c r="V34" s="773" t="s">
        <v>17</v>
      </c>
      <c r="W34" s="774">
        <f t="shared" si="14"/>
        <v>100</v>
      </c>
      <c r="X34" s="1812"/>
      <c r="Y34" s="3226"/>
      <c r="Z34" s="1813" t="str">
        <f t="shared" si="15"/>
        <v>建筑结构</v>
      </c>
      <c r="AA34" s="1810">
        <f t="shared" si="3"/>
        <v>1</v>
      </c>
      <c r="AB34" s="1810">
        <f t="shared" si="4"/>
        <v>1</v>
      </c>
      <c r="AC34" s="1810">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24"/>
      <c r="Q35" s="1809" t="str">
        <f t="shared" si="11"/>
        <v>公共部分装修</v>
      </c>
      <c r="R35" s="773" t="s">
        <v>17</v>
      </c>
      <c r="S35" s="774">
        <f t="shared" si="12"/>
        <v>100</v>
      </c>
      <c r="T35" s="773" t="s">
        <v>17</v>
      </c>
      <c r="U35" s="774">
        <f t="shared" si="13"/>
        <v>100</v>
      </c>
      <c r="V35" s="773" t="s">
        <v>17</v>
      </c>
      <c r="W35" s="774">
        <f t="shared" si="14"/>
        <v>100</v>
      </c>
      <c r="X35" s="1812"/>
      <c r="Y35" s="3226"/>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24"/>
      <c r="Q36" s="1809" t="str">
        <f t="shared" si="11"/>
        <v>成新度</v>
      </c>
      <c r="R36" s="773" t="s">
        <v>17</v>
      </c>
      <c r="S36" s="774" t="e">
        <f t="shared" si="12"/>
        <v>#N/A</v>
      </c>
      <c r="T36" s="773" t="s">
        <v>17</v>
      </c>
      <c r="U36" s="774" t="e">
        <f t="shared" si="13"/>
        <v>#N/A</v>
      </c>
      <c r="V36" s="773" t="s">
        <v>17</v>
      </c>
      <c r="W36" s="774" t="e">
        <f t="shared" si="14"/>
        <v>#N/A</v>
      </c>
      <c r="X36" s="1812"/>
      <c r="Y36" s="3226"/>
      <c r="Z36" s="1813" t="str">
        <f t="shared" si="15"/>
        <v>成新度</v>
      </c>
      <c r="AA36" s="1810" t="e">
        <f t="shared" si="3"/>
        <v>#N/A</v>
      </c>
      <c r="AB36" s="1810" t="e">
        <f t="shared" si="4"/>
        <v>#N/A</v>
      </c>
      <c r="AC36" s="1810" t="e">
        <f t="shared" si="5"/>
        <v>#N/A</v>
      </c>
    </row>
    <row r="37" spans="1:29" s="117" customFormat="1" ht="15">
      <c r="A37" s="472"/>
      <c r="B37" s="421" t="s">
        <v>2657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24"/>
      <c r="Q37" s="1794"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24" t="s">
        <v>2559</v>
      </c>
      <c r="Q38" s="1809" t="str">
        <f t="shared" si="11"/>
        <v>业态</v>
      </c>
      <c r="R38" s="773" t="s">
        <v>17</v>
      </c>
      <c r="S38" s="774">
        <f t="shared" si="12"/>
        <v>100</v>
      </c>
      <c r="T38" s="773" t="s">
        <v>17</v>
      </c>
      <c r="U38" s="774">
        <f t="shared" si="13"/>
        <v>100</v>
      </c>
      <c r="V38" s="773" t="s">
        <v>17</v>
      </c>
      <c r="W38" s="774">
        <f t="shared" si="14"/>
        <v>100</v>
      </c>
      <c r="X38" s="1812"/>
      <c r="Y38" s="3226" t="s">
        <v>2559</v>
      </c>
      <c r="Z38" s="1813" t="str">
        <f t="shared" si="15"/>
        <v>业态</v>
      </c>
      <c r="AA38" s="1810">
        <f t="shared" si="3"/>
        <v>1</v>
      </c>
      <c r="AB38" s="1810">
        <f t="shared" si="4"/>
        <v>1</v>
      </c>
      <c r="AC38" s="1810">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24"/>
      <c r="Q39" s="1809" t="str">
        <f t="shared" si="11"/>
        <v>层高</v>
      </c>
      <c r="R39" s="773" t="s">
        <v>17</v>
      </c>
      <c r="S39" s="774">
        <f t="shared" si="12"/>
        <v>100</v>
      </c>
      <c r="T39" s="773" t="s">
        <v>17</v>
      </c>
      <c r="U39" s="774">
        <f t="shared" si="13"/>
        <v>100</v>
      </c>
      <c r="V39" s="773" t="s">
        <v>17</v>
      </c>
      <c r="W39" s="774">
        <f t="shared" si="14"/>
        <v>100</v>
      </c>
      <c r="X39" s="1812"/>
      <c r="Y39" s="3226"/>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4"/>
      <c r="Q40" s="1809" t="str">
        <f t="shared" si="11"/>
        <v>单套建筑面积</v>
      </c>
      <c r="R40" s="773" t="s">
        <v>17</v>
      </c>
      <c r="S40" s="774">
        <f t="shared" si="12"/>
        <v>100</v>
      </c>
      <c r="T40" s="773" t="s">
        <v>17</v>
      </c>
      <c r="U40" s="774">
        <f t="shared" si="13"/>
        <v>100</v>
      </c>
      <c r="V40" s="773" t="s">
        <v>17</v>
      </c>
      <c r="W40" s="774">
        <f t="shared" si="14"/>
        <v>100</v>
      </c>
      <c r="X40" s="1812"/>
      <c r="Y40" s="3226"/>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10">
        <f t="shared" si="3"/>
        <v>1</v>
      </c>
      <c r="AB41" s="1810">
        <f t="shared" si="4"/>
        <v>1</v>
      </c>
      <c r="AC41" s="1810">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24"/>
      <c r="Q42" s="1809" t="str">
        <f t="shared" si="11"/>
        <v>内部装修</v>
      </c>
      <c r="R42" s="773" t="s">
        <v>17</v>
      </c>
      <c r="S42" s="774">
        <f t="shared" si="12"/>
        <v>100</v>
      </c>
      <c r="T42" s="773" t="s">
        <v>17</v>
      </c>
      <c r="U42" s="774">
        <f t="shared" si="13"/>
        <v>100</v>
      </c>
      <c r="V42" s="773" t="s">
        <v>17</v>
      </c>
      <c r="W42" s="774">
        <f t="shared" si="14"/>
        <v>100</v>
      </c>
      <c r="X42" s="1812"/>
      <c r="Y42" s="3226"/>
      <c r="Z42" s="1813" t="str">
        <f t="shared" si="15"/>
        <v>内部装修</v>
      </c>
      <c r="AA42" s="1810">
        <f t="shared" si="3"/>
        <v>1</v>
      </c>
      <c r="AB42" s="1810">
        <f t="shared" si="4"/>
        <v>1</v>
      </c>
      <c r="AC42" s="1810">
        <f t="shared" si="5"/>
        <v>1</v>
      </c>
    </row>
    <row r="43" spans="1:29" ht="28.8">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24"/>
      <c r="Q43" s="1809" t="str">
        <f t="shared" si="11"/>
        <v>内部装修维护情况</v>
      </c>
      <c r="R43" s="773" t="s">
        <v>17</v>
      </c>
      <c r="S43" s="774">
        <f t="shared" si="12"/>
        <v>100</v>
      </c>
      <c r="T43" s="773" t="s">
        <v>17</v>
      </c>
      <c r="U43" s="774">
        <f t="shared" si="13"/>
        <v>100</v>
      </c>
      <c r="V43" s="773" t="s">
        <v>17</v>
      </c>
      <c r="W43" s="774">
        <f t="shared" si="14"/>
        <v>100</v>
      </c>
      <c r="X43" s="1812"/>
      <c r="Y43" s="3226"/>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4"/>
      <c r="Q44" s="1794">
        <f t="shared" si="11"/>
        <v>111</v>
      </c>
      <c r="R44" s="769" t="s">
        <v>17</v>
      </c>
      <c r="S44" s="770">
        <f t="shared" si="12"/>
        <v>100</v>
      </c>
      <c r="T44" s="769" t="s">
        <v>17</v>
      </c>
      <c r="U44" s="770">
        <f t="shared" si="13"/>
        <v>100</v>
      </c>
      <c r="V44" s="769" t="s">
        <v>17</v>
      </c>
      <c r="W44" s="770">
        <f t="shared" si="14"/>
        <v>100</v>
      </c>
      <c r="X44" s="771"/>
      <c r="Y44" s="3226"/>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4"/>
      <c r="Q45" s="1809">
        <f t="shared" si="11"/>
        <v>111</v>
      </c>
      <c r="R45" s="773" t="s">
        <v>17</v>
      </c>
      <c r="S45" s="774">
        <f t="shared" si="12"/>
        <v>100</v>
      </c>
      <c r="T45" s="773" t="s">
        <v>17</v>
      </c>
      <c r="U45" s="774">
        <f t="shared" si="13"/>
        <v>100</v>
      </c>
      <c r="V45" s="773" t="s">
        <v>17</v>
      </c>
      <c r="W45" s="774">
        <f t="shared" si="14"/>
        <v>100</v>
      </c>
      <c r="X45" s="1812"/>
      <c r="Y45" s="3226"/>
      <c r="Z45" s="1813">
        <f t="shared" si="15"/>
        <v>111</v>
      </c>
      <c r="AA45" s="1810">
        <f t="shared" si="3"/>
        <v>1</v>
      </c>
      <c r="AB45" s="1810">
        <f t="shared" si="4"/>
        <v>1</v>
      </c>
      <c r="AC45" s="1810">
        <f t="shared" si="5"/>
        <v>1</v>
      </c>
    </row>
    <row r="46" spans="1:29" ht="15.6"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5"/>
      <c r="Q46" s="1809">
        <f t="shared" si="11"/>
        <v>111</v>
      </c>
      <c r="R46" s="773" t="s">
        <v>17</v>
      </c>
      <c r="S46" s="774">
        <f t="shared" si="12"/>
        <v>100</v>
      </c>
      <c r="T46" s="773" t="s">
        <v>17</v>
      </c>
      <c r="U46" s="774">
        <f t="shared" si="13"/>
        <v>100</v>
      </c>
      <c r="V46" s="773" t="s">
        <v>17</v>
      </c>
      <c r="W46" s="774">
        <f t="shared" si="14"/>
        <v>100</v>
      </c>
      <c r="X46" s="1812"/>
      <c r="Y46" s="3227"/>
      <c r="Z46" s="1813">
        <f t="shared" si="15"/>
        <v>111</v>
      </c>
      <c r="AA46" s="1810">
        <f t="shared" si="3"/>
        <v>1</v>
      </c>
      <c r="AB46" s="1810">
        <f t="shared" si="4"/>
        <v>1</v>
      </c>
      <c r="AC46" s="1810">
        <f t="shared" si="5"/>
        <v>1</v>
      </c>
    </row>
    <row r="47" spans="1:29" ht="14.4">
      <c r="A47" s="478" t="s">
        <v>2571</v>
      </c>
      <c r="B47" s="479"/>
      <c r="C47" s="1406" t="s">
        <v>1</v>
      </c>
      <c r="D47" s="1407"/>
      <c r="E47" s="1408"/>
      <c r="F47" s="1409"/>
      <c r="G47" s="1410"/>
      <c r="H47" s="1411"/>
      <c r="I47" s="1408"/>
      <c r="J47" s="1411"/>
      <c r="K47" s="782"/>
      <c r="L47" s="1142"/>
      <c r="M47" s="1143"/>
      <c r="N47" s="1130"/>
      <c r="O47" s="1143"/>
      <c r="P47" s="3219" t="str">
        <f>A47</f>
        <v>成交单价（元/平方米）</v>
      </c>
      <c r="Q47" s="3219"/>
      <c r="R47" s="3214">
        <f>E47</f>
        <v>0</v>
      </c>
      <c r="S47" s="3214"/>
      <c r="T47" s="3214">
        <f>G47</f>
        <v>0</v>
      </c>
      <c r="U47" s="3214"/>
      <c r="V47" s="3214">
        <f>I47</f>
        <v>0</v>
      </c>
      <c r="W47" s="3214"/>
      <c r="X47" s="758"/>
      <c r="Y47" s="780"/>
      <c r="Z47" s="758"/>
      <c r="AA47" s="758"/>
      <c r="AB47" s="758"/>
      <c r="AC47" s="758"/>
    </row>
    <row r="48" spans="1:29" ht="1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 thickBot="1">
      <c r="A49" s="491" t="s">
        <v>2664</v>
      </c>
      <c r="B49" s="492"/>
      <c r="C49" s="1416" t="e">
        <f>R49</f>
        <v>#DIV/0!</v>
      </c>
      <c r="D49" s="1416"/>
      <c r="E49" s="1416"/>
      <c r="F49" s="1416"/>
      <c r="G49" s="1416"/>
      <c r="H49" s="1416"/>
      <c r="I49" s="1416"/>
      <c r="J49" s="1416"/>
      <c r="K49" s="784"/>
      <c r="L49" s="1142"/>
      <c r="M49" s="1143"/>
      <c r="N49" s="1130"/>
      <c r="O49" s="1143"/>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4.4">
      <c r="A58" s="504" t="s">
        <v>2542</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8"/>
      <c r="B59" s="509"/>
      <c r="C59" s="1572">
        <v>100</v>
      </c>
      <c r="D59" s="511"/>
      <c r="E59" s="511"/>
      <c r="F59" s="511"/>
      <c r="G59" s="511"/>
      <c r="H59" s="511"/>
      <c r="I59" s="511"/>
      <c r="J59" s="511"/>
      <c r="K59" s="511"/>
      <c r="L59" s="511"/>
      <c r="M59" s="512"/>
      <c r="N59" s="511"/>
      <c r="O59" s="512"/>
      <c r="P59" s="2627"/>
    </row>
    <row r="60" spans="1:29" s="117" customFormat="1" ht="15" thickBot="1">
      <c r="A60" s="514" t="s">
        <v>2579</v>
      </c>
      <c r="B60" s="515"/>
      <c r="C60" s="516"/>
      <c r="D60" s="517"/>
      <c r="E60" s="517"/>
      <c r="F60" s="517"/>
      <c r="G60" s="517"/>
      <c r="H60" s="517"/>
      <c r="I60" s="517"/>
      <c r="J60" s="517"/>
      <c r="K60" s="517"/>
      <c r="L60" s="517"/>
      <c r="M60" s="518"/>
      <c r="N60" s="517"/>
      <c r="O60" s="518"/>
      <c r="P60" s="2627"/>
      <c r="Q60" s="503"/>
    </row>
    <row r="61" spans="1:29" s="117" customFormat="1" ht="14.4">
      <c r="A61" s="520" t="s">
        <v>2544</v>
      </c>
      <c r="B61" s="509"/>
      <c r="C61" s="521" t="s">
        <v>2646</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2582</v>
      </c>
      <c r="B63" s="527" t="s">
        <v>2548</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35"/>
      <c r="E73" s="535"/>
      <c r="F73" s="535"/>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2649</v>
      </c>
      <c r="C82" s="659" t="s">
        <v>2669</v>
      </c>
      <c r="D82" s="659" t="s">
        <v>2670</v>
      </c>
      <c r="E82" s="659" t="s">
        <v>2671</v>
      </c>
      <c r="F82" s="659" t="s">
        <v>2672</v>
      </c>
      <c r="G82" s="659" t="s">
        <v>2673</v>
      </c>
      <c r="H82" s="538"/>
      <c r="I82" s="538"/>
      <c r="J82" s="538"/>
      <c r="K82" s="538"/>
      <c r="L82" s="538"/>
      <c r="M82" s="1381"/>
      <c r="N82" s="1152"/>
      <c r="O82" s="1152"/>
      <c r="P82" s="2629"/>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2674</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4.4" thickBot="1">
      <c r="A89" s="578"/>
      <c r="B89" s="542"/>
      <c r="C89" s="559"/>
      <c r="D89" s="535"/>
      <c r="E89" s="535"/>
      <c r="F89" s="535"/>
      <c r="G89" s="535"/>
      <c r="H89" s="535"/>
      <c r="I89" s="535"/>
      <c r="J89" s="535"/>
      <c r="K89" s="535"/>
      <c r="L89" s="535"/>
      <c r="M89" s="535"/>
      <c r="N89" s="1152"/>
      <c r="O89" s="1152"/>
      <c r="P89" s="2629"/>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4.4" thickTop="1">
      <c r="A92" s="533"/>
      <c r="B92" s="537" t="str">
        <f>B28</f>
        <v>楼层</v>
      </c>
      <c r="C92" s="553"/>
      <c r="D92" s="553"/>
      <c r="E92" s="553"/>
      <c r="F92" s="553"/>
      <c r="G92" s="553"/>
      <c r="H92" s="553"/>
      <c r="I92" s="553"/>
      <c r="J92" s="553"/>
      <c r="K92" s="553"/>
      <c r="L92" s="579"/>
      <c r="M92" s="580"/>
      <c r="N92" s="1151"/>
      <c r="O92" s="1151"/>
      <c r="P92" s="2629"/>
      <c r="Q92" s="503"/>
    </row>
    <row r="93" spans="1:17" ht="14.4" thickBot="1">
      <c r="A93" s="533"/>
      <c r="B93" s="542"/>
      <c r="C93" s="535"/>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35"/>
      <c r="E95" s="535"/>
      <c r="F95" s="535"/>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59"/>
      <c r="D97" s="535"/>
      <c r="E97" s="535"/>
      <c r="F97" s="535"/>
      <c r="G97" s="535"/>
      <c r="H97" s="535"/>
      <c r="I97" s="535"/>
      <c r="J97" s="535"/>
      <c r="K97" s="535"/>
      <c r="L97" s="535"/>
      <c r="M97" s="536"/>
      <c r="N97" s="1152"/>
      <c r="O97" s="1152"/>
      <c r="P97" s="2629"/>
      <c r="Q97" s="503"/>
    </row>
    <row r="98" spans="1:17" ht="14.4" thickTop="1">
      <c r="A98" s="533"/>
      <c r="B98" s="545">
        <f>B31</f>
        <v>111</v>
      </c>
      <c r="C98" s="553"/>
      <c r="D98" s="553"/>
      <c r="E98" s="553"/>
      <c r="F98" s="553"/>
      <c r="G98" s="586"/>
      <c r="H98" s="586"/>
      <c r="I98" s="586"/>
      <c r="J98" s="586"/>
      <c r="K98" s="587"/>
      <c r="L98" s="588"/>
      <c r="M98" s="589"/>
      <c r="N98" s="1151"/>
      <c r="O98" s="1151"/>
      <c r="P98" s="2629"/>
      <c r="Q98" s="503"/>
    </row>
    <row r="99" spans="1:17" ht="14.4" thickBot="1">
      <c r="A99" s="2635"/>
      <c r="B99" s="568"/>
      <c r="C99" s="569"/>
      <c r="D99" s="569"/>
      <c r="E99" s="569"/>
      <c r="F99" s="569"/>
      <c r="G99" s="590"/>
      <c r="H99" s="590"/>
      <c r="I99" s="590"/>
      <c r="J99" s="590"/>
      <c r="K99" s="590"/>
      <c r="L99" s="590"/>
      <c r="M99" s="591"/>
      <c r="N99" s="1152"/>
      <c r="O99" s="1152"/>
      <c r="P99" s="2629"/>
      <c r="Q99" s="503"/>
    </row>
    <row r="100" spans="1:17" ht="14.4">
      <c r="A100" s="526" t="s">
        <v>2557</v>
      </c>
      <c r="B100" s="527" t="s">
        <v>2675</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2610</v>
      </c>
      <c r="C107" s="553"/>
      <c r="D107" s="553"/>
      <c r="E107" s="553"/>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0"/>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2676</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2677</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2678</v>
      </c>
      <c r="C118" s="626"/>
      <c r="D118" s="626"/>
      <c r="E118" s="626"/>
      <c r="F118" s="626"/>
      <c r="G118" s="626"/>
      <c r="H118" s="554"/>
      <c r="I118" s="554"/>
      <c r="J118" s="554"/>
      <c r="K118" s="554"/>
      <c r="L118" s="555"/>
      <c r="M118" s="556"/>
      <c r="N118" s="1151"/>
      <c r="O118" s="1151"/>
      <c r="P118" s="2629"/>
      <c r="Q118" s="503"/>
    </row>
    <row r="119" spans="1:17" ht="14.4"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35"/>
      <c r="E129" s="535"/>
      <c r="F129" s="535"/>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36" t="s">
        <v>2645</v>
      </c>
      <c r="Q4" s="3237"/>
      <c r="R4" s="3231" t="s">
        <v>2641</v>
      </c>
      <c r="S4" s="3232"/>
      <c r="T4" s="3231" t="s">
        <v>2642</v>
      </c>
      <c r="U4" s="3232"/>
      <c r="V4" s="3240" t="s">
        <v>2643</v>
      </c>
      <c r="W4" s="3240"/>
      <c r="X4" s="2669"/>
      <c r="Y4" s="3231" t="s">
        <v>2645</v>
      </c>
      <c r="Z4" s="3232"/>
      <c r="AA4" s="3230" t="s">
        <v>2641</v>
      </c>
      <c r="AB4" s="3230" t="s">
        <v>2642</v>
      </c>
      <c r="AC4" s="3233" t="s">
        <v>2643</v>
      </c>
    </row>
    <row r="5" spans="1:29">
      <c r="A5" s="403"/>
      <c r="B5" s="404"/>
      <c r="C5" s="3195" t="s">
        <v>2536</v>
      </c>
      <c r="D5" s="3196"/>
      <c r="E5" s="3193" t="s">
        <v>2537</v>
      </c>
      <c r="F5" s="3194"/>
      <c r="G5" s="3195" t="s">
        <v>2538</v>
      </c>
      <c r="H5" s="3196"/>
      <c r="I5" s="3195" t="s">
        <v>2539</v>
      </c>
      <c r="J5" s="3196"/>
      <c r="K5" s="609"/>
      <c r="L5" s="1129"/>
      <c r="M5" s="1130"/>
      <c r="N5" s="1130"/>
      <c r="O5" s="1130"/>
      <c r="P5" s="3238"/>
      <c r="Q5" s="3209"/>
      <c r="R5" s="3191"/>
      <c r="S5" s="3192"/>
      <c r="T5" s="3191"/>
      <c r="U5" s="3192"/>
      <c r="V5" s="3214"/>
      <c r="W5" s="3214"/>
      <c r="X5" s="1812"/>
      <c r="Y5" s="3191"/>
      <c r="Z5" s="3192"/>
      <c r="AA5" s="3185"/>
      <c r="AB5" s="3185"/>
      <c r="AC5" s="3234"/>
    </row>
    <row r="6" spans="1:29" ht="15" thickBot="1">
      <c r="A6" s="405"/>
      <c r="B6" s="406"/>
      <c r="C6" s="3197" t="s">
        <v>2540</v>
      </c>
      <c r="D6" s="3198"/>
      <c r="E6" s="3199" t="s">
        <v>2540</v>
      </c>
      <c r="F6" s="3200"/>
      <c r="G6" s="3197" t="s">
        <v>2540</v>
      </c>
      <c r="H6" s="3198"/>
      <c r="I6" s="3197" t="s">
        <v>2540</v>
      </c>
      <c r="J6" s="3198"/>
      <c r="K6" s="609" t="s">
        <v>2541</v>
      </c>
      <c r="L6" s="1129"/>
      <c r="M6" s="1130"/>
      <c r="N6" s="1130"/>
      <c r="O6" s="1130"/>
      <c r="P6" s="3239"/>
      <c r="Q6" s="3211"/>
      <c r="R6" s="3191"/>
      <c r="S6" s="3192"/>
      <c r="T6" s="3212"/>
      <c r="U6" s="3213"/>
      <c r="V6" s="3214"/>
      <c r="W6" s="3214"/>
      <c r="X6" s="1812"/>
      <c r="Y6" s="3212"/>
      <c r="Z6" s="3213"/>
      <c r="AA6" s="3186"/>
      <c r="AB6" s="3186"/>
      <c r="AC6" s="3235"/>
    </row>
    <row r="7" spans="1:29" s="117" customFormat="1" ht="15" thickBot="1">
      <c r="A7" s="407" t="s">
        <v>2542</v>
      </c>
      <c r="B7" s="408"/>
      <c r="C7" s="409">
        <f>'数据-取费表'!B2</f>
        <v>43641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1"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2670" t="e">
        <f>D7/J7</f>
        <v>#DIV/0!</v>
      </c>
    </row>
    <row r="8" spans="1:29" s="117" customFormat="1" ht="1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1" t="s">
        <v>2546</v>
      </c>
      <c r="Q8" s="3188"/>
      <c r="R8" s="769" t="s">
        <v>17</v>
      </c>
      <c r="S8" s="770">
        <f t="shared" si="0"/>
        <v>0</v>
      </c>
      <c r="T8" s="769" t="s">
        <v>17</v>
      </c>
      <c r="U8" s="770">
        <f t="shared" si="1"/>
        <v>0</v>
      </c>
      <c r="V8" s="769" t="s">
        <v>17</v>
      </c>
      <c r="W8" s="770">
        <f t="shared" si="2"/>
        <v>0</v>
      </c>
      <c r="X8" s="771"/>
      <c r="Y8" s="3187" t="s">
        <v>2546</v>
      </c>
      <c r="Z8" s="3188"/>
      <c r="AA8" s="772" t="e">
        <f t="shared" ref="AA8:AA47" si="3">D8/F8</f>
        <v>#DIV/0!</v>
      </c>
      <c r="AB8" s="772" t="e">
        <f t="shared" ref="AB8:AB47" si="4">D8/H8</f>
        <v>#DIV/0!</v>
      </c>
      <c r="AC8" s="2670" t="e">
        <f t="shared" ref="AC8:AC47" si="5">D8/J8</f>
        <v>#DIV/0!</v>
      </c>
    </row>
    <row r="9" spans="1:29" s="117" customFormat="1" ht="14.4">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1"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2670">
        <f t="shared" si="5"/>
        <v>1</v>
      </c>
    </row>
    <row r="10" spans="1:29" s="426" customFormat="1" ht="28.8">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267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2670">
        <f t="shared" si="5"/>
        <v>1</v>
      </c>
    </row>
    <row r="14" spans="1:29" ht="15.6"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2670">
        <f t="shared" si="5"/>
        <v>1</v>
      </c>
    </row>
    <row r="15" spans="1:29" ht="69">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8" t="s">
        <v>2554</v>
      </c>
      <c r="Q15" s="1809" t="str">
        <f t="shared" si="6"/>
        <v>办公集聚程度</v>
      </c>
      <c r="R15" s="773" t="s">
        <v>17</v>
      </c>
      <c r="S15" s="774">
        <f t="shared" si="0"/>
        <v>100</v>
      </c>
      <c r="T15" s="773" t="s">
        <v>17</v>
      </c>
      <c r="U15" s="774">
        <f t="shared" si="1"/>
        <v>100</v>
      </c>
      <c r="V15" s="773" t="s">
        <v>17</v>
      </c>
      <c r="W15" s="774">
        <f t="shared" si="2"/>
        <v>100</v>
      </c>
      <c r="X15" s="1812"/>
      <c r="Y15" s="3221" t="s">
        <v>2554</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29"/>
      <c r="Q16" s="1809"/>
      <c r="R16" s="773"/>
      <c r="S16" s="774"/>
      <c r="T16" s="773"/>
      <c r="U16" s="774"/>
      <c r="V16" s="773"/>
      <c r="W16" s="774"/>
      <c r="X16" s="1812"/>
      <c r="Y16" s="3222"/>
      <c r="Z16" s="1813"/>
      <c r="AA16" s="1810">
        <v>1</v>
      </c>
      <c r="AB16" s="1810">
        <v>1</v>
      </c>
      <c r="AC16" s="2673">
        <v>1</v>
      </c>
    </row>
    <row r="17" spans="1:29" ht="82.8">
      <c r="A17" s="427"/>
      <c r="B17" s="630" t="s">
        <v>2092</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9"/>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29"/>
      <c r="Q18" s="1809"/>
      <c r="R18" s="773"/>
      <c r="S18" s="774"/>
      <c r="T18" s="773"/>
      <c r="U18" s="774"/>
      <c r="V18" s="773"/>
      <c r="W18" s="774"/>
      <c r="X18" s="1812"/>
      <c r="Y18" s="3222"/>
      <c r="Z18" s="1813"/>
      <c r="AA18" s="1810">
        <v>1</v>
      </c>
      <c r="AB18" s="1810">
        <v>1</v>
      </c>
      <c r="AC18" s="2673">
        <v>1</v>
      </c>
    </row>
    <row r="19" spans="1:29" ht="41.4">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9"/>
      <c r="Q19" s="1809" t="str">
        <f>B19</f>
        <v>公共配套设施</v>
      </c>
      <c r="R19" s="773" t="s">
        <v>17</v>
      </c>
      <c r="S19" s="774">
        <f>F19</f>
        <v>100</v>
      </c>
      <c r="T19" s="773" t="s">
        <v>17</v>
      </c>
      <c r="U19" s="774">
        <f>H19</f>
        <v>100</v>
      </c>
      <c r="V19" s="773" t="s">
        <v>17</v>
      </c>
      <c r="W19" s="774">
        <f>J19</f>
        <v>100</v>
      </c>
      <c r="X19" s="1812"/>
      <c r="Y19" s="3222"/>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29"/>
      <c r="Q20" s="1809"/>
      <c r="R20" s="773"/>
      <c r="S20" s="774"/>
      <c r="T20" s="773"/>
      <c r="U20" s="774"/>
      <c r="V20" s="773"/>
      <c r="W20" s="774"/>
      <c r="X20" s="1812"/>
      <c r="Y20" s="3222"/>
      <c r="Z20" s="1813"/>
      <c r="AA20" s="1810">
        <v>1</v>
      </c>
      <c r="AB20" s="1810">
        <v>1</v>
      </c>
      <c r="AC20" s="2673">
        <v>1</v>
      </c>
    </row>
    <row r="21" spans="1:29" ht="27.6">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29"/>
      <c r="Q22" s="1809"/>
      <c r="R22" s="773"/>
      <c r="S22" s="774"/>
      <c r="T22" s="773"/>
      <c r="U22" s="774"/>
      <c r="V22" s="773"/>
      <c r="W22" s="774"/>
      <c r="X22" s="1812"/>
      <c r="Y22" s="3222"/>
      <c r="Z22" s="1813"/>
      <c r="AA22" s="1810">
        <v>1</v>
      </c>
      <c r="AB22" s="1810">
        <v>1</v>
      </c>
      <c r="AC22" s="2673">
        <v>1</v>
      </c>
    </row>
    <row r="23" spans="1:29" ht="55.2">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9"/>
      <c r="Q23" s="1809" t="str">
        <f>B23</f>
        <v>环境质量</v>
      </c>
      <c r="R23" s="773" t="s">
        <v>17</v>
      </c>
      <c r="S23" s="774">
        <f>F23</f>
        <v>100</v>
      </c>
      <c r="T23" s="773" t="s">
        <v>17</v>
      </c>
      <c r="U23" s="774">
        <f>H23</f>
        <v>100</v>
      </c>
      <c r="V23" s="773" t="s">
        <v>17</v>
      </c>
      <c r="W23" s="774">
        <f>J23</f>
        <v>100</v>
      </c>
      <c r="X23" s="1812"/>
      <c r="Y23" s="3222"/>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29"/>
      <c r="Q24" s="1809"/>
      <c r="R24" s="773"/>
      <c r="S24" s="774"/>
      <c r="T24" s="773"/>
      <c r="U24" s="774"/>
      <c r="V24" s="773"/>
      <c r="W24" s="774"/>
      <c r="X24" s="1812"/>
      <c r="Y24" s="3222"/>
      <c r="Z24" s="1813"/>
      <c r="AA24" s="1810">
        <v>1</v>
      </c>
      <c r="AB24" s="1810">
        <v>1</v>
      </c>
      <c r="AC24" s="2673">
        <v>1</v>
      </c>
    </row>
    <row r="25" spans="1:29" ht="28.8">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29"/>
      <c r="Q25" s="1809" t="str">
        <f>B25</f>
        <v>毗邻道路的类型与等级</v>
      </c>
      <c r="R25" s="773" t="s">
        <v>17</v>
      </c>
      <c r="S25" s="774">
        <f>F25</f>
        <v>100</v>
      </c>
      <c r="T25" s="773" t="s">
        <v>17</v>
      </c>
      <c r="U25" s="774">
        <f>H25</f>
        <v>100</v>
      </c>
      <c r="V25" s="773" t="s">
        <v>17</v>
      </c>
      <c r="W25" s="774">
        <f>J25</f>
        <v>100</v>
      </c>
      <c r="X25" s="1812"/>
      <c r="Y25" s="3222"/>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29"/>
      <c r="Q26" s="1809"/>
      <c r="R26" s="773"/>
      <c r="S26" s="774"/>
      <c r="T26" s="773"/>
      <c r="U26" s="774"/>
      <c r="V26" s="773"/>
      <c r="W26" s="774"/>
      <c r="X26" s="1812"/>
      <c r="Y26" s="3222"/>
      <c r="Z26" s="1813"/>
      <c r="AA26" s="1810">
        <v>1</v>
      </c>
      <c r="AB26" s="1810">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9"/>
      <c r="Q27" s="1809" t="str">
        <f t="shared" ref="Q27:Q47" si="11">B27</f>
        <v>楼层</v>
      </c>
      <c r="R27" s="773" t="s">
        <v>17</v>
      </c>
      <c r="S27" s="774">
        <f>F27</f>
        <v>100</v>
      </c>
      <c r="T27" s="773" t="s">
        <v>17</v>
      </c>
      <c r="U27" s="774">
        <f>H27</f>
        <v>100</v>
      </c>
      <c r="V27" s="773" t="s">
        <v>17</v>
      </c>
      <c r="W27" s="774">
        <f>J27</f>
        <v>100</v>
      </c>
      <c r="X27" s="1812"/>
      <c r="Y27" s="3222"/>
      <c r="Z27" s="1813" t="str">
        <f>Q27</f>
        <v>楼层</v>
      </c>
      <c r="AA27" s="1810">
        <f t="shared" si="3"/>
        <v>1</v>
      </c>
      <c r="AB27" s="1810">
        <f t="shared" si="4"/>
        <v>1</v>
      </c>
      <c r="AC27" s="2673">
        <f t="shared" si="5"/>
        <v>1</v>
      </c>
    </row>
    <row r="28" spans="1:29" s="117"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29"/>
      <c r="Q28" s="1794" t="str">
        <f t="shared" si="11"/>
        <v>朝向</v>
      </c>
      <c r="R28" s="769" t="s">
        <v>17</v>
      </c>
      <c r="S28" s="770">
        <f>F28</f>
        <v>100</v>
      </c>
      <c r="T28" s="769" t="s">
        <v>17</v>
      </c>
      <c r="U28" s="770">
        <f>H28</f>
        <v>100</v>
      </c>
      <c r="V28" s="769" t="s">
        <v>17</v>
      </c>
      <c r="W28" s="770">
        <f>J28</f>
        <v>100</v>
      </c>
      <c r="X28" s="771"/>
      <c r="Y28" s="3222"/>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29"/>
      <c r="Q29" s="1809">
        <f t="shared" si="11"/>
        <v>111</v>
      </c>
      <c r="R29" s="773" t="s">
        <v>17</v>
      </c>
      <c r="S29" s="774">
        <f t="shared" ref="S29:S47" si="12">F29</f>
        <v>100</v>
      </c>
      <c r="T29" s="773" t="s">
        <v>17</v>
      </c>
      <c r="U29" s="774">
        <f t="shared" ref="U29:U47" si="13">H29</f>
        <v>100</v>
      </c>
      <c r="V29" s="773" t="s">
        <v>17</v>
      </c>
      <c r="W29" s="774">
        <f t="shared" ref="W29:W47" si="14">J29</f>
        <v>100</v>
      </c>
      <c r="X29" s="1812"/>
      <c r="Y29" s="3222"/>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29"/>
      <c r="Q30" s="1809">
        <f t="shared" si="11"/>
        <v>111</v>
      </c>
      <c r="R30" s="773" t="s">
        <v>17</v>
      </c>
      <c r="S30" s="774">
        <f t="shared" si="12"/>
        <v>100</v>
      </c>
      <c r="T30" s="773" t="s">
        <v>17</v>
      </c>
      <c r="U30" s="774">
        <f t="shared" si="13"/>
        <v>100</v>
      </c>
      <c r="V30" s="773" t="s">
        <v>17</v>
      </c>
      <c r="W30" s="774">
        <f t="shared" si="14"/>
        <v>100</v>
      </c>
      <c r="X30" s="1812"/>
      <c r="Y30" s="3222"/>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29"/>
      <c r="Q31" s="1809">
        <f t="shared" si="11"/>
        <v>111</v>
      </c>
      <c r="R31" s="773" t="s">
        <v>17</v>
      </c>
      <c r="S31" s="774">
        <f t="shared" si="12"/>
        <v>100</v>
      </c>
      <c r="T31" s="773" t="s">
        <v>17</v>
      </c>
      <c r="U31" s="774">
        <f t="shared" si="13"/>
        <v>100</v>
      </c>
      <c r="V31" s="773" t="s">
        <v>17</v>
      </c>
      <c r="W31" s="774">
        <f t="shared" si="14"/>
        <v>100</v>
      </c>
      <c r="X31" s="1812"/>
      <c r="Y31" s="3222"/>
      <c r="Z31" s="1813">
        <f t="shared" si="15"/>
        <v>111</v>
      </c>
      <c r="AA31" s="1810">
        <f t="shared" si="3"/>
        <v>1</v>
      </c>
      <c r="AB31" s="1810">
        <f t="shared" si="4"/>
        <v>1</v>
      </c>
      <c r="AC31" s="2673">
        <f t="shared" si="5"/>
        <v>1</v>
      </c>
    </row>
    <row r="32" spans="1:29" ht="15.6"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29"/>
      <c r="Q32" s="1809">
        <f t="shared" si="11"/>
        <v>111</v>
      </c>
      <c r="R32" s="773" t="s">
        <v>17</v>
      </c>
      <c r="S32" s="774">
        <f t="shared" si="12"/>
        <v>100</v>
      </c>
      <c r="T32" s="773" t="s">
        <v>17</v>
      </c>
      <c r="U32" s="774">
        <f t="shared" si="13"/>
        <v>100</v>
      </c>
      <c r="V32" s="773" t="s">
        <v>17</v>
      </c>
      <c r="W32" s="774">
        <f t="shared" si="14"/>
        <v>100</v>
      </c>
      <c r="X32" s="1812"/>
      <c r="Y32" s="3222"/>
      <c r="Z32" s="1813">
        <f t="shared" si="15"/>
        <v>111</v>
      </c>
      <c r="AA32" s="1810">
        <f t="shared" si="3"/>
        <v>1</v>
      </c>
      <c r="AB32" s="1810">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23" t="s">
        <v>2559</v>
      </c>
      <c r="Q33" s="1809" t="str">
        <f t="shared" si="11"/>
        <v>建筑类型</v>
      </c>
      <c r="R33" s="773" t="s">
        <v>17</v>
      </c>
      <c r="S33" s="774">
        <f t="shared" si="12"/>
        <v>100</v>
      </c>
      <c r="T33" s="773" t="s">
        <v>17</v>
      </c>
      <c r="U33" s="774">
        <f t="shared" si="13"/>
        <v>100</v>
      </c>
      <c r="V33" s="773" t="s">
        <v>17</v>
      </c>
      <c r="W33" s="774">
        <f t="shared" si="14"/>
        <v>100</v>
      </c>
      <c r="X33" s="1812"/>
      <c r="Y33" s="3226" t="s">
        <v>2559</v>
      </c>
      <c r="Z33" s="1813" t="str">
        <f t="shared" si="15"/>
        <v>建筑类型</v>
      </c>
      <c r="AA33" s="1810">
        <f t="shared" si="3"/>
        <v>1</v>
      </c>
      <c r="AB33" s="1810">
        <f t="shared" si="4"/>
        <v>1</v>
      </c>
      <c r="AC33" s="267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24"/>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10" t="e">
        <f t="shared" si="3"/>
        <v>#N/A</v>
      </c>
      <c r="AB34" s="1810"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4"/>
      <c r="Q35" s="1809" t="str">
        <f t="shared" si="11"/>
        <v>建筑结构</v>
      </c>
      <c r="R35" s="773" t="s">
        <v>17</v>
      </c>
      <c r="S35" s="774">
        <f t="shared" si="12"/>
        <v>100</v>
      </c>
      <c r="T35" s="773" t="s">
        <v>17</v>
      </c>
      <c r="U35" s="774">
        <f t="shared" si="13"/>
        <v>100</v>
      </c>
      <c r="V35" s="773" t="s">
        <v>17</v>
      </c>
      <c r="W35" s="774">
        <f t="shared" si="14"/>
        <v>100</v>
      </c>
      <c r="X35" s="1812"/>
      <c r="Y35" s="3226"/>
      <c r="Z35" s="1813" t="str">
        <f t="shared" si="15"/>
        <v>建筑结构</v>
      </c>
      <c r="AA35" s="1810">
        <f t="shared" si="3"/>
        <v>1</v>
      </c>
      <c r="AB35" s="1810">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4"/>
      <c r="Q36" s="1809" t="str">
        <f t="shared" si="11"/>
        <v>公共部分装修</v>
      </c>
      <c r="R36" s="773" t="s">
        <v>17</v>
      </c>
      <c r="S36" s="774">
        <f t="shared" si="12"/>
        <v>100</v>
      </c>
      <c r="T36" s="773" t="s">
        <v>17</v>
      </c>
      <c r="U36" s="774">
        <f t="shared" si="13"/>
        <v>100</v>
      </c>
      <c r="V36" s="773" t="s">
        <v>17</v>
      </c>
      <c r="W36" s="774">
        <f t="shared" si="14"/>
        <v>100</v>
      </c>
      <c r="X36" s="1812"/>
      <c r="Y36" s="3226"/>
      <c r="Z36" s="1813" t="str">
        <f t="shared" si="15"/>
        <v>公共部分装修</v>
      </c>
      <c r="AA36" s="1810">
        <f t="shared" si="3"/>
        <v>1</v>
      </c>
      <c r="AB36" s="1810">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4"/>
      <c r="Q37" s="1809" t="str">
        <f t="shared" si="11"/>
        <v>成新度</v>
      </c>
      <c r="R37" s="773" t="s">
        <v>17</v>
      </c>
      <c r="S37" s="774" t="e">
        <f t="shared" si="12"/>
        <v>#N/A</v>
      </c>
      <c r="T37" s="773" t="s">
        <v>17</v>
      </c>
      <c r="U37" s="774" t="e">
        <f t="shared" si="13"/>
        <v>#N/A</v>
      </c>
      <c r="V37" s="773" t="s">
        <v>17</v>
      </c>
      <c r="W37" s="774" t="e">
        <f t="shared" si="14"/>
        <v>#N/A</v>
      </c>
      <c r="X37" s="1812"/>
      <c r="Y37" s="3226"/>
      <c r="Z37" s="1813" t="str">
        <f t="shared" si="15"/>
        <v>成新度</v>
      </c>
      <c r="AA37" s="1810" t="e">
        <f t="shared" si="3"/>
        <v>#N/A</v>
      </c>
      <c r="AB37" s="1810" t="e">
        <f t="shared" si="4"/>
        <v>#N/A</v>
      </c>
      <c r="AC37" s="2673"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4"/>
      <c r="Q38" s="1794"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4" t="s">
        <v>2559</v>
      </c>
      <c r="Q39" s="1809" t="str">
        <f t="shared" si="11"/>
        <v>物业管理</v>
      </c>
      <c r="R39" s="773" t="s">
        <v>17</v>
      </c>
      <c r="S39" s="774">
        <f t="shared" si="12"/>
        <v>100</v>
      </c>
      <c r="T39" s="773" t="s">
        <v>17</v>
      </c>
      <c r="U39" s="774">
        <f t="shared" si="13"/>
        <v>100</v>
      </c>
      <c r="V39" s="773" t="s">
        <v>17</v>
      </c>
      <c r="W39" s="774">
        <f t="shared" si="14"/>
        <v>100</v>
      </c>
      <c r="X39" s="1812"/>
      <c r="Y39" s="3226" t="s">
        <v>2559</v>
      </c>
      <c r="Z39" s="1813" t="str">
        <f t="shared" si="15"/>
        <v>物业管理</v>
      </c>
      <c r="AA39" s="1810">
        <f t="shared" si="3"/>
        <v>1</v>
      </c>
      <c r="AB39" s="1810">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4"/>
      <c r="Q40" s="1809" t="str">
        <f t="shared" si="11"/>
        <v>市政基础设施</v>
      </c>
      <c r="R40" s="773" t="s">
        <v>17</v>
      </c>
      <c r="S40" s="774">
        <f t="shared" si="12"/>
        <v>100</v>
      </c>
      <c r="T40" s="773" t="s">
        <v>17</v>
      </c>
      <c r="U40" s="774">
        <f t="shared" si="13"/>
        <v>100</v>
      </c>
      <c r="V40" s="773" t="s">
        <v>17</v>
      </c>
      <c r="W40" s="774">
        <f t="shared" si="14"/>
        <v>100</v>
      </c>
      <c r="X40" s="1812"/>
      <c r="Y40" s="3226"/>
      <c r="Z40" s="1813" t="str">
        <f t="shared" si="15"/>
        <v>市政基础设施</v>
      </c>
      <c r="AA40" s="1810">
        <f t="shared" si="3"/>
        <v>1</v>
      </c>
      <c r="AB40" s="1810">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4"/>
      <c r="Q41" s="1809" t="str">
        <f t="shared" si="11"/>
        <v>层高</v>
      </c>
      <c r="R41" s="773" t="s">
        <v>17</v>
      </c>
      <c r="S41" s="774">
        <f t="shared" si="12"/>
        <v>100</v>
      </c>
      <c r="T41" s="773" t="s">
        <v>17</v>
      </c>
      <c r="U41" s="774">
        <f t="shared" si="13"/>
        <v>100</v>
      </c>
      <c r="V41" s="773" t="s">
        <v>17</v>
      </c>
      <c r="W41" s="774">
        <f t="shared" si="14"/>
        <v>100</v>
      </c>
      <c r="X41" s="1812"/>
      <c r="Y41" s="3226"/>
      <c r="Z41" s="1813" t="str">
        <f t="shared" si="15"/>
        <v>层高</v>
      </c>
      <c r="AA41" s="1810">
        <f t="shared" si="3"/>
        <v>1</v>
      </c>
      <c r="AB41" s="1810">
        <f t="shared" si="4"/>
        <v>1</v>
      </c>
      <c r="AC41" s="2673">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10">
        <f t="shared" si="3"/>
        <v>1</v>
      </c>
      <c r="AB42" s="1810">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4"/>
      <c r="Q43" s="1809" t="str">
        <f t="shared" si="11"/>
        <v>内部装修</v>
      </c>
      <c r="R43" s="773" t="s">
        <v>17</v>
      </c>
      <c r="S43" s="774">
        <f t="shared" si="12"/>
        <v>100</v>
      </c>
      <c r="T43" s="773" t="s">
        <v>17</v>
      </c>
      <c r="U43" s="774">
        <f t="shared" si="13"/>
        <v>100</v>
      </c>
      <c r="V43" s="773" t="s">
        <v>17</v>
      </c>
      <c r="W43" s="774">
        <f t="shared" si="14"/>
        <v>100</v>
      </c>
      <c r="X43" s="1812"/>
      <c r="Y43" s="3226"/>
      <c r="Z43" s="1813" t="str">
        <f t="shared" si="15"/>
        <v>内部装修</v>
      </c>
      <c r="AA43" s="1810">
        <f t="shared" si="3"/>
        <v>1</v>
      </c>
      <c r="AB43" s="1810">
        <f t="shared" si="4"/>
        <v>1</v>
      </c>
      <c r="AC43" s="2673">
        <f t="shared" si="5"/>
        <v>1</v>
      </c>
    </row>
    <row r="44" spans="1:29" ht="28.8">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24"/>
      <c r="Q44" s="1809" t="str">
        <f t="shared" si="11"/>
        <v>内部装修维护情况</v>
      </c>
      <c r="R44" s="773" t="s">
        <v>17</v>
      </c>
      <c r="S44" s="774">
        <f t="shared" si="12"/>
        <v>100</v>
      </c>
      <c r="T44" s="773" t="s">
        <v>17</v>
      </c>
      <c r="U44" s="774">
        <f t="shared" si="13"/>
        <v>100</v>
      </c>
      <c r="V44" s="773" t="s">
        <v>17</v>
      </c>
      <c r="W44" s="774">
        <f t="shared" si="14"/>
        <v>100</v>
      </c>
      <c r="X44" s="1812"/>
      <c r="Y44" s="3226"/>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24"/>
      <c r="Q45" s="1794">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4"/>
      <c r="Q46" s="1809">
        <f t="shared" si="11"/>
        <v>111</v>
      </c>
      <c r="R46" s="773" t="s">
        <v>17</v>
      </c>
      <c r="S46" s="774">
        <f t="shared" si="12"/>
        <v>100</v>
      </c>
      <c r="T46" s="773" t="s">
        <v>17</v>
      </c>
      <c r="U46" s="774">
        <f t="shared" si="13"/>
        <v>100</v>
      </c>
      <c r="V46" s="773" t="s">
        <v>17</v>
      </c>
      <c r="W46" s="774">
        <f t="shared" si="14"/>
        <v>100</v>
      </c>
      <c r="X46" s="1812"/>
      <c r="Y46" s="3226"/>
      <c r="Z46" s="1813">
        <f t="shared" si="15"/>
        <v>111</v>
      </c>
      <c r="AA46" s="1810">
        <f t="shared" si="3"/>
        <v>1</v>
      </c>
      <c r="AB46" s="1810">
        <f t="shared" si="4"/>
        <v>1</v>
      </c>
      <c r="AC46" s="2673">
        <f t="shared" si="5"/>
        <v>1</v>
      </c>
    </row>
    <row r="47" spans="1:29" ht="15.6"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5"/>
      <c r="Q47" s="1809">
        <f t="shared" si="11"/>
        <v>111</v>
      </c>
      <c r="R47" s="773" t="s">
        <v>17</v>
      </c>
      <c r="S47" s="774">
        <f t="shared" si="12"/>
        <v>100</v>
      </c>
      <c r="T47" s="773" t="s">
        <v>17</v>
      </c>
      <c r="U47" s="774">
        <f t="shared" si="13"/>
        <v>100</v>
      </c>
      <c r="V47" s="773" t="s">
        <v>17</v>
      </c>
      <c r="W47" s="774">
        <f t="shared" si="14"/>
        <v>100</v>
      </c>
      <c r="X47" s="1812"/>
      <c r="Y47" s="3227"/>
      <c r="Z47" s="1813">
        <f t="shared" si="15"/>
        <v>111</v>
      </c>
      <c r="AA47" s="1810">
        <f t="shared" si="3"/>
        <v>1</v>
      </c>
      <c r="AB47" s="1810">
        <f t="shared" si="4"/>
        <v>1</v>
      </c>
      <c r="AC47" s="2673">
        <f t="shared" si="5"/>
        <v>1</v>
      </c>
    </row>
    <row r="48" spans="1:29" ht="14.4">
      <c r="A48" s="478" t="s">
        <v>2571</v>
      </c>
      <c r="B48" s="479"/>
      <c r="C48" s="1406" t="s">
        <v>1</v>
      </c>
      <c r="D48" s="1407"/>
      <c r="E48" s="1408"/>
      <c r="F48" s="1409"/>
      <c r="G48" s="1410"/>
      <c r="H48" s="1411"/>
      <c r="I48" s="1408"/>
      <c r="J48" s="484"/>
      <c r="K48" s="782"/>
      <c r="L48" s="1142"/>
      <c r="M48" s="1130"/>
      <c r="N48" s="1130"/>
      <c r="O48" s="1130"/>
      <c r="P48" s="3201" t="str">
        <f>A48</f>
        <v>成交单价（元/平方米）</v>
      </c>
      <c r="Q48" s="3219"/>
      <c r="R48" s="3220">
        <f>E48</f>
        <v>0</v>
      </c>
      <c r="S48" s="3220"/>
      <c r="T48" s="3220">
        <f>G48</f>
        <v>0</v>
      </c>
      <c r="U48" s="3220"/>
      <c r="V48" s="3220">
        <f>I48</f>
        <v>0</v>
      </c>
      <c r="W48" s="3220"/>
      <c r="X48" s="445"/>
      <c r="Y48" s="780"/>
      <c r="Z48" s="445"/>
      <c r="AA48" s="445"/>
      <c r="AB48" s="445"/>
      <c r="AC48" s="629"/>
    </row>
    <row r="49" spans="1:29" ht="1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 thickBot="1">
      <c r="A50" s="491" t="s">
        <v>2664</v>
      </c>
      <c r="B50" s="492"/>
      <c r="C50" s="1416" t="e">
        <f>R50</f>
        <v>#DIV/0!</v>
      </c>
      <c r="D50" s="1416"/>
      <c r="E50" s="1416"/>
      <c r="F50" s="1416"/>
      <c r="G50" s="1416"/>
      <c r="H50" s="1416"/>
      <c r="I50" s="1416"/>
      <c r="J50" s="493"/>
      <c r="K50" s="784"/>
      <c r="L50" s="1142"/>
      <c r="M50" s="1130"/>
      <c r="N50" s="1130"/>
      <c r="O50" s="1130"/>
      <c r="P50" s="3242" t="str">
        <f>A50</f>
        <v>估价对象XX用房的比较价值（楼面单价，元/平方米）</v>
      </c>
      <c r="Q50" s="3243"/>
      <c r="R50" s="3244" t="e">
        <f>IF(F1="售价",ROUND(AVERAGE(R49:V49),0),ROUND(AVERAGE(R49:V49),1))</f>
        <v>#DIV/0!</v>
      </c>
      <c r="S50" s="3244"/>
      <c r="T50" s="3244"/>
      <c r="U50" s="3244"/>
      <c r="V50" s="3244"/>
      <c r="W50" s="3244"/>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2.2" thickBot="1">
      <c r="A58" s="762" t="s">
        <v>2668</v>
      </c>
      <c r="B58" s="758"/>
      <c r="C58" s="763"/>
      <c r="D58" s="763"/>
      <c r="E58" s="763"/>
      <c r="F58" s="764"/>
      <c r="G58" s="764"/>
      <c r="H58" s="763"/>
      <c r="I58" s="763"/>
      <c r="J58" s="763"/>
      <c r="K58" s="765"/>
      <c r="L58" s="1160"/>
      <c r="M58" s="1158"/>
      <c r="N58" s="1158"/>
      <c r="O58" s="1158"/>
      <c r="P58" s="2680"/>
      <c r="Q58" s="503"/>
    </row>
    <row r="59" spans="1:29" s="507" customFormat="1" ht="14.4">
      <c r="A59" s="504" t="s">
        <v>2542</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8"/>
      <c r="B60" s="509"/>
      <c r="C60" s="1572">
        <v>100</v>
      </c>
      <c r="D60" s="511"/>
      <c r="E60" s="511"/>
      <c r="F60" s="511"/>
      <c r="G60" s="511"/>
      <c r="H60" s="511"/>
      <c r="I60" s="511"/>
      <c r="J60" s="511"/>
      <c r="K60" s="511"/>
      <c r="L60" s="511"/>
      <c r="M60" s="512"/>
      <c r="N60" s="511"/>
      <c r="O60" s="512"/>
      <c r="P60" s="2681"/>
    </row>
    <row r="61" spans="1:29" s="117" customFormat="1" ht="15" thickBot="1">
      <c r="A61" s="514" t="s">
        <v>2579</v>
      </c>
      <c r="B61" s="515"/>
      <c r="C61" s="516"/>
      <c r="D61" s="517"/>
      <c r="E61" s="517"/>
      <c r="F61" s="517"/>
      <c r="G61" s="517"/>
      <c r="H61" s="517"/>
      <c r="I61" s="517"/>
      <c r="J61" s="517"/>
      <c r="K61" s="517"/>
      <c r="L61" s="517"/>
      <c r="M61" s="518"/>
      <c r="N61" s="517"/>
      <c r="O61" s="518"/>
      <c r="P61" s="2681"/>
      <c r="Q61" s="503"/>
    </row>
    <row r="62" spans="1:29" s="117" customFormat="1" ht="14.4">
      <c r="A62" s="520" t="s">
        <v>2544</v>
      </c>
      <c r="B62" s="509"/>
      <c r="C62" s="521" t="s">
        <v>2646</v>
      </c>
      <c r="D62" s="522"/>
      <c r="E62" s="522"/>
      <c r="F62" s="522"/>
      <c r="G62" s="522"/>
      <c r="H62" s="522"/>
      <c r="I62" s="522"/>
      <c r="J62" s="522"/>
      <c r="K62" s="522"/>
      <c r="L62" s="523"/>
      <c r="M62" s="524"/>
      <c r="N62" s="1150"/>
      <c r="O62" s="1150"/>
      <c r="P62" s="2682"/>
      <c r="Q62" s="503"/>
    </row>
    <row r="63" spans="1:29" s="117" customFormat="1" ht="14.4" thickBot="1">
      <c r="A63" s="520"/>
      <c r="B63" s="509"/>
      <c r="C63" s="510">
        <v>100</v>
      </c>
      <c r="D63" s="511"/>
      <c r="E63" s="511"/>
      <c r="F63" s="511"/>
      <c r="G63" s="511"/>
      <c r="H63" s="511"/>
      <c r="I63" s="511"/>
      <c r="J63" s="511"/>
      <c r="K63" s="511"/>
      <c r="L63" s="511"/>
      <c r="M63" s="513"/>
      <c r="N63" s="1150"/>
      <c r="O63" s="1150"/>
      <c r="P63" s="2681"/>
      <c r="Q63" s="503"/>
    </row>
    <row r="64" spans="1:29" ht="14.4">
      <c r="A64" s="526" t="s">
        <v>2582</v>
      </c>
      <c r="B64" s="527" t="s">
        <v>2548</v>
      </c>
      <c r="C64" s="528">
        <f>C9</f>
        <v>0</v>
      </c>
      <c r="D64" s="529"/>
      <c r="E64" s="529"/>
      <c r="F64" s="529"/>
      <c r="G64" s="529"/>
      <c r="H64" s="529"/>
      <c r="I64" s="529"/>
      <c r="J64" s="529"/>
      <c r="K64" s="530"/>
      <c r="L64" s="531"/>
      <c r="M64" s="532"/>
      <c r="N64" s="1151"/>
      <c r="O64" s="1151"/>
      <c r="P64" s="2683"/>
      <c r="Q64" s="503"/>
    </row>
    <row r="65" spans="1:17" ht="14.4" thickBot="1">
      <c r="A65" s="533"/>
      <c r="B65" s="534"/>
      <c r="C65" s="535">
        <v>100</v>
      </c>
      <c r="D65" s="535"/>
      <c r="E65" s="535"/>
      <c r="F65" s="535"/>
      <c r="G65" s="535"/>
      <c r="H65" s="535"/>
      <c r="I65" s="535"/>
      <c r="J65" s="535"/>
      <c r="K65" s="535"/>
      <c r="L65" s="535"/>
      <c r="M65" s="536"/>
      <c r="N65" s="1152"/>
      <c r="O65" s="1152"/>
      <c r="P65" s="2683"/>
      <c r="Q65" s="503"/>
    </row>
    <row r="66" spans="1:17" ht="29.4"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c r="A69" s="533"/>
      <c r="B69" s="547"/>
      <c r="C69" s="548"/>
      <c r="D69" s="548"/>
      <c r="E69" s="548"/>
      <c r="F69" s="548"/>
      <c r="G69" s="548"/>
      <c r="H69" s="548"/>
      <c r="I69" s="548"/>
      <c r="J69" s="548"/>
      <c r="K69" s="549"/>
      <c r="L69" s="550"/>
      <c r="M69" s="551"/>
      <c r="N69" s="1151"/>
      <c r="O69" s="1151"/>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4.4" thickTop="1">
      <c r="A71" s="552"/>
      <c r="B71" s="537">
        <f>B12</f>
        <v>111</v>
      </c>
      <c r="C71" s="553"/>
      <c r="D71" s="553"/>
      <c r="E71" s="553"/>
      <c r="F71" s="553"/>
      <c r="G71" s="553"/>
      <c r="H71" s="554"/>
      <c r="I71" s="554"/>
      <c r="J71" s="554"/>
      <c r="K71" s="554"/>
      <c r="L71" s="555"/>
      <c r="M71" s="556"/>
      <c r="N71" s="1153"/>
      <c r="O71" s="1153"/>
      <c r="P71" s="2684"/>
      <c r="Q71" s="558"/>
    </row>
    <row r="72" spans="1:17" s="470" customFormat="1" ht="14.4" thickBot="1">
      <c r="A72" s="552"/>
      <c r="B72" s="542"/>
      <c r="C72" s="559"/>
      <c r="D72" s="535"/>
      <c r="E72" s="535"/>
      <c r="F72" s="535"/>
      <c r="G72" s="535"/>
      <c r="H72" s="535"/>
      <c r="I72" s="535"/>
      <c r="J72" s="535"/>
      <c r="K72" s="535"/>
      <c r="L72" s="535"/>
      <c r="M72" s="536"/>
      <c r="N72" s="1152"/>
      <c r="O72" s="1152"/>
      <c r="P72" s="2684"/>
      <c r="Q72" s="558"/>
    </row>
    <row r="73" spans="1:17" s="470" customFormat="1" ht="14.4" thickTop="1">
      <c r="A73" s="552"/>
      <c r="B73" s="537">
        <f>B13</f>
        <v>111</v>
      </c>
      <c r="C73" s="553"/>
      <c r="D73" s="553"/>
      <c r="E73" s="553"/>
      <c r="F73" s="553"/>
      <c r="G73" s="553"/>
      <c r="H73" s="554"/>
      <c r="I73" s="554"/>
      <c r="J73" s="554"/>
      <c r="K73" s="554"/>
      <c r="L73" s="555"/>
      <c r="M73" s="556"/>
      <c r="N73" s="1153"/>
      <c r="O73" s="1153"/>
      <c r="P73" s="2685"/>
      <c r="Q73" s="560"/>
    </row>
    <row r="74" spans="1:17" s="470" customFormat="1" ht="14.4" thickBot="1">
      <c r="A74" s="552"/>
      <c r="B74" s="542"/>
      <c r="C74" s="559"/>
      <c r="D74" s="559"/>
      <c r="E74" s="559"/>
      <c r="F74" s="559"/>
      <c r="G74" s="559"/>
      <c r="H74" s="561"/>
      <c r="I74" s="561"/>
      <c r="J74" s="561"/>
      <c r="K74" s="561"/>
      <c r="L74" s="561"/>
      <c r="M74" s="562"/>
      <c r="N74" s="1153"/>
      <c r="O74" s="1153"/>
      <c r="P74" s="2684"/>
      <c r="Q74" s="558"/>
    </row>
    <row r="75" spans="1:17" s="470" customFormat="1" ht="14.4" thickTop="1">
      <c r="A75" s="552"/>
      <c r="B75" s="545">
        <f>B14</f>
        <v>111</v>
      </c>
      <c r="C75" s="522"/>
      <c r="D75" s="522"/>
      <c r="E75" s="522"/>
      <c r="F75" s="522"/>
      <c r="G75" s="522"/>
      <c r="H75" s="563"/>
      <c r="I75" s="563"/>
      <c r="J75" s="563"/>
      <c r="K75" s="563"/>
      <c r="L75" s="564"/>
      <c r="M75" s="565"/>
      <c r="N75" s="1153"/>
      <c r="O75" s="1153"/>
      <c r="P75" s="2686"/>
      <c r="Q75" s="558"/>
    </row>
    <row r="76" spans="1:17" s="470" customFormat="1" ht="14.4" thickBot="1">
      <c r="A76" s="567"/>
      <c r="B76" s="568"/>
      <c r="C76" s="569"/>
      <c r="D76" s="569"/>
      <c r="E76" s="569"/>
      <c r="F76" s="569"/>
      <c r="G76" s="569"/>
      <c r="H76" s="570"/>
      <c r="I76" s="570"/>
      <c r="J76" s="570"/>
      <c r="K76" s="570"/>
      <c r="L76" s="570"/>
      <c r="M76" s="571"/>
      <c r="N76" s="1153"/>
      <c r="O76" s="1153"/>
      <c r="P76" s="2684"/>
      <c r="Q76" s="558"/>
    </row>
    <row r="77" spans="1:17" ht="14.4">
      <c r="A77" s="526" t="s">
        <v>2553</v>
      </c>
      <c r="B77" s="527" t="s">
        <v>2691</v>
      </c>
      <c r="C77" s="572" t="s">
        <v>2591</v>
      </c>
      <c r="D77" s="572" t="s">
        <v>2592</v>
      </c>
      <c r="E77" s="572" t="s">
        <v>2593</v>
      </c>
      <c r="F77" s="572" t="s">
        <v>2594</v>
      </c>
      <c r="G77" s="572" t="s">
        <v>2595</v>
      </c>
      <c r="H77" s="528"/>
      <c r="I77" s="528"/>
      <c r="J77" s="528"/>
      <c r="K77" s="573"/>
      <c r="L77" s="574"/>
      <c r="M77" s="575"/>
      <c r="N77" s="1151"/>
      <c r="O77" s="1151"/>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 thickTop="1">
      <c r="A79" s="533"/>
      <c r="B79" s="537" t="s">
        <v>2596</v>
      </c>
      <c r="C79" s="577" t="s">
        <v>2591</v>
      </c>
      <c r="D79" s="577" t="s">
        <v>2592</v>
      </c>
      <c r="E79" s="577" t="s">
        <v>2593</v>
      </c>
      <c r="F79" s="577" t="s">
        <v>2594</v>
      </c>
      <c r="G79" s="577" t="s">
        <v>2595</v>
      </c>
      <c r="H79" s="538"/>
      <c r="I79" s="538"/>
      <c r="J79" s="538"/>
      <c r="K79" s="539"/>
      <c r="L79" s="540"/>
      <c r="M79" s="541"/>
      <c r="N79" s="1151"/>
      <c r="O79" s="1151"/>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 thickTop="1">
      <c r="A81" s="533"/>
      <c r="B81" s="537" t="s">
        <v>2597</v>
      </c>
      <c r="C81" s="577" t="s">
        <v>2591</v>
      </c>
      <c r="D81" s="577" t="s">
        <v>2592</v>
      </c>
      <c r="E81" s="577" t="s">
        <v>2593</v>
      </c>
      <c r="F81" s="577" t="s">
        <v>2594</v>
      </c>
      <c r="G81" s="577" t="s">
        <v>2595</v>
      </c>
      <c r="H81" s="538"/>
      <c r="I81" s="538"/>
      <c r="J81" s="538"/>
      <c r="K81" s="539"/>
      <c r="L81" s="540"/>
      <c r="M81" s="541"/>
      <c r="N81" s="1151"/>
      <c r="O81" s="1151"/>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 thickTop="1">
      <c r="A83" s="533"/>
      <c r="B83" s="545" t="s">
        <v>2683</v>
      </c>
      <c r="C83" s="659" t="s">
        <v>2669</v>
      </c>
      <c r="D83" s="659" t="s">
        <v>2670</v>
      </c>
      <c r="E83" s="659" t="s">
        <v>2671</v>
      </c>
      <c r="F83" s="659" t="s">
        <v>2672</v>
      </c>
      <c r="G83" s="659" t="s">
        <v>2673</v>
      </c>
      <c r="H83" s="538"/>
      <c r="I83" s="538"/>
      <c r="J83" s="538"/>
      <c r="K83" s="538"/>
      <c r="L83" s="538"/>
      <c r="M83" s="1381"/>
      <c r="N83" s="1152"/>
      <c r="O83" s="1152"/>
      <c r="P83" s="268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 thickTop="1">
      <c r="A85" s="533"/>
      <c r="B85" s="537" t="s">
        <v>2692</v>
      </c>
      <c r="C85" s="577" t="s">
        <v>2591</v>
      </c>
      <c r="D85" s="577" t="s">
        <v>2592</v>
      </c>
      <c r="E85" s="577" t="s">
        <v>2593</v>
      </c>
      <c r="F85" s="577" t="s">
        <v>2594</v>
      </c>
      <c r="G85" s="577" t="s">
        <v>2595</v>
      </c>
      <c r="H85" s="538"/>
      <c r="I85" s="538"/>
      <c r="J85" s="538"/>
      <c r="K85" s="539"/>
      <c r="L85" s="540"/>
      <c r="M85" s="541"/>
      <c r="N85" s="1151"/>
      <c r="O85" s="1151"/>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9.4" thickTop="1">
      <c r="A87" s="578"/>
      <c r="B87" s="537" t="s">
        <v>2693</v>
      </c>
      <c r="C87" s="553"/>
      <c r="D87" s="553"/>
      <c r="E87" s="553"/>
      <c r="F87" s="553"/>
      <c r="G87" s="553"/>
      <c r="H87" s="553"/>
      <c r="I87" s="553"/>
      <c r="J87" s="553"/>
      <c r="K87" s="553"/>
      <c r="L87" s="579"/>
      <c r="M87" s="580"/>
      <c r="N87" s="1150"/>
      <c r="O87" s="1150"/>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4.4"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4.4" thickTop="1">
      <c r="A93" s="533"/>
      <c r="B93" s="537">
        <f>B29</f>
        <v>111</v>
      </c>
      <c r="C93" s="553"/>
      <c r="D93" s="553"/>
      <c r="E93" s="553"/>
      <c r="F93" s="553"/>
      <c r="G93" s="553"/>
      <c r="H93" s="553"/>
      <c r="I93" s="553"/>
      <c r="J93" s="553"/>
      <c r="K93" s="553"/>
      <c r="L93" s="579"/>
      <c r="M93" s="580"/>
      <c r="N93" s="1151"/>
      <c r="O93" s="1151"/>
      <c r="P93" s="2683"/>
      <c r="Q93" s="503"/>
    </row>
    <row r="94" spans="1:17" ht="14.4" thickBot="1">
      <c r="A94" s="533"/>
      <c r="B94" s="542"/>
      <c r="C94" s="559"/>
      <c r="D94" s="535"/>
      <c r="E94" s="535"/>
      <c r="F94" s="535"/>
      <c r="G94" s="535"/>
      <c r="H94" s="535"/>
      <c r="I94" s="535"/>
      <c r="J94" s="535"/>
      <c r="K94" s="535"/>
      <c r="L94" s="535"/>
      <c r="M94" s="536"/>
      <c r="N94" s="1152"/>
      <c r="O94" s="1152"/>
      <c r="P94" s="2683"/>
      <c r="Q94" s="503"/>
    </row>
    <row r="95" spans="1:17" ht="14.4" thickTop="1">
      <c r="A95" s="533"/>
      <c r="B95" s="537">
        <f>B30</f>
        <v>111</v>
      </c>
      <c r="C95" s="553"/>
      <c r="D95" s="553"/>
      <c r="E95" s="553"/>
      <c r="F95" s="553"/>
      <c r="G95" s="582"/>
      <c r="H95" s="582"/>
      <c r="I95" s="582"/>
      <c r="J95" s="582"/>
      <c r="K95" s="583"/>
      <c r="L95" s="584"/>
      <c r="M95" s="585"/>
      <c r="N95" s="1151"/>
      <c r="O95" s="1151"/>
      <c r="P95" s="2683"/>
      <c r="Q95" s="503"/>
    </row>
    <row r="96" spans="1:17" ht="14.4" thickBot="1">
      <c r="A96" s="533"/>
      <c r="B96" s="542"/>
      <c r="C96" s="559"/>
      <c r="D96" s="559"/>
      <c r="E96" s="559"/>
      <c r="F96" s="559"/>
      <c r="G96" s="535"/>
      <c r="H96" s="535"/>
      <c r="I96" s="535"/>
      <c r="J96" s="535"/>
      <c r="K96" s="535"/>
      <c r="L96" s="535"/>
      <c r="M96" s="536"/>
      <c r="N96" s="1152"/>
      <c r="O96" s="1152"/>
      <c r="P96" s="2683"/>
      <c r="Q96" s="503"/>
    </row>
    <row r="97" spans="1:17" ht="14.4" thickTop="1">
      <c r="A97" s="533"/>
      <c r="B97" s="537">
        <f>B31</f>
        <v>111</v>
      </c>
      <c r="C97" s="553"/>
      <c r="D97" s="553"/>
      <c r="E97" s="553"/>
      <c r="F97" s="553"/>
      <c r="G97" s="582"/>
      <c r="H97" s="582"/>
      <c r="I97" s="582"/>
      <c r="J97" s="582"/>
      <c r="K97" s="583"/>
      <c r="L97" s="584"/>
      <c r="M97" s="585"/>
      <c r="N97" s="1151"/>
      <c r="O97" s="1151"/>
      <c r="P97" s="2683"/>
      <c r="Q97" s="503"/>
    </row>
    <row r="98" spans="1:17" ht="14.4" thickBot="1">
      <c r="A98" s="533"/>
      <c r="B98" s="542"/>
      <c r="C98" s="559"/>
      <c r="D98" s="535"/>
      <c r="E98" s="535"/>
      <c r="F98" s="535"/>
      <c r="G98" s="535"/>
      <c r="H98" s="535"/>
      <c r="I98" s="535"/>
      <c r="J98" s="535"/>
      <c r="K98" s="535"/>
      <c r="L98" s="535"/>
      <c r="M98" s="536"/>
      <c r="N98" s="1152"/>
      <c r="O98" s="1152"/>
      <c r="P98" s="2683"/>
      <c r="Q98" s="503"/>
    </row>
    <row r="99" spans="1:17" ht="14.4" thickTop="1">
      <c r="A99" s="533"/>
      <c r="B99" s="545">
        <f>B32</f>
        <v>111</v>
      </c>
      <c r="C99" s="522"/>
      <c r="D99" s="522"/>
      <c r="E99" s="522"/>
      <c r="F99" s="522"/>
      <c r="G99" s="586"/>
      <c r="H99" s="586"/>
      <c r="I99" s="586"/>
      <c r="J99" s="586"/>
      <c r="K99" s="587"/>
      <c r="L99" s="588"/>
      <c r="M99" s="589"/>
      <c r="N99" s="1151"/>
      <c r="O99" s="1151"/>
      <c r="P99" s="2683"/>
      <c r="Q99" s="503"/>
    </row>
    <row r="100" spans="1:17" ht="14.4" thickBot="1">
      <c r="A100" s="2635"/>
      <c r="B100" s="568"/>
      <c r="C100" s="569"/>
      <c r="D100" s="569"/>
      <c r="E100" s="569"/>
      <c r="F100" s="569"/>
      <c r="G100" s="590"/>
      <c r="H100" s="590"/>
      <c r="I100" s="590"/>
      <c r="J100" s="590"/>
      <c r="K100" s="590"/>
      <c r="L100" s="590"/>
      <c r="M100" s="591"/>
      <c r="N100" s="1152"/>
      <c r="O100" s="1152"/>
      <c r="P100" s="2683"/>
      <c r="Q100" s="503"/>
    </row>
    <row r="101" spans="1:17" ht="14.4">
      <c r="A101" s="526" t="s">
        <v>2557</v>
      </c>
      <c r="B101" s="527" t="s">
        <v>2606</v>
      </c>
      <c r="C101" s="529"/>
      <c r="D101" s="529"/>
      <c r="E101" s="529"/>
      <c r="F101" s="529"/>
      <c r="G101" s="529"/>
      <c r="H101" s="529"/>
      <c r="I101" s="529"/>
      <c r="J101" s="529"/>
      <c r="K101" s="530"/>
      <c r="L101" s="531"/>
      <c r="M101" s="532"/>
      <c r="N101" s="1151"/>
      <c r="O101" s="1151"/>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2608</v>
      </c>
      <c r="C106" s="553"/>
      <c r="D106" s="553"/>
      <c r="E106" s="582"/>
      <c r="F106" s="582"/>
      <c r="G106" s="582"/>
      <c r="H106" s="582"/>
      <c r="I106" s="582"/>
      <c r="J106" s="582"/>
      <c r="K106" s="583"/>
      <c r="L106" s="584"/>
      <c r="M106" s="585"/>
      <c r="N106" s="1151"/>
      <c r="O106" s="1151"/>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2610</v>
      </c>
      <c r="C108" s="553"/>
      <c r="D108" s="553"/>
      <c r="E108" s="553"/>
      <c r="F108" s="582"/>
      <c r="G108" s="582"/>
      <c r="H108" s="582"/>
      <c r="I108" s="582"/>
      <c r="J108" s="582"/>
      <c r="K108" s="583"/>
      <c r="L108" s="584"/>
      <c r="M108" s="585"/>
      <c r="N108" s="1151"/>
      <c r="O108" s="1151"/>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2611</v>
      </c>
      <c r="C115" s="553"/>
      <c r="D115" s="553"/>
      <c r="E115" s="582"/>
      <c r="F115" s="582"/>
      <c r="G115" s="582"/>
      <c r="H115" s="582"/>
      <c r="I115" s="582"/>
      <c r="J115" s="582"/>
      <c r="K115" s="583"/>
      <c r="L115" s="584"/>
      <c r="M115" s="585"/>
      <c r="N115" s="1151"/>
      <c r="O115" s="1151"/>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2612</v>
      </c>
      <c r="C117" s="553"/>
      <c r="D117" s="553"/>
      <c r="E117" s="553"/>
      <c r="F117" s="553"/>
      <c r="G117" s="553"/>
      <c r="H117" s="582"/>
      <c r="I117" s="582"/>
      <c r="J117" s="582"/>
      <c r="K117" s="583"/>
      <c r="L117" s="584"/>
      <c r="M117" s="585"/>
      <c r="N117" s="1151"/>
      <c r="O117" s="1151"/>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2695</v>
      </c>
      <c r="C119" s="582"/>
      <c r="D119" s="582"/>
      <c r="E119" s="582"/>
      <c r="F119" s="582"/>
      <c r="G119" s="582"/>
      <c r="H119" s="582"/>
      <c r="I119" s="582"/>
      <c r="J119" s="582"/>
      <c r="K119" s="582"/>
      <c r="L119" s="2688"/>
      <c r="M119" s="2689"/>
      <c r="N119" s="1152"/>
      <c r="O119" s="1152"/>
      <c r="P119" s="269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4"/>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2614</v>
      </c>
      <c r="C123" s="553"/>
      <c r="D123" s="553"/>
      <c r="E123" s="553"/>
      <c r="F123" s="582"/>
      <c r="G123" s="582"/>
      <c r="H123" s="582"/>
      <c r="I123" s="582"/>
      <c r="J123" s="582"/>
      <c r="K123" s="583"/>
      <c r="L123" s="584"/>
      <c r="M123" s="585"/>
      <c r="N123" s="1151"/>
      <c r="O123" s="1151"/>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29.4"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4"/>
      <c r="Q128" s="558"/>
    </row>
    <row r="129" spans="1:17" ht="14.4" thickTop="1">
      <c r="A129" s="598"/>
      <c r="B129" s="537">
        <f>B46</f>
        <v>111</v>
      </c>
      <c r="C129" s="553"/>
      <c r="D129" s="553"/>
      <c r="E129" s="553"/>
      <c r="F129" s="553"/>
      <c r="G129" s="582"/>
      <c r="H129" s="582"/>
      <c r="I129" s="582"/>
      <c r="J129" s="582"/>
      <c r="K129" s="583"/>
      <c r="L129" s="584"/>
      <c r="M129" s="585"/>
      <c r="N129" s="1151"/>
      <c r="O129" s="1151"/>
      <c r="P129" s="2683"/>
      <c r="Q129" s="503"/>
    </row>
    <row r="130" spans="1:17" ht="14.4" thickBot="1">
      <c r="A130" s="533"/>
      <c r="B130" s="542"/>
      <c r="C130" s="559"/>
      <c r="D130" s="559"/>
      <c r="E130" s="559"/>
      <c r="F130" s="559"/>
      <c r="G130" s="535"/>
      <c r="H130" s="535"/>
      <c r="I130" s="535"/>
      <c r="J130" s="535"/>
      <c r="K130" s="535"/>
      <c r="L130" s="535"/>
      <c r="M130" s="536"/>
      <c r="N130" s="1152"/>
      <c r="O130" s="1152"/>
      <c r="P130" s="2683"/>
      <c r="Q130" s="503"/>
    </row>
    <row r="131" spans="1:17" ht="14.4" thickTop="1">
      <c r="A131" s="598"/>
      <c r="B131" s="545">
        <f>B47</f>
        <v>111</v>
      </c>
      <c r="C131" s="522"/>
      <c r="D131" s="522"/>
      <c r="E131" s="522"/>
      <c r="F131" s="522"/>
      <c r="G131" s="586"/>
      <c r="H131" s="586"/>
      <c r="I131" s="586"/>
      <c r="J131" s="586"/>
      <c r="K131" s="522"/>
      <c r="L131" s="523"/>
      <c r="M131" s="589"/>
      <c r="N131" s="1151"/>
      <c r="O131" s="1151"/>
      <c r="P131" s="2683"/>
      <c r="Q131" s="503"/>
    </row>
    <row r="132" spans="1:17" ht="14.4"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5"/>
      <c r="D2" s="1123"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1106.44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185" t="s">
        <v>2642</v>
      </c>
      <c r="AC4" s="3184" t="s">
        <v>2643</v>
      </c>
    </row>
    <row r="5" spans="1:29">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185"/>
      <c r="AC5" s="3185"/>
    </row>
    <row r="6" spans="1:29" ht="15" thickBot="1">
      <c r="A6" s="405"/>
      <c r="B6" s="406"/>
      <c r="C6" s="3197" t="s">
        <v>2540</v>
      </c>
      <c r="D6" s="3198"/>
      <c r="E6" s="3199" t="s">
        <v>2540</v>
      </c>
      <c r="F6" s="3200"/>
      <c r="G6" s="3197" t="s">
        <v>2540</v>
      </c>
      <c r="H6" s="3198"/>
      <c r="I6" s="3197" t="s">
        <v>2540</v>
      </c>
      <c r="J6" s="3198"/>
      <c r="K6" s="609" t="s">
        <v>2541</v>
      </c>
      <c r="L6" s="1129"/>
      <c r="M6" s="1130"/>
      <c r="N6" s="1130"/>
      <c r="O6" s="1130"/>
      <c r="P6" s="3210"/>
      <c r="Q6" s="3211"/>
      <c r="R6" s="3191"/>
      <c r="S6" s="3192"/>
      <c r="T6" s="3212"/>
      <c r="U6" s="3213"/>
      <c r="V6" s="3214"/>
      <c r="W6" s="3214"/>
      <c r="X6" s="1812"/>
      <c r="Y6" s="3212"/>
      <c r="Z6" s="3213"/>
      <c r="AA6" s="3186"/>
      <c r="AB6" s="3186"/>
      <c r="AC6" s="3186"/>
    </row>
    <row r="7" spans="1:29" s="117" customFormat="1" ht="15" thickBot="1">
      <c r="A7" s="407" t="s">
        <v>2542</v>
      </c>
      <c r="B7" s="408"/>
      <c r="C7" s="409">
        <f>'数据-取费表'!B2</f>
        <v>43641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7" customFormat="1" ht="1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40" si="3">D8/F8</f>
        <v>#DIV/0!</v>
      </c>
      <c r="AB8" s="772" t="e">
        <f t="shared" ref="AB8:AB40" si="4">D8/H8</f>
        <v>#DIV/0!</v>
      </c>
      <c r="AC8" s="772" t="e">
        <f t="shared" ref="AC8:AC40" si="5">D8/J8</f>
        <v>#DIV/0!</v>
      </c>
    </row>
    <row r="9" spans="1:29" s="117" customFormat="1" ht="14.4">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9"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9"/>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69">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1" t="s">
        <v>2554</v>
      </c>
      <c r="Q15" s="1809" t="str">
        <f t="shared" si="6"/>
        <v>产业集聚程度</v>
      </c>
      <c r="R15" s="773" t="s">
        <v>17</v>
      </c>
      <c r="S15" s="774">
        <f t="shared" si="0"/>
        <v>100</v>
      </c>
      <c r="T15" s="773" t="s">
        <v>17</v>
      </c>
      <c r="U15" s="774">
        <f t="shared" si="1"/>
        <v>100</v>
      </c>
      <c r="V15" s="773" t="s">
        <v>17</v>
      </c>
      <c r="W15" s="774">
        <f t="shared" si="2"/>
        <v>100</v>
      </c>
      <c r="X15" s="1812"/>
      <c r="Y15" s="3221"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22"/>
      <c r="Q16" s="1809"/>
      <c r="R16" s="773"/>
      <c r="S16" s="774"/>
      <c r="T16" s="773"/>
      <c r="U16" s="774"/>
      <c r="V16" s="773"/>
      <c r="W16" s="774"/>
      <c r="X16" s="1812"/>
      <c r="Y16" s="3222"/>
      <c r="Z16" s="1813"/>
      <c r="AA16" s="1810">
        <v>1</v>
      </c>
      <c r="AB16" s="1810">
        <v>1</v>
      </c>
      <c r="AC16" s="1810">
        <v>1</v>
      </c>
    </row>
    <row r="17" spans="1:29" ht="96.6">
      <c r="A17" s="427"/>
      <c r="B17" s="450" t="s">
        <v>2092</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2"/>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222"/>
      <c r="Q18" s="1809"/>
      <c r="R18" s="773"/>
      <c r="S18" s="774"/>
      <c r="T18" s="773"/>
      <c r="U18" s="774"/>
      <c r="V18" s="773"/>
      <c r="W18" s="774"/>
      <c r="X18" s="1812"/>
      <c r="Y18" s="3222"/>
      <c r="Z18" s="1813"/>
      <c r="AA18" s="1810">
        <v>1</v>
      </c>
      <c r="AB18" s="1810">
        <v>1</v>
      </c>
      <c r="AC18" s="1810">
        <v>1</v>
      </c>
    </row>
    <row r="19" spans="1:29" ht="41.4">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2"/>
      <c r="Q19" s="1809" t="str">
        <f>B19</f>
        <v>公共配套设施</v>
      </c>
      <c r="R19" s="773" t="s">
        <v>17</v>
      </c>
      <c r="S19" s="774">
        <f>F19</f>
        <v>100</v>
      </c>
      <c r="T19" s="773" t="s">
        <v>17</v>
      </c>
      <c r="U19" s="774">
        <f>H19</f>
        <v>100</v>
      </c>
      <c r="V19" s="773" t="s">
        <v>17</v>
      </c>
      <c r="W19" s="774">
        <f>J19</f>
        <v>100</v>
      </c>
      <c r="X19" s="1812"/>
      <c r="Y19" s="3222"/>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222"/>
      <c r="Q20" s="1809"/>
      <c r="R20" s="773"/>
      <c r="S20" s="774"/>
      <c r="T20" s="773"/>
      <c r="U20" s="774"/>
      <c r="V20" s="773"/>
      <c r="W20" s="774"/>
      <c r="X20" s="1812"/>
      <c r="Y20" s="3222"/>
      <c r="Z20" s="1813"/>
      <c r="AA20" s="1810">
        <v>1</v>
      </c>
      <c r="AB20" s="1810">
        <v>1</v>
      </c>
      <c r="AC20" s="1810">
        <v>1</v>
      </c>
    </row>
    <row r="21" spans="1:29" ht="41.4">
      <c r="A21" s="427"/>
      <c r="B21" s="1383"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2"/>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222"/>
      <c r="Q22" s="1809"/>
      <c r="R22" s="773"/>
      <c r="S22" s="774"/>
      <c r="T22" s="773"/>
      <c r="U22" s="774"/>
      <c r="V22" s="773"/>
      <c r="W22" s="774"/>
      <c r="X22" s="1812"/>
      <c r="Y22" s="3222"/>
      <c r="Z22" s="1813"/>
      <c r="AA22" s="1810">
        <v>1</v>
      </c>
      <c r="AB22" s="1810">
        <v>1</v>
      </c>
      <c r="AC22" s="1810">
        <v>1</v>
      </c>
    </row>
    <row r="23" spans="1:29" ht="82.8">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2"/>
      <c r="Q23" s="1809" t="str">
        <f>B23</f>
        <v>环境质量</v>
      </c>
      <c r="R23" s="773" t="s">
        <v>17</v>
      </c>
      <c r="S23" s="774">
        <f>F23</f>
        <v>100</v>
      </c>
      <c r="T23" s="773" t="s">
        <v>17</v>
      </c>
      <c r="U23" s="774">
        <f>H23</f>
        <v>100</v>
      </c>
      <c r="V23" s="773" t="s">
        <v>17</v>
      </c>
      <c r="W23" s="774">
        <f>J23</f>
        <v>100</v>
      </c>
      <c r="X23" s="1812"/>
      <c r="Y23" s="3222"/>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222"/>
      <c r="Q24" s="1809"/>
      <c r="R24" s="773"/>
      <c r="S24" s="774"/>
      <c r="T24" s="773"/>
      <c r="U24" s="774"/>
      <c r="V24" s="773"/>
      <c r="W24" s="774"/>
      <c r="X24" s="1812"/>
      <c r="Y24" s="322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2"/>
      <c r="Q25" s="1809">
        <f>B25</f>
        <v>111</v>
      </c>
      <c r="R25" s="773" t="s">
        <v>17</v>
      </c>
      <c r="S25" s="774">
        <f>F25</f>
        <v>100</v>
      </c>
      <c r="T25" s="773" t="s">
        <v>17</v>
      </c>
      <c r="U25" s="774">
        <f>H25</f>
        <v>100</v>
      </c>
      <c r="V25" s="773" t="s">
        <v>17</v>
      </c>
      <c r="W25" s="774">
        <f>J25</f>
        <v>100</v>
      </c>
      <c r="X25" s="1812"/>
      <c r="Y25" s="322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2"/>
      <c r="Q26" s="1809">
        <f t="shared" ref="Q26:Q40" si="11">B26</f>
        <v>111</v>
      </c>
      <c r="R26" s="773" t="s">
        <v>17</v>
      </c>
      <c r="S26" s="774">
        <f>F26</f>
        <v>100</v>
      </c>
      <c r="T26" s="773" t="s">
        <v>17</v>
      </c>
      <c r="U26" s="774">
        <f>H26</f>
        <v>100</v>
      </c>
      <c r="V26" s="773" t="s">
        <v>17</v>
      </c>
      <c r="W26" s="774">
        <f>J26</f>
        <v>100</v>
      </c>
      <c r="X26" s="1812"/>
      <c r="Y26" s="3222"/>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2"/>
      <c r="Q27" s="1794">
        <f t="shared" si="11"/>
        <v>111</v>
      </c>
      <c r="R27" s="769" t="s">
        <v>17</v>
      </c>
      <c r="S27" s="770">
        <f>F27</f>
        <v>100</v>
      </c>
      <c r="T27" s="769" t="s">
        <v>17</v>
      </c>
      <c r="U27" s="770">
        <f>H27</f>
        <v>100</v>
      </c>
      <c r="V27" s="769" t="s">
        <v>17</v>
      </c>
      <c r="W27" s="770">
        <f>J27</f>
        <v>100</v>
      </c>
      <c r="X27" s="771"/>
      <c r="Y27" s="3222"/>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2"/>
      <c r="Q28" s="1809">
        <f t="shared" si="11"/>
        <v>111</v>
      </c>
      <c r="R28" s="773" t="s">
        <v>17</v>
      </c>
      <c r="S28" s="774">
        <f t="shared" ref="S28:S40" si="12">F28</f>
        <v>100</v>
      </c>
      <c r="T28" s="773" t="s">
        <v>17</v>
      </c>
      <c r="U28" s="774">
        <f t="shared" ref="U28:U40" si="13">H28</f>
        <v>100</v>
      </c>
      <c r="V28" s="773" t="s">
        <v>17</v>
      </c>
      <c r="W28" s="774">
        <f t="shared" ref="W28:W40" si="14">J28</f>
        <v>100</v>
      </c>
      <c r="X28" s="1812"/>
      <c r="Y28" s="3222"/>
      <c r="Z28" s="1813">
        <f t="shared" ref="Z28:Z40" si="15">Q28</f>
        <v>111</v>
      </c>
      <c r="AA28" s="1810">
        <f t="shared" si="3"/>
        <v>1</v>
      </c>
      <c r="AB28" s="1810">
        <f t="shared" si="4"/>
        <v>1</v>
      </c>
      <c r="AC28" s="1810">
        <f t="shared" si="5"/>
        <v>1</v>
      </c>
    </row>
    <row r="29" spans="1:29" ht="30">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45" t="s">
        <v>2559</v>
      </c>
      <c r="Q29" s="1809" t="str">
        <f t="shared" si="11"/>
        <v>建筑类型</v>
      </c>
      <c r="R29" s="773" t="s">
        <v>17</v>
      </c>
      <c r="S29" s="774">
        <f t="shared" si="12"/>
        <v>100</v>
      </c>
      <c r="T29" s="773" t="s">
        <v>17</v>
      </c>
      <c r="U29" s="774">
        <f t="shared" si="13"/>
        <v>100</v>
      </c>
      <c r="V29" s="773" t="s">
        <v>17</v>
      </c>
      <c r="W29" s="774">
        <f t="shared" si="14"/>
        <v>100</v>
      </c>
      <c r="X29" s="1812"/>
      <c r="Y29" s="3226"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6"/>
      <c r="Q31" s="1809" t="str">
        <f t="shared" si="11"/>
        <v>建筑结构</v>
      </c>
      <c r="R31" s="773" t="s">
        <v>17</v>
      </c>
      <c r="S31" s="774">
        <f t="shared" si="12"/>
        <v>100</v>
      </c>
      <c r="T31" s="773" t="s">
        <v>17</v>
      </c>
      <c r="U31" s="774">
        <f t="shared" si="13"/>
        <v>100</v>
      </c>
      <c r="V31" s="773" t="s">
        <v>17</v>
      </c>
      <c r="W31" s="774">
        <f t="shared" si="14"/>
        <v>100</v>
      </c>
      <c r="X31" s="1812"/>
      <c r="Y31" s="3226"/>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6"/>
      <c r="Q32" s="1809" t="str">
        <f t="shared" si="11"/>
        <v>公共部分装修</v>
      </c>
      <c r="R32" s="773" t="s">
        <v>17</v>
      </c>
      <c r="S32" s="774">
        <f t="shared" si="12"/>
        <v>100</v>
      </c>
      <c r="T32" s="773" t="s">
        <v>17</v>
      </c>
      <c r="U32" s="774">
        <f t="shared" si="13"/>
        <v>100</v>
      </c>
      <c r="V32" s="773" t="s">
        <v>17</v>
      </c>
      <c r="W32" s="774">
        <f t="shared" si="14"/>
        <v>100</v>
      </c>
      <c r="X32" s="1812"/>
      <c r="Y32" s="3226"/>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6"/>
      <c r="Q33" s="1809" t="str">
        <f t="shared" si="11"/>
        <v>成新度</v>
      </c>
      <c r="R33" s="773" t="s">
        <v>17</v>
      </c>
      <c r="S33" s="774" t="e">
        <f t="shared" si="12"/>
        <v>#N/A</v>
      </c>
      <c r="T33" s="773" t="s">
        <v>17</v>
      </c>
      <c r="U33" s="774" t="e">
        <f t="shared" si="13"/>
        <v>#N/A</v>
      </c>
      <c r="V33" s="773" t="s">
        <v>17</v>
      </c>
      <c r="W33" s="774" t="e">
        <f t="shared" si="14"/>
        <v>#N/A</v>
      </c>
      <c r="X33" s="1812"/>
      <c r="Y33" s="3226"/>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6"/>
      <c r="Q34" s="1794"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6" t="s">
        <v>2559</v>
      </c>
      <c r="Q35" s="1809" t="str">
        <f t="shared" si="11"/>
        <v>市政基础设施</v>
      </c>
      <c r="R35" s="773" t="s">
        <v>17</v>
      </c>
      <c r="S35" s="774">
        <f t="shared" si="12"/>
        <v>100</v>
      </c>
      <c r="T35" s="773" t="s">
        <v>17</v>
      </c>
      <c r="U35" s="774">
        <f t="shared" si="13"/>
        <v>100</v>
      </c>
      <c r="V35" s="773" t="s">
        <v>17</v>
      </c>
      <c r="W35" s="774">
        <f t="shared" si="14"/>
        <v>100</v>
      </c>
      <c r="X35" s="1812"/>
      <c r="Y35" s="3226"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6"/>
      <c r="Q36" s="1809" t="str">
        <f t="shared" si="11"/>
        <v>内部装修</v>
      </c>
      <c r="R36" s="773" t="s">
        <v>17</v>
      </c>
      <c r="S36" s="774">
        <f t="shared" si="12"/>
        <v>100</v>
      </c>
      <c r="T36" s="773" t="s">
        <v>17</v>
      </c>
      <c r="U36" s="774">
        <f t="shared" si="13"/>
        <v>100</v>
      </c>
      <c r="V36" s="773" t="s">
        <v>17</v>
      </c>
      <c r="W36" s="774">
        <f t="shared" si="14"/>
        <v>100</v>
      </c>
      <c r="X36" s="1812"/>
      <c r="Y36" s="3226"/>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6"/>
      <c r="Q37" s="1809" t="str">
        <f t="shared" si="11"/>
        <v>内部装修状况</v>
      </c>
      <c r="R37" s="773" t="s">
        <v>17</v>
      </c>
      <c r="S37" s="774">
        <f t="shared" si="12"/>
        <v>100</v>
      </c>
      <c r="T37" s="773" t="s">
        <v>17</v>
      </c>
      <c r="U37" s="774">
        <f t="shared" si="13"/>
        <v>100</v>
      </c>
      <c r="V37" s="773" t="s">
        <v>17</v>
      </c>
      <c r="W37" s="774">
        <f t="shared" si="14"/>
        <v>100</v>
      </c>
      <c r="X37" s="1812"/>
      <c r="Y37" s="322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6"/>
      <c r="Q39" s="1809">
        <f t="shared" si="11"/>
        <v>111</v>
      </c>
      <c r="R39" s="773" t="s">
        <v>17</v>
      </c>
      <c r="S39" s="774">
        <f t="shared" si="12"/>
        <v>100</v>
      </c>
      <c r="T39" s="773" t="s">
        <v>17</v>
      </c>
      <c r="U39" s="774">
        <f t="shared" si="13"/>
        <v>100</v>
      </c>
      <c r="V39" s="773" t="s">
        <v>17</v>
      </c>
      <c r="W39" s="774">
        <f t="shared" si="14"/>
        <v>100</v>
      </c>
      <c r="X39" s="1812"/>
      <c r="Y39" s="3226"/>
      <c r="Z39" s="1813">
        <f t="shared" si="15"/>
        <v>111</v>
      </c>
      <c r="AA39" s="1810">
        <f t="shared" si="3"/>
        <v>1</v>
      </c>
      <c r="AB39" s="1810">
        <f t="shared" si="4"/>
        <v>1</v>
      </c>
      <c r="AC39" s="1810">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7"/>
      <c r="Q40" s="1809">
        <f t="shared" si="11"/>
        <v>111</v>
      </c>
      <c r="R40" s="773" t="s">
        <v>17</v>
      </c>
      <c r="S40" s="774">
        <f t="shared" si="12"/>
        <v>100</v>
      </c>
      <c r="T40" s="773" t="s">
        <v>17</v>
      </c>
      <c r="U40" s="774">
        <f t="shared" si="13"/>
        <v>100</v>
      </c>
      <c r="V40" s="773" t="s">
        <v>17</v>
      </c>
      <c r="W40" s="774">
        <f t="shared" si="14"/>
        <v>100</v>
      </c>
      <c r="X40" s="1812"/>
      <c r="Y40" s="3227"/>
      <c r="Z40" s="1813">
        <f t="shared" si="15"/>
        <v>111</v>
      </c>
      <c r="AA40" s="1810">
        <f t="shared" si="3"/>
        <v>1</v>
      </c>
      <c r="AB40" s="1810">
        <f t="shared" si="4"/>
        <v>1</v>
      </c>
      <c r="AC40" s="1810">
        <f t="shared" si="5"/>
        <v>1</v>
      </c>
    </row>
    <row r="41" spans="1:29" ht="14.4">
      <c r="A41" s="478" t="s">
        <v>2571</v>
      </c>
      <c r="B41" s="479"/>
      <c r="C41" s="1406" t="s">
        <v>1</v>
      </c>
      <c r="D41" s="1407"/>
      <c r="E41" s="1408"/>
      <c r="F41" s="1409"/>
      <c r="G41" s="1410"/>
      <c r="H41" s="1411"/>
      <c r="I41" s="1408"/>
      <c r="J41" s="1411"/>
      <c r="K41" s="782"/>
      <c r="L41" s="1142"/>
      <c r="M41" s="1143"/>
      <c r="N41" s="1130"/>
      <c r="O41" s="1143"/>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 thickBot="1">
      <c r="A43" s="491" t="s">
        <v>2664</v>
      </c>
      <c r="B43" s="492"/>
      <c r="C43" s="1416" t="e">
        <f>R43</f>
        <v>#DIV/0!</v>
      </c>
      <c r="D43" s="1416"/>
      <c r="E43" s="1416"/>
      <c r="F43" s="1416"/>
      <c r="G43" s="1416"/>
      <c r="H43" s="1416"/>
      <c r="I43" s="1416"/>
      <c r="J43" s="1416"/>
      <c r="K43" s="784"/>
      <c r="L43" s="1142"/>
      <c r="M43" s="1143"/>
      <c r="N43" s="1143"/>
      <c r="O43" s="1143"/>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2668</v>
      </c>
      <c r="B51" s="758"/>
      <c r="C51" s="763"/>
      <c r="D51" s="763"/>
      <c r="E51" s="763"/>
      <c r="F51" s="764"/>
      <c r="G51" s="764"/>
      <c r="H51" s="763"/>
      <c r="I51" s="763"/>
      <c r="J51" s="763"/>
      <c r="K51" s="1159"/>
      <c r="L51" s="1160"/>
      <c r="M51" s="1158"/>
      <c r="N51" s="1158"/>
      <c r="O51" s="1158"/>
      <c r="P51" s="502"/>
      <c r="Q51" s="503"/>
    </row>
    <row r="52" spans="1:17" s="507" customFormat="1" ht="14.4">
      <c r="A52" s="504" t="s">
        <v>2542</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2579</v>
      </c>
      <c r="B54" s="515"/>
      <c r="C54" s="516"/>
      <c r="D54" s="517"/>
      <c r="E54" s="517"/>
      <c r="F54" s="517"/>
      <c r="G54" s="517"/>
      <c r="H54" s="517"/>
      <c r="I54" s="517"/>
      <c r="J54" s="517"/>
      <c r="K54" s="517"/>
      <c r="L54" s="517"/>
      <c r="M54" s="518"/>
      <c r="N54" s="517"/>
      <c r="O54" s="519"/>
      <c r="P54" s="503"/>
      <c r="Q54" s="503"/>
    </row>
    <row r="55" spans="1:17" s="117" customFormat="1" ht="14.4">
      <c r="A55" s="520" t="s">
        <v>2544</v>
      </c>
      <c r="B55" s="509"/>
      <c r="C55" s="521" t="s">
        <v>2646</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2582</v>
      </c>
      <c r="B57" s="527" t="s">
        <v>2548</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5"/>
      <c r="B87" s="568"/>
      <c r="C87" s="569"/>
      <c r="D87" s="569"/>
      <c r="E87" s="569"/>
      <c r="F87" s="569"/>
      <c r="G87" s="590"/>
      <c r="H87" s="590"/>
      <c r="I87" s="590"/>
      <c r="J87" s="590"/>
      <c r="K87" s="590"/>
      <c r="L87" s="590"/>
      <c r="M87" s="591"/>
      <c r="N87" s="1152"/>
      <c r="O87" s="1152"/>
      <c r="P87" s="45"/>
      <c r="Q87" s="503"/>
    </row>
    <row r="88" spans="1:17" ht="14.4">
      <c r="A88" s="526" t="s">
        <v>2557</v>
      </c>
      <c r="B88" s="527" t="s">
        <v>2606</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北京德利生华液化气有限公司：</v>
      </c>
    </row>
    <row r="4" spans="1:1" ht="34.799999999999997">
      <c r="A4" s="1947" t="str">
        <f>"受贵公司委托，我公司对"&amp;项目基本情况!S1&amp;"进行了预评估。"</f>
        <v>受贵公司委托，我公司对北京市昌平区南口镇前洼村南液化气站工业用房房地产房地产抵押价值进行了预评估。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2019年6月25日（评估专业人员实地查勘之日）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185" t="s">
        <v>2642</v>
      </c>
      <c r="AC4" s="3184" t="s">
        <v>2643</v>
      </c>
    </row>
    <row r="5" spans="1:29">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185"/>
      <c r="AC5" s="3185"/>
    </row>
    <row r="6" spans="1:29" ht="15" thickBot="1">
      <c r="A6" s="405"/>
      <c r="B6" s="406"/>
      <c r="C6" s="3197" t="s">
        <v>2540</v>
      </c>
      <c r="D6" s="3198"/>
      <c r="E6" s="3199" t="s">
        <v>2540</v>
      </c>
      <c r="F6" s="3200"/>
      <c r="G6" s="3197" t="s">
        <v>2540</v>
      </c>
      <c r="H6" s="3198"/>
      <c r="I6" s="3197" t="s">
        <v>2540</v>
      </c>
      <c r="J6" s="3198"/>
      <c r="K6" s="609" t="s">
        <v>2541</v>
      </c>
      <c r="L6" s="1129"/>
      <c r="M6" s="1130"/>
      <c r="N6" s="1130"/>
      <c r="O6" s="1130"/>
      <c r="P6" s="3210"/>
      <c r="Q6" s="3211"/>
      <c r="R6" s="3191"/>
      <c r="S6" s="3192"/>
      <c r="T6" s="3212"/>
      <c r="U6" s="3213"/>
      <c r="V6" s="3214"/>
      <c r="W6" s="3214"/>
      <c r="X6" s="1812"/>
      <c r="Y6" s="3212"/>
      <c r="Z6" s="3213"/>
      <c r="AA6" s="3186"/>
      <c r="AB6" s="3186"/>
      <c r="AC6" s="3186"/>
    </row>
    <row r="7" spans="1:29" s="117" customFormat="1" ht="15" thickBot="1">
      <c r="A7" s="407" t="s">
        <v>2542</v>
      </c>
      <c r="B7" s="408"/>
      <c r="C7" s="409">
        <f>'数据-取费表'!B2</f>
        <v>43641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87" t="s">
        <v>2543</v>
      </c>
      <c r="Q7" s="3215"/>
      <c r="R7" s="769" t="s">
        <v>17</v>
      </c>
      <c r="S7" s="770">
        <f t="shared" ref="S7:S14" si="0">F7</f>
        <v>0</v>
      </c>
      <c r="T7" s="769" t="s">
        <v>17</v>
      </c>
      <c r="U7" s="770">
        <f t="shared" ref="U7:U14" si="1">H7</f>
        <v>0</v>
      </c>
      <c r="V7" s="769" t="s">
        <v>17</v>
      </c>
      <c r="W7" s="770">
        <f t="shared" ref="W7:W14" si="2">J7</f>
        <v>0</v>
      </c>
      <c r="X7" s="771"/>
      <c r="Y7" s="3187" t="s">
        <v>2543</v>
      </c>
      <c r="Z7" s="3188"/>
      <c r="AA7" s="772" t="e">
        <f>D7/F7</f>
        <v>#DIV/0!</v>
      </c>
      <c r="AB7" s="772" t="e">
        <f>D7/H7</f>
        <v>#DIV/0!</v>
      </c>
      <c r="AC7" s="772" t="e">
        <f>D7/J7</f>
        <v>#DIV/0!</v>
      </c>
    </row>
    <row r="8" spans="1:29" s="117" customFormat="1" ht="1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36" si="3">D8/F8</f>
        <v>#DIV/0!</v>
      </c>
      <c r="AB8" s="772" t="e">
        <f t="shared" ref="AB8:AB36" si="4">D8/H8</f>
        <v>#DIV/0!</v>
      </c>
      <c r="AC8" s="772" t="e">
        <f t="shared" ref="AC8:AC36" si="5">D8/J8</f>
        <v>#DIV/0!</v>
      </c>
    </row>
    <row r="9" spans="1:29" s="117" customFormat="1" ht="14.4">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9" t="s">
        <v>2549</v>
      </c>
      <c r="Q9" s="1794" t="str">
        <f t="shared" ref="Q9:Q14" si="6">B9</f>
        <v>用途</v>
      </c>
      <c r="R9" s="769" t="s">
        <v>17</v>
      </c>
      <c r="S9" s="770">
        <f t="shared" si="0"/>
        <v>100</v>
      </c>
      <c r="T9" s="769" t="s">
        <v>17</v>
      </c>
      <c r="U9" s="770">
        <f t="shared" si="1"/>
        <v>100</v>
      </c>
      <c r="V9" s="769" t="s">
        <v>17</v>
      </c>
      <c r="W9" s="770">
        <f t="shared" si="2"/>
        <v>100</v>
      </c>
      <c r="X9" s="771"/>
      <c r="Y9" s="3034" t="s">
        <v>2550</v>
      </c>
      <c r="Z9" s="55" t="str">
        <f t="shared" ref="Z9:Z14" si="7">Q9</f>
        <v>用途</v>
      </c>
      <c r="AA9" s="772">
        <f t="shared" si="3"/>
        <v>1</v>
      </c>
      <c r="AB9" s="772">
        <f t="shared" si="4"/>
        <v>1</v>
      </c>
      <c r="AC9" s="772">
        <f t="shared" si="5"/>
        <v>1</v>
      </c>
    </row>
    <row r="10" spans="1:29" s="426" customFormat="1" ht="28.8">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9"/>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9"/>
      <c r="Q11" s="1794">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9"/>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9"/>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96.6">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1" t="s">
        <v>2554</v>
      </c>
      <c r="Q14" s="1809" t="str">
        <f t="shared" si="6"/>
        <v>交通便捷度</v>
      </c>
      <c r="R14" s="773" t="s">
        <v>17</v>
      </c>
      <c r="S14" s="774">
        <f t="shared" si="0"/>
        <v>100</v>
      </c>
      <c r="T14" s="773" t="s">
        <v>17</v>
      </c>
      <c r="U14" s="774">
        <f t="shared" si="1"/>
        <v>100</v>
      </c>
      <c r="V14" s="773" t="s">
        <v>17</v>
      </c>
      <c r="W14" s="774">
        <f t="shared" si="2"/>
        <v>100</v>
      </c>
      <c r="X14" s="1812"/>
      <c r="Y14" s="3221"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22"/>
      <c r="Q15" s="1809"/>
      <c r="R15" s="773"/>
      <c r="S15" s="774"/>
      <c r="T15" s="773"/>
      <c r="U15" s="774"/>
      <c r="V15" s="773"/>
      <c r="W15" s="774"/>
      <c r="X15" s="1812"/>
      <c r="Y15" s="3222"/>
      <c r="Z15" s="1813"/>
      <c r="AA15" s="1810">
        <v>1</v>
      </c>
      <c r="AB15" s="1810">
        <v>1</v>
      </c>
      <c r="AC15" s="1810">
        <v>1</v>
      </c>
    </row>
    <row r="16" spans="1:29" ht="41.4">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2"/>
      <c r="Q16" s="1809" t="str">
        <f>B16</f>
        <v>公共配套设施</v>
      </c>
      <c r="R16" s="773" t="s">
        <v>17</v>
      </c>
      <c r="S16" s="774">
        <f>F16</f>
        <v>100</v>
      </c>
      <c r="T16" s="773" t="s">
        <v>17</v>
      </c>
      <c r="U16" s="774">
        <f>H16</f>
        <v>100</v>
      </c>
      <c r="V16" s="773" t="s">
        <v>17</v>
      </c>
      <c r="W16" s="774">
        <f>J16</f>
        <v>100</v>
      </c>
      <c r="X16" s="1812"/>
      <c r="Y16" s="3222"/>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222"/>
      <c r="Q17" s="1809"/>
      <c r="R17" s="773"/>
      <c r="S17" s="774"/>
      <c r="T17" s="773"/>
      <c r="U17" s="774"/>
      <c r="V17" s="773"/>
      <c r="W17" s="774"/>
      <c r="X17" s="1812"/>
      <c r="Y17" s="3222"/>
      <c r="Z17" s="1813"/>
      <c r="AA17" s="1810">
        <v>1</v>
      </c>
      <c r="AB17" s="1810">
        <v>1</v>
      </c>
      <c r="AC17" s="1810">
        <v>1</v>
      </c>
    </row>
    <row r="18" spans="1:29" ht="41.4">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2"/>
      <c r="Q18" s="1809" t="str">
        <f>B18</f>
        <v>基础设施水平</v>
      </c>
      <c r="R18" s="773" t="s">
        <v>17</v>
      </c>
      <c r="S18" s="774">
        <f>F18</f>
        <v>100</v>
      </c>
      <c r="T18" s="773" t="s">
        <v>17</v>
      </c>
      <c r="U18" s="774">
        <f>H18</f>
        <v>100</v>
      </c>
      <c r="V18" s="773" t="s">
        <v>17</v>
      </c>
      <c r="W18" s="774">
        <f>J18</f>
        <v>100</v>
      </c>
      <c r="X18" s="1812"/>
      <c r="Y18" s="3222"/>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222"/>
      <c r="Q19" s="1809"/>
      <c r="R19" s="773"/>
      <c r="S19" s="774"/>
      <c r="T19" s="773"/>
      <c r="U19" s="774"/>
      <c r="V19" s="773"/>
      <c r="W19" s="774"/>
      <c r="X19" s="1812"/>
      <c r="Y19" s="3222"/>
      <c r="Z19" s="1813"/>
      <c r="AA19" s="1810">
        <v>1</v>
      </c>
      <c r="AB19" s="1810">
        <v>1</v>
      </c>
      <c r="AC19" s="1810">
        <v>1</v>
      </c>
    </row>
    <row r="20" spans="1:29" ht="55.2">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2"/>
      <c r="Q20" s="1809" t="str">
        <f>B20</f>
        <v>自然及人文环境</v>
      </c>
      <c r="R20" s="773" t="s">
        <v>17</v>
      </c>
      <c r="S20" s="774">
        <f>F20</f>
        <v>100</v>
      </c>
      <c r="T20" s="773" t="s">
        <v>17</v>
      </c>
      <c r="U20" s="774">
        <f>H20</f>
        <v>100</v>
      </c>
      <c r="V20" s="773" t="s">
        <v>17</v>
      </c>
      <c r="W20" s="774">
        <f>J20</f>
        <v>100</v>
      </c>
      <c r="X20" s="1812"/>
      <c r="Y20" s="322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22"/>
      <c r="Q21" s="1809"/>
      <c r="R21" s="773"/>
      <c r="S21" s="774"/>
      <c r="T21" s="773"/>
      <c r="U21" s="774"/>
      <c r="V21" s="773"/>
      <c r="W21" s="774"/>
      <c r="X21" s="1812"/>
      <c r="Y21" s="3222"/>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2"/>
      <c r="Q22" s="1809" t="str">
        <f>B22</f>
        <v>楼层</v>
      </c>
      <c r="R22" s="773" t="s">
        <v>17</v>
      </c>
      <c r="S22" s="774">
        <f>F22</f>
        <v>100</v>
      </c>
      <c r="T22" s="773" t="s">
        <v>17</v>
      </c>
      <c r="U22" s="774">
        <f>H22</f>
        <v>100</v>
      </c>
      <c r="V22" s="773" t="s">
        <v>17</v>
      </c>
      <c r="W22" s="774">
        <f>J22</f>
        <v>100</v>
      </c>
      <c r="X22" s="1812"/>
      <c r="Y22" s="322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2"/>
      <c r="Q23" s="1809">
        <f>B23</f>
        <v>111</v>
      </c>
      <c r="R23" s="773" t="s">
        <v>17</v>
      </c>
      <c r="S23" s="774">
        <f>F23</f>
        <v>100</v>
      </c>
      <c r="T23" s="773" t="s">
        <v>17</v>
      </c>
      <c r="U23" s="774">
        <f>H23</f>
        <v>100</v>
      </c>
      <c r="V23" s="773" t="s">
        <v>17</v>
      </c>
      <c r="W23" s="774">
        <f>J23</f>
        <v>100</v>
      </c>
      <c r="X23" s="1812"/>
      <c r="Y23" s="322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2"/>
      <c r="Q24" s="1809">
        <f t="shared" ref="Q24:Q36" si="11">B24</f>
        <v>111</v>
      </c>
      <c r="R24" s="773" t="s">
        <v>17</v>
      </c>
      <c r="S24" s="774">
        <f>F24</f>
        <v>100</v>
      </c>
      <c r="T24" s="773" t="s">
        <v>17</v>
      </c>
      <c r="U24" s="774">
        <f>H24</f>
        <v>100</v>
      </c>
      <c r="V24" s="773" t="s">
        <v>17</v>
      </c>
      <c r="W24" s="774">
        <f>J24</f>
        <v>100</v>
      </c>
      <c r="X24" s="1812"/>
      <c r="Y24" s="3222"/>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2"/>
      <c r="Q25" s="1794">
        <f t="shared" si="11"/>
        <v>111</v>
      </c>
      <c r="R25" s="769" t="s">
        <v>17</v>
      </c>
      <c r="S25" s="770">
        <f>F25</f>
        <v>100</v>
      </c>
      <c r="T25" s="769" t="s">
        <v>17</v>
      </c>
      <c r="U25" s="770">
        <f>H25</f>
        <v>100</v>
      </c>
      <c r="V25" s="769" t="s">
        <v>17</v>
      </c>
      <c r="W25" s="770">
        <f>J25</f>
        <v>100</v>
      </c>
      <c r="X25" s="771"/>
      <c r="Y25" s="3222"/>
      <c r="Z25" s="55">
        <f>Q25</f>
        <v>111</v>
      </c>
      <c r="AA25" s="1810">
        <f>D25/F25</f>
        <v>1</v>
      </c>
      <c r="AB25" s="1810">
        <f>D25/H25</f>
        <v>1</v>
      </c>
      <c r="AC25" s="1810">
        <f>D25/J25</f>
        <v>1</v>
      </c>
    </row>
    <row r="26" spans="1:29" ht="30">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5"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26"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6"/>
      <c r="Q28" s="1809" t="str">
        <f t="shared" si="11"/>
        <v>公共部分装修</v>
      </c>
      <c r="R28" s="773" t="s">
        <v>17</v>
      </c>
      <c r="S28" s="774">
        <f t="shared" si="12"/>
        <v>100</v>
      </c>
      <c r="T28" s="773" t="s">
        <v>17</v>
      </c>
      <c r="U28" s="774">
        <f t="shared" si="13"/>
        <v>100</v>
      </c>
      <c r="V28" s="773" t="s">
        <v>17</v>
      </c>
      <c r="W28" s="774">
        <f t="shared" si="14"/>
        <v>100</v>
      </c>
      <c r="X28" s="1812"/>
      <c r="Y28" s="3226"/>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6"/>
      <c r="Q29" s="1809" t="str">
        <f t="shared" si="11"/>
        <v>成新率</v>
      </c>
      <c r="R29" s="773" t="s">
        <v>17</v>
      </c>
      <c r="S29" s="774" t="e">
        <f t="shared" si="12"/>
        <v>#N/A</v>
      </c>
      <c r="T29" s="773" t="s">
        <v>17</v>
      </c>
      <c r="U29" s="774" t="e">
        <f t="shared" si="13"/>
        <v>#N/A</v>
      </c>
      <c r="V29" s="773" t="s">
        <v>17</v>
      </c>
      <c r="W29" s="774" t="e">
        <f t="shared" si="14"/>
        <v>#N/A</v>
      </c>
      <c r="X29" s="1812"/>
      <c r="Y29" s="3226"/>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6"/>
      <c r="Q30" s="1809" t="str">
        <f t="shared" si="11"/>
        <v>物业等级</v>
      </c>
      <c r="R30" s="773" t="s">
        <v>17</v>
      </c>
      <c r="S30" s="774">
        <f t="shared" si="12"/>
        <v>100</v>
      </c>
      <c r="T30" s="773" t="s">
        <v>17</v>
      </c>
      <c r="U30" s="774">
        <f t="shared" si="13"/>
        <v>100</v>
      </c>
      <c r="V30" s="773" t="s">
        <v>17</v>
      </c>
      <c r="W30" s="774">
        <f t="shared" si="14"/>
        <v>100</v>
      </c>
      <c r="X30" s="1812"/>
      <c r="Y30" s="3226"/>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6"/>
      <c r="Q31" s="1794"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6" t="s">
        <v>2559</v>
      </c>
      <c r="Q32" s="1809" t="str">
        <f t="shared" si="11"/>
        <v>车位类型</v>
      </c>
      <c r="R32" s="773" t="s">
        <v>17</v>
      </c>
      <c r="S32" s="774">
        <f t="shared" si="12"/>
        <v>100</v>
      </c>
      <c r="T32" s="773" t="s">
        <v>17</v>
      </c>
      <c r="U32" s="774">
        <f t="shared" si="13"/>
        <v>100</v>
      </c>
      <c r="V32" s="773" t="s">
        <v>17</v>
      </c>
      <c r="W32" s="774">
        <f t="shared" si="14"/>
        <v>100</v>
      </c>
      <c r="X32" s="1812"/>
      <c r="Y32" s="3226"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6"/>
      <c r="Q33" s="1809" t="str">
        <f t="shared" si="11"/>
        <v>是否直接入户</v>
      </c>
      <c r="R33" s="773" t="s">
        <v>17</v>
      </c>
      <c r="S33" s="774">
        <f t="shared" si="12"/>
        <v>100</v>
      </c>
      <c r="T33" s="773" t="s">
        <v>17</v>
      </c>
      <c r="U33" s="774">
        <f t="shared" si="13"/>
        <v>100</v>
      </c>
      <c r="V33" s="773" t="s">
        <v>17</v>
      </c>
      <c r="W33" s="774">
        <f t="shared" si="14"/>
        <v>100</v>
      </c>
      <c r="X33" s="1812"/>
      <c r="Y33" s="322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6"/>
      <c r="Q34" s="1809">
        <f t="shared" si="11"/>
        <v>111</v>
      </c>
      <c r="R34" s="773" t="s">
        <v>17</v>
      </c>
      <c r="S34" s="774">
        <f t="shared" si="12"/>
        <v>100</v>
      </c>
      <c r="T34" s="773" t="s">
        <v>17</v>
      </c>
      <c r="U34" s="774">
        <f t="shared" si="13"/>
        <v>100</v>
      </c>
      <c r="V34" s="773" t="s">
        <v>17</v>
      </c>
      <c r="W34" s="774">
        <f t="shared" si="14"/>
        <v>100</v>
      </c>
      <c r="X34" s="1812"/>
      <c r="Y34" s="322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6"/>
      <c r="Q36" s="1809">
        <f t="shared" si="11"/>
        <v>111</v>
      </c>
      <c r="R36" s="773" t="s">
        <v>17</v>
      </c>
      <c r="S36" s="774">
        <f t="shared" si="12"/>
        <v>100</v>
      </c>
      <c r="T36" s="773" t="s">
        <v>17</v>
      </c>
      <c r="U36" s="774">
        <f t="shared" si="13"/>
        <v>100</v>
      </c>
      <c r="V36" s="773" t="s">
        <v>17</v>
      </c>
      <c r="W36" s="774">
        <f t="shared" si="14"/>
        <v>100</v>
      </c>
      <c r="X36" s="1812"/>
      <c r="Y36" s="3226"/>
      <c r="Z36" s="1813">
        <f t="shared" si="15"/>
        <v>111</v>
      </c>
      <c r="AA36" s="1810">
        <f t="shared" si="3"/>
        <v>1</v>
      </c>
      <c r="AB36" s="1810">
        <f t="shared" si="4"/>
        <v>1</v>
      </c>
      <c r="AC36" s="1810">
        <f t="shared" si="5"/>
        <v>1</v>
      </c>
    </row>
    <row r="37" spans="1:29" ht="14.4">
      <c r="A37" s="478" t="s">
        <v>2714</v>
      </c>
      <c r="B37" s="2694" t="s">
        <v>2715</v>
      </c>
      <c r="C37" s="1406" t="s">
        <v>1</v>
      </c>
      <c r="D37" s="1407"/>
      <c r="E37" s="1408"/>
      <c r="F37" s="1409"/>
      <c r="G37" s="1410"/>
      <c r="H37" s="1411"/>
      <c r="I37" s="1408"/>
      <c r="J37" s="1411"/>
      <c r="K37" s="618"/>
      <c r="L37" s="1142"/>
      <c r="M37" s="1143"/>
      <c r="N37" s="1130"/>
      <c r="O37" s="1143"/>
      <c r="P37" s="3219" t="str">
        <f>A37</f>
        <v>成交单价</v>
      </c>
      <c r="Q37" s="3219"/>
      <c r="R37" s="3220">
        <f>E37</f>
        <v>0</v>
      </c>
      <c r="S37" s="3220"/>
      <c r="T37" s="3220">
        <f>G37</f>
        <v>0</v>
      </c>
      <c r="U37" s="3220"/>
      <c r="V37" s="3220">
        <f>I37</f>
        <v>0</v>
      </c>
      <c r="W37" s="3220"/>
      <c r="X37" s="758"/>
      <c r="Y37" s="780"/>
      <c r="Z37" s="758"/>
      <c r="AA37" s="758"/>
      <c r="AB37" s="758"/>
      <c r="AC37" s="758"/>
    </row>
    <row r="38" spans="1:29" ht="1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 thickBot="1">
      <c r="A39" s="491" t="s">
        <v>2717</v>
      </c>
      <c r="B39" s="492"/>
      <c r="C39" s="1416" t="e">
        <f>R39</f>
        <v>#DIV/0!</v>
      </c>
      <c r="D39" s="1416"/>
      <c r="E39" s="1416"/>
      <c r="F39" s="1416"/>
      <c r="G39" s="1416"/>
      <c r="H39" s="1416"/>
      <c r="I39" s="1416"/>
      <c r="J39" s="1416"/>
      <c r="K39" s="620"/>
      <c r="L39" s="1142"/>
      <c r="M39" s="1143"/>
      <c r="N39" s="1143"/>
      <c r="O39" s="1143"/>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2722</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185" t="s">
        <v>2642</v>
      </c>
      <c r="AC4" s="3184" t="s">
        <v>2643</v>
      </c>
    </row>
    <row r="5" spans="1:29">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185"/>
      <c r="AC5" s="3185"/>
    </row>
    <row r="6" spans="1:29" ht="15" thickBot="1">
      <c r="A6" s="405"/>
      <c r="B6" s="406"/>
      <c r="C6" s="3197" t="s">
        <v>2540</v>
      </c>
      <c r="D6" s="3198"/>
      <c r="E6" s="3199" t="s">
        <v>2540</v>
      </c>
      <c r="F6" s="3200"/>
      <c r="G6" s="3197" t="s">
        <v>2540</v>
      </c>
      <c r="H6" s="3198"/>
      <c r="I6" s="3197" t="s">
        <v>2540</v>
      </c>
      <c r="J6" s="3198"/>
      <c r="K6" s="609" t="s">
        <v>2541</v>
      </c>
      <c r="L6" s="1129"/>
      <c r="M6" s="1130"/>
      <c r="N6" s="1130"/>
      <c r="O6" s="1130"/>
      <c r="P6" s="3210"/>
      <c r="Q6" s="3211"/>
      <c r="R6" s="3191"/>
      <c r="S6" s="3192"/>
      <c r="T6" s="3212"/>
      <c r="U6" s="3213"/>
      <c r="V6" s="3214"/>
      <c r="W6" s="3214"/>
      <c r="X6" s="1812"/>
      <c r="Y6" s="3212"/>
      <c r="Z6" s="3213"/>
      <c r="AA6" s="3186"/>
      <c r="AB6" s="3186"/>
      <c r="AC6" s="3186"/>
    </row>
    <row r="7" spans="1:29" s="117" customFormat="1" ht="15" thickBot="1">
      <c r="A7" s="407" t="s">
        <v>2542</v>
      </c>
      <c r="B7" s="408"/>
      <c r="C7" s="409">
        <f>'数据-取费表'!B2</f>
        <v>43641</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187" t="s">
        <v>2543</v>
      </c>
      <c r="Q7" s="3215"/>
      <c r="R7" s="769" t="s">
        <v>17</v>
      </c>
      <c r="S7" s="770">
        <f t="shared" ref="S7:S14" si="0">F7</f>
        <v>0</v>
      </c>
      <c r="T7" s="769" t="s">
        <v>17</v>
      </c>
      <c r="U7" s="770">
        <f t="shared" ref="U7:U14" si="1">H7</f>
        <v>0</v>
      </c>
      <c r="V7" s="769" t="s">
        <v>17</v>
      </c>
      <c r="W7" s="770">
        <f t="shared" ref="W7:W14" si="2">J7</f>
        <v>0</v>
      </c>
      <c r="X7" s="771"/>
      <c r="Y7" s="3187" t="s">
        <v>2543</v>
      </c>
      <c r="Z7" s="3188"/>
      <c r="AA7" s="772" t="e">
        <f>D7/F7</f>
        <v>#DIV/0!</v>
      </c>
      <c r="AB7" s="772" t="e">
        <f>D7/H7</f>
        <v>#DIV/0!</v>
      </c>
      <c r="AC7" s="772" t="e">
        <f>D7/J7</f>
        <v>#DIV/0!</v>
      </c>
    </row>
    <row r="8" spans="1:29" s="117" customFormat="1" ht="1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34" si="3">D8/F8</f>
        <v>#DIV/0!</v>
      </c>
      <c r="AB8" s="772" t="e">
        <f t="shared" ref="AB8:AB34" si="4">D8/H8</f>
        <v>#DIV/0!</v>
      </c>
      <c r="AC8" s="772" t="e">
        <f t="shared" ref="AC8:AC34" si="5">D8/J8</f>
        <v>#DIV/0!</v>
      </c>
    </row>
    <row r="9" spans="1:29" s="117" customFormat="1" ht="14.4">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9" t="s">
        <v>2549</v>
      </c>
      <c r="Q9" s="1794" t="str">
        <f t="shared" ref="Q9:Q14" si="6">B9</f>
        <v>用途</v>
      </c>
      <c r="R9" s="769" t="s">
        <v>17</v>
      </c>
      <c r="S9" s="770">
        <f t="shared" si="0"/>
        <v>100</v>
      </c>
      <c r="T9" s="769" t="s">
        <v>17</v>
      </c>
      <c r="U9" s="770">
        <f t="shared" si="1"/>
        <v>100</v>
      </c>
      <c r="V9" s="769" t="s">
        <v>17</v>
      </c>
      <c r="W9" s="770">
        <f t="shared" si="2"/>
        <v>100</v>
      </c>
      <c r="X9" s="771"/>
      <c r="Y9" s="3034" t="s">
        <v>2550</v>
      </c>
      <c r="Z9" s="55" t="str">
        <f t="shared" ref="Z9:Z14" si="7">Q9</f>
        <v>用途</v>
      </c>
      <c r="AA9" s="772">
        <f t="shared" si="3"/>
        <v>1</v>
      </c>
      <c r="AB9" s="772">
        <f t="shared" si="4"/>
        <v>1</v>
      </c>
      <c r="AC9" s="772">
        <f t="shared" si="5"/>
        <v>1</v>
      </c>
    </row>
    <row r="10" spans="1:29" s="426" customFormat="1" ht="28.8">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9"/>
      <c r="Q10" s="1794"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9"/>
      <c r="Q11" s="1794">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96.6">
      <c r="A14" s="439" t="s">
        <v>2553</v>
      </c>
      <c r="B14" s="69"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1" t="s">
        <v>2554</v>
      </c>
      <c r="Q14" s="1809" t="str">
        <f t="shared" si="6"/>
        <v>交通便捷度</v>
      </c>
      <c r="R14" s="773" t="s">
        <v>17</v>
      </c>
      <c r="S14" s="774">
        <f t="shared" si="0"/>
        <v>100</v>
      </c>
      <c r="T14" s="773" t="s">
        <v>17</v>
      </c>
      <c r="U14" s="774">
        <f t="shared" si="1"/>
        <v>100</v>
      </c>
      <c r="V14" s="773" t="s">
        <v>17</v>
      </c>
      <c r="W14" s="774">
        <f t="shared" si="2"/>
        <v>100</v>
      </c>
      <c r="X14" s="1812"/>
      <c r="Y14" s="3221"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22"/>
      <c r="Q15" s="1809"/>
      <c r="R15" s="773"/>
      <c r="S15" s="774"/>
      <c r="T15" s="773"/>
      <c r="U15" s="774"/>
      <c r="V15" s="773"/>
      <c r="W15" s="774"/>
      <c r="X15" s="1812"/>
      <c r="Y15" s="3222"/>
      <c r="Z15" s="1813"/>
      <c r="AA15" s="1810">
        <v>1</v>
      </c>
      <c r="AB15" s="1810">
        <v>1</v>
      </c>
      <c r="AC15" s="1810">
        <v>1</v>
      </c>
    </row>
    <row r="16" spans="1:29" ht="41.4">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2"/>
      <c r="Q16" s="1809" t="str">
        <f>B16</f>
        <v>公共配套设施</v>
      </c>
      <c r="R16" s="773" t="s">
        <v>17</v>
      </c>
      <c r="S16" s="774">
        <f>F16</f>
        <v>100</v>
      </c>
      <c r="T16" s="773" t="s">
        <v>17</v>
      </c>
      <c r="U16" s="774">
        <f>H16</f>
        <v>100</v>
      </c>
      <c r="V16" s="773" t="s">
        <v>17</v>
      </c>
      <c r="W16" s="774">
        <f>J16</f>
        <v>100</v>
      </c>
      <c r="X16" s="1812"/>
      <c r="Y16" s="3222"/>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222"/>
      <c r="Q17" s="1809"/>
      <c r="R17" s="773"/>
      <c r="S17" s="774"/>
      <c r="T17" s="773"/>
      <c r="U17" s="774"/>
      <c r="V17" s="773"/>
      <c r="W17" s="774"/>
      <c r="X17" s="1812"/>
      <c r="Y17" s="3222"/>
      <c r="Z17" s="1813"/>
      <c r="AA17" s="1810">
        <v>1</v>
      </c>
      <c r="AB17" s="1810">
        <v>1</v>
      </c>
      <c r="AC17" s="1810">
        <v>1</v>
      </c>
    </row>
    <row r="18" spans="1:29" ht="41.4">
      <c r="A18" s="427"/>
      <c r="B18" s="1383"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2"/>
      <c r="Q18" s="1809" t="str">
        <f>B18</f>
        <v>基础设施水平</v>
      </c>
      <c r="R18" s="773" t="s">
        <v>17</v>
      </c>
      <c r="S18" s="774">
        <f>F18</f>
        <v>100</v>
      </c>
      <c r="T18" s="773" t="s">
        <v>17</v>
      </c>
      <c r="U18" s="774">
        <f>H18</f>
        <v>100</v>
      </c>
      <c r="V18" s="773" t="s">
        <v>17</v>
      </c>
      <c r="W18" s="774">
        <f>J18</f>
        <v>100</v>
      </c>
      <c r="X18" s="1812"/>
      <c r="Y18" s="3222"/>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222"/>
      <c r="Q19" s="1809"/>
      <c r="R19" s="773"/>
      <c r="S19" s="774"/>
      <c r="T19" s="773"/>
      <c r="U19" s="774"/>
      <c r="V19" s="773"/>
      <c r="W19" s="774"/>
      <c r="X19" s="1812"/>
      <c r="Y19" s="3222"/>
      <c r="Z19" s="1813"/>
      <c r="AA19" s="1810">
        <v>1</v>
      </c>
      <c r="AB19" s="1810">
        <v>1</v>
      </c>
      <c r="AC19" s="1810">
        <v>1</v>
      </c>
    </row>
    <row r="20" spans="1:29" ht="55.2">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2"/>
      <c r="Q20" s="1809" t="str">
        <f>B20</f>
        <v>自然及人文环境</v>
      </c>
      <c r="R20" s="773" t="s">
        <v>17</v>
      </c>
      <c r="S20" s="774">
        <f>F20</f>
        <v>100</v>
      </c>
      <c r="T20" s="773" t="s">
        <v>17</v>
      </c>
      <c r="U20" s="774">
        <f>H20</f>
        <v>100</v>
      </c>
      <c r="V20" s="773" t="s">
        <v>17</v>
      </c>
      <c r="W20" s="774">
        <f>J20</f>
        <v>100</v>
      </c>
      <c r="X20" s="1812"/>
      <c r="Y20" s="322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22"/>
      <c r="Q21" s="1809"/>
      <c r="R21" s="773"/>
      <c r="S21" s="774"/>
      <c r="T21" s="773"/>
      <c r="U21" s="774"/>
      <c r="V21" s="773"/>
      <c r="W21" s="774"/>
      <c r="X21" s="1812"/>
      <c r="Y21" s="3222"/>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2"/>
      <c r="Q22" s="1809" t="str">
        <f>B22</f>
        <v>楼层</v>
      </c>
      <c r="R22" s="773" t="s">
        <v>17</v>
      </c>
      <c r="S22" s="774">
        <f>F22</f>
        <v>100</v>
      </c>
      <c r="T22" s="773" t="s">
        <v>17</v>
      </c>
      <c r="U22" s="774">
        <f>H22</f>
        <v>100</v>
      </c>
      <c r="V22" s="773" t="s">
        <v>17</v>
      </c>
      <c r="W22" s="774">
        <f>J22</f>
        <v>100</v>
      </c>
      <c r="X22" s="1812"/>
      <c r="Y22" s="3222"/>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2"/>
      <c r="Q23" s="1809">
        <f>B23</f>
        <v>111</v>
      </c>
      <c r="R23" s="773" t="s">
        <v>17</v>
      </c>
      <c r="S23" s="774">
        <f>F23</f>
        <v>100</v>
      </c>
      <c r="T23" s="773" t="s">
        <v>17</v>
      </c>
      <c r="U23" s="774">
        <f>H23</f>
        <v>100</v>
      </c>
      <c r="V23" s="773" t="s">
        <v>17</v>
      </c>
      <c r="W23" s="774">
        <f>J23</f>
        <v>100</v>
      </c>
      <c r="X23" s="1812"/>
      <c r="Y23" s="3222"/>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2"/>
      <c r="Q24" s="1809">
        <f t="shared" ref="Q24:Q34" si="11">B24</f>
        <v>111</v>
      </c>
      <c r="R24" s="773" t="s">
        <v>17</v>
      </c>
      <c r="S24" s="774">
        <f>F24</f>
        <v>100</v>
      </c>
      <c r="T24" s="773" t="s">
        <v>17</v>
      </c>
      <c r="U24" s="774">
        <f>H24</f>
        <v>100</v>
      </c>
      <c r="V24" s="773" t="s">
        <v>17</v>
      </c>
      <c r="W24" s="774">
        <f>J24</f>
        <v>100</v>
      </c>
      <c r="X24" s="1812"/>
      <c r="Y24" s="3222"/>
      <c r="Z24" s="1813">
        <f>Q24</f>
        <v>111</v>
      </c>
      <c r="AA24" s="1810">
        <f t="shared" si="3"/>
        <v>1</v>
      </c>
      <c r="AB24" s="1810">
        <f t="shared" si="4"/>
        <v>1</v>
      </c>
      <c r="AC24" s="1810">
        <f t="shared" si="5"/>
        <v>1</v>
      </c>
    </row>
    <row r="25" spans="1:29" s="117" customFormat="1" ht="15.6"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222"/>
      <c r="Q25" s="1794">
        <f t="shared" si="11"/>
        <v>111</v>
      </c>
      <c r="R25" s="769" t="s">
        <v>17</v>
      </c>
      <c r="S25" s="770">
        <f>F25</f>
        <v>100</v>
      </c>
      <c r="T25" s="769" t="s">
        <v>17</v>
      </c>
      <c r="U25" s="770">
        <f>H25</f>
        <v>100</v>
      </c>
      <c r="V25" s="769" t="s">
        <v>17</v>
      </c>
      <c r="W25" s="770">
        <f>J25</f>
        <v>100</v>
      </c>
      <c r="X25" s="771"/>
      <c r="Y25" s="3222"/>
      <c r="Z25" s="55">
        <f>Q25</f>
        <v>111</v>
      </c>
      <c r="AA25" s="1810">
        <f>D25/F25</f>
        <v>1</v>
      </c>
      <c r="AB25" s="1810">
        <f>D25/H25</f>
        <v>1</v>
      </c>
      <c r="AC25" s="1810">
        <f>D25/J25</f>
        <v>1</v>
      </c>
    </row>
    <row r="26" spans="1:29" ht="30">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45"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26"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6"/>
      <c r="Q28" s="1809" t="str">
        <f t="shared" si="11"/>
        <v>物业等级</v>
      </c>
      <c r="R28" s="773" t="s">
        <v>17</v>
      </c>
      <c r="S28" s="774">
        <f t="shared" si="12"/>
        <v>100</v>
      </c>
      <c r="T28" s="773" t="s">
        <v>17</v>
      </c>
      <c r="U28" s="774">
        <f t="shared" si="13"/>
        <v>100</v>
      </c>
      <c r="V28" s="773" t="s">
        <v>17</v>
      </c>
      <c r="W28" s="774">
        <f t="shared" si="14"/>
        <v>100</v>
      </c>
      <c r="X28" s="1812"/>
      <c r="Y28" s="3226"/>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6"/>
      <c r="Q29" s="1809" t="str">
        <f t="shared" si="11"/>
        <v>有无电梯</v>
      </c>
      <c r="R29" s="773" t="s">
        <v>17</v>
      </c>
      <c r="S29" s="774">
        <f t="shared" si="12"/>
        <v>100</v>
      </c>
      <c r="T29" s="773" t="s">
        <v>17</v>
      </c>
      <c r="U29" s="774">
        <f t="shared" si="13"/>
        <v>100</v>
      </c>
      <c r="V29" s="773" t="s">
        <v>17</v>
      </c>
      <c r="W29" s="774">
        <f t="shared" si="14"/>
        <v>100</v>
      </c>
      <c r="X29" s="1812"/>
      <c r="Y29" s="3226"/>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6"/>
      <c r="Q30" s="1809" t="str">
        <f t="shared" si="11"/>
        <v>建筑面积</v>
      </c>
      <c r="R30" s="773" t="s">
        <v>17</v>
      </c>
      <c r="S30" s="774" t="e">
        <f t="shared" si="12"/>
        <v>#N/A</v>
      </c>
      <c r="T30" s="773" t="s">
        <v>17</v>
      </c>
      <c r="U30" s="774" t="e">
        <f t="shared" si="13"/>
        <v>#N/A</v>
      </c>
      <c r="V30" s="773" t="s">
        <v>17</v>
      </c>
      <c r="W30" s="774" t="e">
        <f t="shared" si="14"/>
        <v>#N/A</v>
      </c>
      <c r="X30" s="1812"/>
      <c r="Y30" s="3226"/>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6"/>
      <c r="Q31" s="1794"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6" t="s">
        <v>2559</v>
      </c>
      <c r="Q32" s="1809">
        <f t="shared" si="11"/>
        <v>111</v>
      </c>
      <c r="R32" s="773" t="s">
        <v>17</v>
      </c>
      <c r="S32" s="774">
        <f t="shared" si="12"/>
        <v>100</v>
      </c>
      <c r="T32" s="773" t="s">
        <v>17</v>
      </c>
      <c r="U32" s="774">
        <f t="shared" si="13"/>
        <v>100</v>
      </c>
      <c r="V32" s="773" t="s">
        <v>17</v>
      </c>
      <c r="W32" s="774">
        <f t="shared" si="14"/>
        <v>100</v>
      </c>
      <c r="X32" s="1812"/>
      <c r="Y32" s="3226" t="s">
        <v>2559</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6"/>
      <c r="Q33" s="1809">
        <f t="shared" si="11"/>
        <v>111</v>
      </c>
      <c r="R33" s="773" t="s">
        <v>17</v>
      </c>
      <c r="S33" s="774">
        <f t="shared" si="12"/>
        <v>100</v>
      </c>
      <c r="T33" s="773" t="s">
        <v>17</v>
      </c>
      <c r="U33" s="774">
        <f t="shared" si="13"/>
        <v>100</v>
      </c>
      <c r="V33" s="773" t="s">
        <v>17</v>
      </c>
      <c r="W33" s="774">
        <f t="shared" si="14"/>
        <v>100</v>
      </c>
      <c r="X33" s="1812"/>
      <c r="Y33" s="3226"/>
      <c r="Z33" s="1813">
        <f t="shared" si="15"/>
        <v>111</v>
      </c>
      <c r="AA33" s="1810">
        <f t="shared" si="3"/>
        <v>1</v>
      </c>
      <c r="AB33" s="1810">
        <f t="shared" si="4"/>
        <v>1</v>
      </c>
      <c r="AC33" s="1810">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226"/>
      <c r="Q34" s="1809">
        <f t="shared" si="11"/>
        <v>111</v>
      </c>
      <c r="R34" s="773" t="s">
        <v>17</v>
      </c>
      <c r="S34" s="774">
        <f t="shared" si="12"/>
        <v>100</v>
      </c>
      <c r="T34" s="773" t="s">
        <v>17</v>
      </c>
      <c r="U34" s="774">
        <f t="shared" si="13"/>
        <v>100</v>
      </c>
      <c r="V34" s="773" t="s">
        <v>17</v>
      </c>
      <c r="W34" s="774">
        <f t="shared" si="14"/>
        <v>100</v>
      </c>
      <c r="X34" s="1812"/>
      <c r="Y34" s="3226"/>
      <c r="Z34" s="1813">
        <f t="shared" si="15"/>
        <v>111</v>
      </c>
      <c r="AA34" s="1810">
        <f t="shared" si="3"/>
        <v>1</v>
      </c>
      <c r="AB34" s="1810">
        <f t="shared" si="4"/>
        <v>1</v>
      </c>
      <c r="AC34" s="1810">
        <f t="shared" si="5"/>
        <v>1</v>
      </c>
    </row>
    <row r="35" spans="1:29" ht="14.4">
      <c r="A35" s="478" t="s">
        <v>2571</v>
      </c>
      <c r="B35" s="479"/>
      <c r="C35" s="1406" t="s">
        <v>1</v>
      </c>
      <c r="D35" s="1407"/>
      <c r="E35" s="1408"/>
      <c r="F35" s="1409"/>
      <c r="G35" s="1410"/>
      <c r="H35" s="1411"/>
      <c r="I35" s="1408"/>
      <c r="J35" s="1411"/>
      <c r="K35" s="782"/>
      <c r="L35" s="1142"/>
      <c r="M35" s="1143"/>
      <c r="N35" s="1130"/>
      <c r="O35" s="1143"/>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 thickBot="1">
      <c r="A37" s="491" t="s">
        <v>2664</v>
      </c>
      <c r="B37" s="492"/>
      <c r="C37" s="1416" t="e">
        <f>R37</f>
        <v>#DIV/0!</v>
      </c>
      <c r="D37" s="1416"/>
      <c r="E37" s="1416"/>
      <c r="F37" s="1416"/>
      <c r="G37" s="1416"/>
      <c r="H37" s="1416"/>
      <c r="I37" s="1416"/>
      <c r="J37" s="1416"/>
      <c r="K37" s="784"/>
      <c r="L37" s="1142"/>
      <c r="M37" s="1143"/>
      <c r="N37" s="1143"/>
      <c r="O37" s="1143"/>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2668</v>
      </c>
      <c r="B45" s="758"/>
      <c r="C45" s="763"/>
      <c r="D45" s="763"/>
      <c r="E45" s="763"/>
      <c r="F45" s="764"/>
      <c r="G45" s="764"/>
      <c r="H45" s="763"/>
      <c r="I45" s="763"/>
      <c r="J45" s="763"/>
      <c r="K45" s="765"/>
      <c r="L45" s="766"/>
      <c r="M45" s="763"/>
      <c r="N45" s="763"/>
      <c r="O45" s="763"/>
      <c r="P45" s="502"/>
      <c r="Q45" s="503"/>
    </row>
    <row r="46" spans="1:29" s="507" customFormat="1" ht="14.4">
      <c r="A46" s="504" t="s">
        <v>2542</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2579</v>
      </c>
      <c r="B48" s="515"/>
      <c r="C48" s="516"/>
      <c r="D48" s="517"/>
      <c r="E48" s="517"/>
      <c r="F48" s="517"/>
      <c r="G48" s="517"/>
      <c r="H48" s="517"/>
      <c r="I48" s="517"/>
      <c r="J48" s="517"/>
      <c r="K48" s="517"/>
      <c r="L48" s="517"/>
      <c r="M48" s="518"/>
      <c r="N48" s="517"/>
      <c r="O48" s="519"/>
      <c r="P48" s="503"/>
      <c r="Q48" s="503"/>
    </row>
    <row r="49" spans="1:17" s="117" customFormat="1" ht="14.4">
      <c r="A49" s="520" t="s">
        <v>2544</v>
      </c>
      <c r="B49" s="509"/>
      <c r="C49" s="521" t="s">
        <v>2646</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2582</v>
      </c>
      <c r="B51" s="527" t="s">
        <v>2548</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2723</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185" t="s">
        <v>2642</v>
      </c>
      <c r="AC4" s="3184" t="s">
        <v>2643</v>
      </c>
    </row>
    <row r="5" spans="1:30">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185"/>
      <c r="AC5" s="3185"/>
    </row>
    <row r="6" spans="1:30" ht="15" thickBot="1">
      <c r="A6" s="405"/>
      <c r="B6" s="406"/>
      <c r="C6" s="3197" t="s">
        <v>2540</v>
      </c>
      <c r="D6" s="3198"/>
      <c r="E6" s="3199" t="s">
        <v>2540</v>
      </c>
      <c r="F6" s="3200"/>
      <c r="G6" s="3197" t="s">
        <v>2540</v>
      </c>
      <c r="H6" s="3198"/>
      <c r="I6" s="3197" t="s">
        <v>2540</v>
      </c>
      <c r="J6" s="3198"/>
      <c r="K6" s="609" t="s">
        <v>2541</v>
      </c>
      <c r="L6" s="1129"/>
      <c r="M6" s="1130"/>
      <c r="N6" s="1130"/>
      <c r="O6" s="1130"/>
      <c r="P6" s="3210"/>
      <c r="Q6" s="3211"/>
      <c r="R6" s="3191"/>
      <c r="S6" s="3192"/>
      <c r="T6" s="3212"/>
      <c r="U6" s="3213"/>
      <c r="V6" s="3214"/>
      <c r="W6" s="3214"/>
      <c r="X6" s="1812"/>
      <c r="Y6" s="3212"/>
      <c r="Z6" s="3213"/>
      <c r="AA6" s="3186"/>
      <c r="AB6" s="3186"/>
      <c r="AC6" s="3186"/>
    </row>
    <row r="7" spans="1:30" s="117" customFormat="1" ht="15" thickBot="1">
      <c r="A7" s="407" t="s">
        <v>2542</v>
      </c>
      <c r="B7" s="408"/>
      <c r="C7" s="409">
        <f>'数据-取费表'!B2</f>
        <v>43641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30" s="117" customFormat="1" ht="1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45" si="3">D8/F8</f>
        <v>#DIV/0!</v>
      </c>
      <c r="AB8" s="772" t="e">
        <f t="shared" ref="AB8:AB45" si="4">D8/H8</f>
        <v>#DIV/0!</v>
      </c>
      <c r="AC8" s="772" t="e">
        <f t="shared" ref="AC8:AC45" si="5">D8/J8</f>
        <v>#DIV/0!</v>
      </c>
    </row>
    <row r="9" spans="1:30" s="117" customFormat="1" ht="14.4">
      <c r="A9" s="414" t="s">
        <v>2547</v>
      </c>
      <c r="B9" s="71" t="s">
        <v>2548</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219"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772">
        <f t="shared" si="5"/>
        <v>1</v>
      </c>
    </row>
    <row r="10" spans="1:30" s="426" customFormat="1" ht="28.8">
      <c r="A10" s="420"/>
      <c r="B10" s="421" t="s">
        <v>2551</v>
      </c>
      <c r="C10" s="431"/>
      <c r="D10" s="135">
        <v>100</v>
      </c>
      <c r="E10" s="464"/>
      <c r="F10" s="135">
        <f ca="1">ROUND(100/'数据-取费表'!G16,0)</f>
        <v>110</v>
      </c>
      <c r="G10" s="462"/>
      <c r="H10" s="135">
        <f ca="1">ROUND(100/'数据-取费表'!G16,0)</f>
        <v>110</v>
      </c>
      <c r="I10" s="462"/>
      <c r="J10" s="135">
        <f ca="1">ROUND(100/'数据-取费表'!G16,0)</f>
        <v>110</v>
      </c>
      <c r="K10" s="671"/>
      <c r="L10" s="1134"/>
      <c r="M10" s="1135"/>
      <c r="N10" s="1135"/>
      <c r="O10" s="1136"/>
      <c r="P10" s="3219"/>
      <c r="Q10" s="1794" t="str">
        <f t="shared" si="6"/>
        <v>土地使用年限（年）</v>
      </c>
      <c r="R10" s="769" t="s">
        <v>17</v>
      </c>
      <c r="S10" s="770">
        <f t="shared" ca="1" si="0"/>
        <v>110</v>
      </c>
      <c r="T10" s="769" t="s">
        <v>17</v>
      </c>
      <c r="U10" s="770">
        <f t="shared" ca="1" si="1"/>
        <v>110</v>
      </c>
      <c r="V10" s="769" t="s">
        <v>17</v>
      </c>
      <c r="W10" s="770">
        <f t="shared" ca="1" si="2"/>
        <v>110</v>
      </c>
      <c r="X10" s="771"/>
      <c r="Y10" s="3034"/>
      <c r="Z10" s="55" t="str">
        <f t="shared" si="7"/>
        <v>土地使用年限（年）</v>
      </c>
      <c r="AA10" s="772">
        <f t="shared" ca="1" si="3"/>
        <v>0.90909090909090906</v>
      </c>
      <c r="AB10" s="772">
        <f t="shared" ca="1" si="4"/>
        <v>0.90909090909090906</v>
      </c>
      <c r="AC10" s="772">
        <f t="shared" ca="1" si="5"/>
        <v>0.90909090909090906</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9"/>
      <c r="Q12" s="1794" t="str">
        <f t="shared" si="6"/>
        <v>配建</v>
      </c>
      <c r="R12" s="769" t="s">
        <v>17</v>
      </c>
      <c r="S12" s="770">
        <f t="shared" si="0"/>
        <v>100</v>
      </c>
      <c r="T12" s="769" t="s">
        <v>17</v>
      </c>
      <c r="U12" s="770">
        <f t="shared" si="1"/>
        <v>100</v>
      </c>
      <c r="V12" s="769" t="s">
        <v>17</v>
      </c>
      <c r="W12" s="770">
        <f t="shared" si="2"/>
        <v>100</v>
      </c>
      <c r="X12" s="771"/>
      <c r="Y12" s="3034"/>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5">
        <f t="shared" si="7"/>
        <v>111</v>
      </c>
      <c r="AA13" s="772">
        <f>D13/F13</f>
        <v>1</v>
      </c>
      <c r="AB13" s="772">
        <f>D13/H13</f>
        <v>1</v>
      </c>
      <c r="AC13" s="772">
        <f>D13/J13</f>
        <v>1</v>
      </c>
    </row>
    <row r="14" spans="1:30" ht="15.6"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5">
        <f t="shared" si="7"/>
        <v>111</v>
      </c>
      <c r="AA14" s="772">
        <f>D14/F14</f>
        <v>1</v>
      </c>
      <c r="AB14" s="772">
        <f>D14/H14</f>
        <v>1</v>
      </c>
      <c r="AC14" s="772">
        <f>D14/J14</f>
        <v>1</v>
      </c>
    </row>
    <row r="15" spans="1:30" ht="96.6">
      <c r="A15" s="439" t="s">
        <v>2553</v>
      </c>
      <c r="B15" s="69" t="s">
        <v>2080</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1" t="s">
        <v>2554</v>
      </c>
      <c r="Q15" s="1809" t="str">
        <f t="shared" si="6"/>
        <v>居住社区成熟度</v>
      </c>
      <c r="R15" s="773" t="s">
        <v>17</v>
      </c>
      <c r="S15" s="774">
        <f t="shared" si="0"/>
        <v>100</v>
      </c>
      <c r="T15" s="773" t="s">
        <v>17</v>
      </c>
      <c r="U15" s="774">
        <f t="shared" si="1"/>
        <v>100</v>
      </c>
      <c r="V15" s="773" t="s">
        <v>17</v>
      </c>
      <c r="W15" s="774">
        <f t="shared" si="2"/>
        <v>100</v>
      </c>
      <c r="X15" s="1812"/>
      <c r="Y15" s="3221" t="s">
        <v>2554</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222"/>
      <c r="Q16" s="1809"/>
      <c r="R16" s="773"/>
      <c r="S16" s="774"/>
      <c r="T16" s="773"/>
      <c r="U16" s="774"/>
      <c r="V16" s="773"/>
      <c r="W16" s="774"/>
      <c r="X16" s="1812"/>
      <c r="Y16" s="3222"/>
      <c r="Z16" s="1813"/>
      <c r="AA16" s="1810">
        <v>1</v>
      </c>
      <c r="AB16" s="1810">
        <v>1</v>
      </c>
      <c r="AC16" s="1810">
        <v>1</v>
      </c>
    </row>
    <row r="17" spans="1:29" ht="82.8">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2"/>
      <c r="Q17" s="1809" t="str">
        <f>B17</f>
        <v>商业繁华度</v>
      </c>
      <c r="R17" s="773" t="s">
        <v>17</v>
      </c>
      <c r="S17" s="774">
        <f>F17</f>
        <v>100</v>
      </c>
      <c r="T17" s="773" t="s">
        <v>17</v>
      </c>
      <c r="U17" s="774">
        <f>H17</f>
        <v>100</v>
      </c>
      <c r="V17" s="773" t="s">
        <v>17</v>
      </c>
      <c r="W17" s="774">
        <f>J17</f>
        <v>100</v>
      </c>
      <c r="X17" s="1812"/>
      <c r="Y17" s="3222"/>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222"/>
      <c r="Q18" s="1809"/>
      <c r="R18" s="773"/>
      <c r="S18" s="774"/>
      <c r="T18" s="773"/>
      <c r="U18" s="774"/>
      <c r="V18" s="773"/>
      <c r="W18" s="774"/>
      <c r="X18" s="1812"/>
      <c r="Y18" s="3222"/>
      <c r="Z18" s="1813"/>
      <c r="AA18" s="1810">
        <v>1</v>
      </c>
      <c r="AB18" s="1810">
        <v>1</v>
      </c>
      <c r="AC18" s="1810">
        <v>1</v>
      </c>
    </row>
    <row r="19" spans="1:29" ht="82.8">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2"/>
      <c r="Q19" s="1809" t="str">
        <f>B19</f>
        <v>办公集聚程度</v>
      </c>
      <c r="R19" s="773" t="s">
        <v>17</v>
      </c>
      <c r="S19" s="774">
        <f>F19</f>
        <v>100</v>
      </c>
      <c r="T19" s="773" t="s">
        <v>17</v>
      </c>
      <c r="U19" s="774">
        <f>H19</f>
        <v>100</v>
      </c>
      <c r="V19" s="773" t="s">
        <v>17</v>
      </c>
      <c r="W19" s="774">
        <f>J19</f>
        <v>100</v>
      </c>
      <c r="X19" s="1812"/>
      <c r="Y19" s="3222"/>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222"/>
      <c r="Q20" s="1809"/>
      <c r="R20" s="773"/>
      <c r="S20" s="774"/>
      <c r="T20" s="773"/>
      <c r="U20" s="774"/>
      <c r="V20" s="773"/>
      <c r="W20" s="774"/>
      <c r="X20" s="1812"/>
      <c r="Y20" s="3222"/>
      <c r="Z20" s="1813"/>
      <c r="AA20" s="1810">
        <v>1</v>
      </c>
      <c r="AB20" s="1810">
        <v>1</v>
      </c>
      <c r="AC20" s="1810">
        <v>1</v>
      </c>
    </row>
    <row r="21" spans="1:29" ht="96.6">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2"/>
      <c r="Q21" s="1809" t="str">
        <f>B21</f>
        <v>交通便捷度</v>
      </c>
      <c r="R21" s="773" t="s">
        <v>17</v>
      </c>
      <c r="S21" s="774">
        <f>F21</f>
        <v>100</v>
      </c>
      <c r="T21" s="773" t="s">
        <v>17</v>
      </c>
      <c r="U21" s="774">
        <f>H21</f>
        <v>100</v>
      </c>
      <c r="V21" s="773" t="s">
        <v>17</v>
      </c>
      <c r="W21" s="774">
        <f>J21</f>
        <v>100</v>
      </c>
      <c r="X21" s="1812"/>
      <c r="Y21" s="3222"/>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222"/>
      <c r="Q22" s="1809"/>
      <c r="R22" s="773"/>
      <c r="S22" s="774"/>
      <c r="T22" s="773"/>
      <c r="U22" s="774"/>
      <c r="V22" s="773"/>
      <c r="W22" s="774"/>
      <c r="X22" s="1812"/>
      <c r="Y22" s="3222"/>
      <c r="Z22" s="1813"/>
      <c r="AA22" s="1810">
        <v>1</v>
      </c>
      <c r="AB22" s="1810">
        <v>1</v>
      </c>
      <c r="AC22" s="1810">
        <v>1</v>
      </c>
    </row>
    <row r="23" spans="1:29" ht="28.8">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2"/>
      <c r="Q23" s="1809" t="str">
        <f t="shared" ref="Q23:Q37" si="8">B23</f>
        <v>区域土地利用方向</v>
      </c>
      <c r="R23" s="773" t="s">
        <v>17</v>
      </c>
      <c r="S23" s="774">
        <f>F23</f>
        <v>100</v>
      </c>
      <c r="T23" s="773" t="s">
        <v>17</v>
      </c>
      <c r="U23" s="774">
        <f>H23</f>
        <v>100</v>
      </c>
      <c r="V23" s="773" t="s">
        <v>17</v>
      </c>
      <c r="W23" s="774">
        <f>J23</f>
        <v>100</v>
      </c>
      <c r="X23" s="1812"/>
      <c r="Y23" s="3222"/>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222"/>
      <c r="Q24" s="1809"/>
      <c r="R24" s="773"/>
      <c r="S24" s="774"/>
      <c r="T24" s="773"/>
      <c r="U24" s="774"/>
      <c r="V24" s="773"/>
      <c r="W24" s="774"/>
      <c r="X24" s="1812"/>
      <c r="Y24" s="3222"/>
      <c r="Z24" s="1813"/>
      <c r="AA24" s="1810"/>
      <c r="AB24" s="1810"/>
      <c r="AC24" s="1810"/>
    </row>
    <row r="25" spans="1:29" ht="55.2">
      <c r="A25" s="403"/>
      <c r="B25" s="1383"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2"/>
      <c r="Q25" s="1809" t="str">
        <f t="shared" si="8"/>
        <v>自然及人文环境状况</v>
      </c>
      <c r="R25" s="773" t="s">
        <v>17</v>
      </c>
      <c r="S25" s="774">
        <f>F25</f>
        <v>100</v>
      </c>
      <c r="T25" s="773" t="s">
        <v>17</v>
      </c>
      <c r="U25" s="774">
        <f>H25</f>
        <v>100</v>
      </c>
      <c r="V25" s="773" t="s">
        <v>17</v>
      </c>
      <c r="W25" s="774">
        <f>J25</f>
        <v>100</v>
      </c>
      <c r="X25" s="1812"/>
      <c r="Y25" s="3222"/>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222"/>
      <c r="Q26" s="1809"/>
      <c r="R26" s="773"/>
      <c r="S26" s="774"/>
      <c r="T26" s="773"/>
      <c r="U26" s="774"/>
      <c r="V26" s="773"/>
      <c r="W26" s="774"/>
      <c r="X26" s="1812"/>
      <c r="Y26" s="3222"/>
      <c r="Z26" s="1813"/>
      <c r="AA26" s="1810">
        <v>1</v>
      </c>
      <c r="AB26" s="1810">
        <v>1</v>
      </c>
      <c r="AC26" s="1810">
        <v>1</v>
      </c>
    </row>
    <row r="27" spans="1:29" s="117" customFormat="1" ht="41.4">
      <c r="A27" s="648"/>
      <c r="B27" s="1383"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2"/>
      <c r="Q27" s="1794" t="str">
        <f t="shared" si="8"/>
        <v>公共配套设施</v>
      </c>
      <c r="R27" s="769" t="s">
        <v>17</v>
      </c>
      <c r="S27" s="770">
        <f>F27</f>
        <v>100</v>
      </c>
      <c r="T27" s="769" t="s">
        <v>17</v>
      </c>
      <c r="U27" s="770">
        <f>H27</f>
        <v>100</v>
      </c>
      <c r="V27" s="769" t="s">
        <v>17</v>
      </c>
      <c r="W27" s="770">
        <f>J27</f>
        <v>100</v>
      </c>
      <c r="X27" s="771"/>
      <c r="Y27" s="3222"/>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222"/>
      <c r="Q28" s="1794"/>
      <c r="R28" s="769"/>
      <c r="S28" s="770"/>
      <c r="T28" s="769"/>
      <c r="U28" s="770"/>
      <c r="V28" s="769"/>
      <c r="W28" s="770"/>
      <c r="X28" s="771"/>
      <c r="Y28" s="3222"/>
      <c r="Z28" s="55"/>
      <c r="AA28" s="1810">
        <v>1</v>
      </c>
      <c r="AB28" s="1810">
        <v>1</v>
      </c>
      <c r="AC28" s="1810">
        <v>1</v>
      </c>
    </row>
    <row r="29" spans="1:29" s="117" customFormat="1" ht="41.4">
      <c r="A29" s="648"/>
      <c r="B29" s="1383"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2"/>
      <c r="Q29" s="1794" t="str">
        <f t="shared" ref="Q29" si="9">B29</f>
        <v>基础设施水平</v>
      </c>
      <c r="R29" s="769" t="s">
        <v>17</v>
      </c>
      <c r="S29" s="770">
        <f>F29</f>
        <v>100</v>
      </c>
      <c r="T29" s="769" t="s">
        <v>17</v>
      </c>
      <c r="U29" s="770">
        <f>H29</f>
        <v>100</v>
      </c>
      <c r="V29" s="769" t="s">
        <v>17</v>
      </c>
      <c r="W29" s="770">
        <f>J29</f>
        <v>100</v>
      </c>
      <c r="X29" s="771"/>
      <c r="Y29" s="3222"/>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222"/>
      <c r="Q30" s="1794"/>
      <c r="R30" s="769"/>
      <c r="S30" s="770"/>
      <c r="T30" s="769"/>
      <c r="U30" s="770"/>
      <c r="V30" s="769"/>
      <c r="W30" s="770"/>
      <c r="X30" s="771"/>
      <c r="Y30" s="3222"/>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22"/>
      <c r="Z31" s="1813" t="str">
        <f t="shared" ref="Z31:Z45" si="13">Q31</f>
        <v>临街状况</v>
      </c>
      <c r="AA31" s="1810">
        <f t="shared" si="3"/>
        <v>1</v>
      </c>
      <c r="AB31" s="1810">
        <f t="shared" si="4"/>
        <v>1</v>
      </c>
      <c r="AC31" s="1810">
        <f t="shared" si="5"/>
        <v>1</v>
      </c>
    </row>
    <row r="32" spans="1:29" ht="28.8">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2"/>
      <c r="Q32" s="1809" t="str">
        <f t="shared" si="8"/>
        <v>毗邻道路的类型与等级</v>
      </c>
      <c r="R32" s="773" t="s">
        <v>17</v>
      </c>
      <c r="S32" s="774">
        <f t="shared" si="10"/>
        <v>100</v>
      </c>
      <c r="T32" s="773" t="s">
        <v>17</v>
      </c>
      <c r="U32" s="774">
        <f t="shared" si="11"/>
        <v>100</v>
      </c>
      <c r="V32" s="773" t="s">
        <v>17</v>
      </c>
      <c r="W32" s="774">
        <f t="shared" si="12"/>
        <v>100</v>
      </c>
      <c r="X32" s="1812"/>
      <c r="Y32" s="3222"/>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222"/>
      <c r="Q33" s="1809"/>
      <c r="R33" s="773"/>
      <c r="S33" s="774"/>
      <c r="T33" s="773"/>
      <c r="U33" s="774"/>
      <c r="V33" s="773"/>
      <c r="W33" s="774"/>
      <c r="X33" s="1812"/>
      <c r="Y33" s="3222"/>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2"/>
      <c r="Q34" s="1809" t="str">
        <f t="shared" si="8"/>
        <v>土地级别</v>
      </c>
      <c r="R34" s="773" t="s">
        <v>17</v>
      </c>
      <c r="S34" s="774">
        <f t="shared" si="10"/>
        <v>100</v>
      </c>
      <c r="T34" s="773" t="s">
        <v>17</v>
      </c>
      <c r="U34" s="774">
        <f t="shared" si="11"/>
        <v>100</v>
      </c>
      <c r="V34" s="773" t="s">
        <v>17</v>
      </c>
      <c r="W34" s="774">
        <f t="shared" si="12"/>
        <v>100</v>
      </c>
      <c r="X34" s="1812"/>
      <c r="Y34" s="322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2"/>
      <c r="Q35" s="1809">
        <f t="shared" si="8"/>
        <v>111</v>
      </c>
      <c r="R35" s="773" t="s">
        <v>17</v>
      </c>
      <c r="S35" s="774">
        <f t="shared" si="10"/>
        <v>100</v>
      </c>
      <c r="T35" s="773" t="s">
        <v>17</v>
      </c>
      <c r="U35" s="774">
        <f t="shared" si="11"/>
        <v>100</v>
      </c>
      <c r="V35" s="773" t="s">
        <v>17</v>
      </c>
      <c r="W35" s="774">
        <f t="shared" si="12"/>
        <v>100</v>
      </c>
      <c r="X35" s="1812"/>
      <c r="Y35" s="322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5" t="s">
        <v>2559</v>
      </c>
      <c r="Q36" s="1809">
        <f t="shared" si="8"/>
        <v>111</v>
      </c>
      <c r="R36" s="773" t="s">
        <v>17</v>
      </c>
      <c r="S36" s="774">
        <f t="shared" si="10"/>
        <v>100</v>
      </c>
      <c r="T36" s="773" t="s">
        <v>17</v>
      </c>
      <c r="U36" s="774">
        <f t="shared" si="11"/>
        <v>100</v>
      </c>
      <c r="V36" s="773" t="s">
        <v>17</v>
      </c>
      <c r="W36" s="774">
        <f t="shared" si="12"/>
        <v>100</v>
      </c>
      <c r="X36" s="1812"/>
      <c r="Y36" s="3226" t="s">
        <v>2559</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6"/>
      <c r="Q37" s="1809">
        <f t="shared" si="8"/>
        <v>111</v>
      </c>
      <c r="R37" s="776" t="s">
        <v>17</v>
      </c>
      <c r="S37" s="777">
        <f t="shared" si="10"/>
        <v>100</v>
      </c>
      <c r="T37" s="776" t="s">
        <v>17</v>
      </c>
      <c r="U37" s="777">
        <f t="shared" si="11"/>
        <v>100</v>
      </c>
      <c r="V37" s="776" t="s">
        <v>17</v>
      </c>
      <c r="W37" s="777">
        <f t="shared" si="12"/>
        <v>100</v>
      </c>
      <c r="X37" s="778"/>
      <c r="Y37" s="3226"/>
      <c r="Z37" s="779">
        <f t="shared" si="13"/>
        <v>111</v>
      </c>
      <c r="AA37" s="1810">
        <f t="shared" si="3"/>
        <v>1</v>
      </c>
      <c r="AB37" s="1810">
        <f t="shared" si="4"/>
        <v>1</v>
      </c>
      <c r="AC37" s="1810">
        <f t="shared" si="5"/>
        <v>1</v>
      </c>
    </row>
    <row r="38" spans="1:29" ht="15.6">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26"/>
      <c r="Q38" s="1809" t="str">
        <f>B38</f>
        <v>宗地面积</v>
      </c>
      <c r="R38" s="773" t="s">
        <v>17</v>
      </c>
      <c r="S38" s="774" t="e">
        <f t="shared" si="10"/>
        <v>#N/A</v>
      </c>
      <c r="T38" s="773" t="s">
        <v>17</v>
      </c>
      <c r="U38" s="774" t="e">
        <f t="shared" si="11"/>
        <v>#N/A</v>
      </c>
      <c r="V38" s="773" t="s">
        <v>17</v>
      </c>
      <c r="W38" s="774" t="e">
        <f t="shared" si="12"/>
        <v>#N/A</v>
      </c>
      <c r="X38" s="1812"/>
      <c r="Y38" s="3226"/>
      <c r="Z38" s="1813" t="str">
        <f t="shared" si="13"/>
        <v>宗地面积</v>
      </c>
      <c r="AA38" s="1810" t="e">
        <f t="shared" si="3"/>
        <v>#N/A</v>
      </c>
      <c r="AB38" s="1810" t="e">
        <f t="shared" si="4"/>
        <v>#N/A</v>
      </c>
      <c r="AC38" s="1810"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226"/>
      <c r="Q39" s="1809" t="str">
        <f t="shared" ref="Q39:Q45" si="14">B39</f>
        <v>宗地形状</v>
      </c>
      <c r="R39" s="773" t="s">
        <v>17</v>
      </c>
      <c r="S39" s="774">
        <f t="shared" si="10"/>
        <v>100</v>
      </c>
      <c r="T39" s="773" t="s">
        <v>17</v>
      </c>
      <c r="U39" s="774">
        <f t="shared" si="11"/>
        <v>100</v>
      </c>
      <c r="V39" s="773" t="s">
        <v>17</v>
      </c>
      <c r="W39" s="774">
        <f t="shared" si="12"/>
        <v>100</v>
      </c>
      <c r="X39" s="1812"/>
      <c r="Y39" s="3226"/>
      <c r="Z39" s="1813" t="str">
        <f t="shared" si="13"/>
        <v>宗地形状</v>
      </c>
      <c r="AA39" s="1810">
        <f t="shared" si="3"/>
        <v>1</v>
      </c>
      <c r="AB39" s="1810">
        <f t="shared" si="4"/>
        <v>1</v>
      </c>
      <c r="AC39" s="1810">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226"/>
      <c r="Q40" s="1809" t="str">
        <f t="shared" si="14"/>
        <v>临街宽度及深度</v>
      </c>
      <c r="R40" s="773" t="s">
        <v>17</v>
      </c>
      <c r="S40" s="774">
        <f t="shared" si="10"/>
        <v>100</v>
      </c>
      <c r="T40" s="773" t="s">
        <v>17</v>
      </c>
      <c r="U40" s="774">
        <f t="shared" si="11"/>
        <v>100</v>
      </c>
      <c r="V40" s="773" t="s">
        <v>17</v>
      </c>
      <c r="W40" s="774">
        <f t="shared" si="12"/>
        <v>100</v>
      </c>
      <c r="X40" s="1812"/>
      <c r="Y40" s="3226"/>
      <c r="Z40" s="1813" t="str">
        <f t="shared" si="13"/>
        <v>临街宽度及深度</v>
      </c>
      <c r="AA40" s="1810">
        <f t="shared" si="3"/>
        <v>1</v>
      </c>
      <c r="AB40" s="1810">
        <f t="shared" si="4"/>
        <v>1</v>
      </c>
      <c r="AC40" s="1810">
        <f t="shared" si="5"/>
        <v>1</v>
      </c>
    </row>
    <row r="41" spans="1:29" s="117" customFormat="1" ht="15">
      <c r="A41" s="472"/>
      <c r="B41" s="421" t="s">
        <v>2748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226"/>
      <c r="Q41" s="1809" t="str">
        <f t="shared" si="14"/>
        <v>宗地开发程度</v>
      </c>
      <c r="R41" s="769" t="s">
        <v>17</v>
      </c>
      <c r="S41" s="770">
        <f t="shared" si="10"/>
        <v>100</v>
      </c>
      <c r="T41" s="769" t="s">
        <v>17</v>
      </c>
      <c r="U41" s="770">
        <f t="shared" si="11"/>
        <v>100</v>
      </c>
      <c r="V41" s="769" t="s">
        <v>17</v>
      </c>
      <c r="W41" s="770">
        <f t="shared" si="12"/>
        <v>100</v>
      </c>
      <c r="X41" s="771"/>
      <c r="Y41" s="3226"/>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226" t="s">
        <v>2559</v>
      </c>
      <c r="Q42" s="1809" t="str">
        <f t="shared" si="14"/>
        <v>工程地质条件</v>
      </c>
      <c r="R42" s="773" t="s">
        <v>17</v>
      </c>
      <c r="S42" s="774">
        <f t="shared" si="10"/>
        <v>100</v>
      </c>
      <c r="T42" s="773" t="s">
        <v>17</v>
      </c>
      <c r="U42" s="774">
        <f t="shared" si="11"/>
        <v>100</v>
      </c>
      <c r="V42" s="773" t="s">
        <v>17</v>
      </c>
      <c r="W42" s="774">
        <f t="shared" si="12"/>
        <v>100</v>
      </c>
      <c r="X42" s="1812"/>
      <c r="Y42" s="3226"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6"/>
      <c r="Q43" s="1809">
        <f t="shared" si="14"/>
        <v>111</v>
      </c>
      <c r="R43" s="773" t="s">
        <v>17</v>
      </c>
      <c r="S43" s="774">
        <f t="shared" si="10"/>
        <v>100</v>
      </c>
      <c r="T43" s="773" t="s">
        <v>17</v>
      </c>
      <c r="U43" s="774">
        <f t="shared" si="11"/>
        <v>100</v>
      </c>
      <c r="V43" s="773" t="s">
        <v>17</v>
      </c>
      <c r="W43" s="774">
        <f t="shared" si="12"/>
        <v>100</v>
      </c>
      <c r="X43" s="1812"/>
      <c r="Y43" s="322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6"/>
      <c r="Q44" s="1809">
        <f t="shared" si="14"/>
        <v>111</v>
      </c>
      <c r="R44" s="773" t="s">
        <v>17</v>
      </c>
      <c r="S44" s="774">
        <f t="shared" si="10"/>
        <v>100</v>
      </c>
      <c r="T44" s="773" t="s">
        <v>17</v>
      </c>
      <c r="U44" s="774">
        <f t="shared" si="11"/>
        <v>100</v>
      </c>
      <c r="V44" s="773" t="s">
        <v>17</v>
      </c>
      <c r="W44" s="774">
        <f t="shared" si="12"/>
        <v>100</v>
      </c>
      <c r="X44" s="1812"/>
      <c r="Y44" s="3226"/>
      <c r="Z44" s="1813">
        <f t="shared" si="13"/>
        <v>111</v>
      </c>
      <c r="AA44" s="1810">
        <f t="shared" si="3"/>
        <v>1</v>
      </c>
      <c r="AB44" s="1810">
        <f t="shared" si="4"/>
        <v>1</v>
      </c>
      <c r="AC44" s="1810">
        <f t="shared" si="5"/>
        <v>1</v>
      </c>
    </row>
    <row r="45" spans="1:29" s="470" customFormat="1" ht="15.6"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6"/>
      <c r="Q45" s="1809">
        <f t="shared" si="14"/>
        <v>111</v>
      </c>
      <c r="R45" s="776" t="s">
        <v>17</v>
      </c>
      <c r="S45" s="777">
        <f t="shared" si="10"/>
        <v>100</v>
      </c>
      <c r="T45" s="776" t="s">
        <v>17</v>
      </c>
      <c r="U45" s="777">
        <f t="shared" si="11"/>
        <v>100</v>
      </c>
      <c r="V45" s="776" t="s">
        <v>17</v>
      </c>
      <c r="W45" s="777">
        <f t="shared" si="12"/>
        <v>100</v>
      </c>
      <c r="X45" s="778"/>
      <c r="Y45" s="3226"/>
      <c r="Z45" s="779">
        <f t="shared" si="13"/>
        <v>111</v>
      </c>
      <c r="AA45" s="1810">
        <f t="shared" si="3"/>
        <v>1</v>
      </c>
      <c r="AB45" s="1810">
        <f t="shared" si="4"/>
        <v>1</v>
      </c>
      <c r="AC45" s="1810">
        <f t="shared" si="5"/>
        <v>1</v>
      </c>
    </row>
    <row r="46" spans="1:29" ht="14.4">
      <c r="A46" s="478" t="s">
        <v>2714</v>
      </c>
      <c r="B46" s="2703" t="s">
        <v>2750</v>
      </c>
      <c r="C46" s="681" t="s">
        <v>1</v>
      </c>
      <c r="D46" s="480"/>
      <c r="E46" s="481"/>
      <c r="F46" s="482"/>
      <c r="G46" s="483"/>
      <c r="H46" s="484"/>
      <c r="I46" s="481"/>
      <c r="J46" s="484"/>
      <c r="K46" s="782"/>
      <c r="L46" s="1142"/>
      <c r="M46" s="1143"/>
      <c r="N46" s="1130"/>
      <c r="O46" s="1143"/>
      <c r="P46" s="3219" t="str">
        <f>A46</f>
        <v>成交单价</v>
      </c>
      <c r="Q46" s="3219"/>
      <c r="R46" s="3214">
        <f>E46</f>
        <v>0</v>
      </c>
      <c r="S46" s="3214"/>
      <c r="T46" s="3214">
        <f>G46</f>
        <v>0</v>
      </c>
      <c r="U46" s="3214"/>
      <c r="V46" s="3214">
        <f>I46</f>
        <v>0</v>
      </c>
      <c r="W46" s="3214"/>
      <c r="X46" s="758"/>
      <c r="Y46" s="780"/>
      <c r="Z46" s="758"/>
      <c r="AA46" s="758"/>
      <c r="AB46" s="758"/>
      <c r="AC46" s="758"/>
    </row>
    <row r="47" spans="1:29" ht="1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219" t="str">
        <f>A47</f>
        <v>比较价值（元/平方米）</v>
      </c>
      <c r="Q47" s="3219"/>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 thickBot="1">
      <c r="A48" s="491" t="s">
        <v>2751</v>
      </c>
      <c r="B48" s="492"/>
      <c r="C48" s="493" t="e">
        <f>R48</f>
        <v>#DIV/0!</v>
      </c>
      <c r="D48" s="493"/>
      <c r="E48" s="493"/>
      <c r="F48" s="493"/>
      <c r="G48" s="493"/>
      <c r="H48" s="493"/>
      <c r="I48" s="493"/>
      <c r="J48" s="493"/>
      <c r="K48" s="784"/>
      <c r="L48" s="1142"/>
      <c r="M48" s="1143"/>
      <c r="N48" s="1143"/>
      <c r="O48" s="1143"/>
      <c r="P48" s="3216" t="str">
        <f>A48</f>
        <v>估价对象XX用房的比较价值（楼面单价，元/平方米）</v>
      </c>
      <c r="Q48" s="3217"/>
      <c r="R48" s="3247" t="e">
        <f>ROUND(AVERAGE(R47:V47),0)</f>
        <v>#DIV/0!</v>
      </c>
      <c r="S48" s="3247"/>
      <c r="T48" s="3247"/>
      <c r="U48" s="3247"/>
      <c r="V48" s="3247"/>
      <c r="W48" s="3247"/>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4" t="s">
        <v>2754</v>
      </c>
      <c r="D55" s="2705" t="s">
        <v>2755</v>
      </c>
      <c r="E55" s="685" t="s">
        <v>2756</v>
      </c>
      <c r="F55" s="1106" t="s">
        <v>2757</v>
      </c>
      <c r="G55" s="3202" t="s">
        <v>2758</v>
      </c>
      <c r="H55" s="3248"/>
      <c r="I55" s="143" t="s">
        <v>2759</v>
      </c>
      <c r="J55" s="2706">
        <f>项目基本情况!F35</f>
        <v>0</v>
      </c>
      <c r="K55" s="2707" t="s">
        <v>2760</v>
      </c>
      <c r="L55" s="1105"/>
      <c r="M55" s="1143"/>
      <c r="N55" s="1143"/>
      <c r="O55" s="1143"/>
    </row>
    <row r="56" spans="1:15" s="691" customFormat="1">
      <c r="A56" s="687" t="s">
        <v>2761</v>
      </c>
      <c r="B56" s="688" t="e">
        <f>C48</f>
        <v>#DIV/0!</v>
      </c>
      <c r="C56" s="689">
        <v>1</v>
      </c>
      <c r="D56" s="1162">
        <v>1</v>
      </c>
      <c r="E56" s="689">
        <f>'数据-汇总表'!E8+'数据-汇总表'!E9</f>
        <v>1106.44</v>
      </c>
      <c r="F56" s="1102" t="e">
        <f t="shared" ref="F56:F65" si="15">ROUND(B56*E56/10000,0)</f>
        <v>#DIV/0!</v>
      </c>
      <c r="G56" s="3201"/>
      <c r="H56" s="3219"/>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49"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49"/>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49"/>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49"/>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8"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8" t="s">
        <v>2763</v>
      </c>
      <c r="H64" s="1103">
        <f>项目基本情况!B37</f>
        <v>0</v>
      </c>
      <c r="I64" s="1107">
        <f>SUMIF(修正!A45:A56,H64,修正!H45:H56)</f>
        <v>0</v>
      </c>
      <c r="J64" s="1111"/>
      <c r="K64" s="1144"/>
      <c r="L64" s="940"/>
      <c r="M64" s="940"/>
      <c r="N64" s="940"/>
      <c r="O64" s="940"/>
    </row>
    <row r="65" spans="1:17" s="691" customFormat="1" ht="14.4" thickBot="1">
      <c r="A65" s="692" t="s">
        <v>2774</v>
      </c>
      <c r="B65" s="261" t="e">
        <f t="shared" si="17"/>
        <v>#DIV/0!</v>
      </c>
      <c r="C65" s="199">
        <f t="shared" si="16"/>
        <v>0</v>
      </c>
      <c r="D65" s="1163">
        <v>0.25</v>
      </c>
      <c r="E65" s="260">
        <f>'数据-汇总表'!E15</f>
        <v>0</v>
      </c>
      <c r="F65" s="1102" t="e">
        <f t="shared" si="15"/>
        <v>#DIV/0!</v>
      </c>
      <c r="G65" s="2709" t="s">
        <v>2768</v>
      </c>
      <c r="H65" s="1113">
        <f>项目基本情况!C37</f>
        <v>0</v>
      </c>
      <c r="I65" s="1109">
        <f>SUMIF(修正!A45:A56,H65,修正!H45:H56)</f>
        <v>0</v>
      </c>
      <c r="J65" s="1112"/>
      <c r="K65" s="1143"/>
      <c r="L65" s="940"/>
      <c r="M65" s="940"/>
      <c r="N65" s="940"/>
      <c r="O65" s="940"/>
    </row>
    <row r="66" spans="1:17" s="691" customFormat="1" thickBot="1">
      <c r="A66" s="694" t="s">
        <v>2775</v>
      </c>
      <c r="B66" s="695" t="s">
        <v>28</v>
      </c>
      <c r="C66" s="695" t="s">
        <v>29</v>
      </c>
      <c r="D66" s="695" t="s">
        <v>1026</v>
      </c>
      <c r="E66" s="695">
        <f>IF(B46="楼面地价",SUM(E56:E65),'数据-汇总表'!D3)</f>
        <v>1106.44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2.2" thickBot="1">
      <c r="A69" s="762" t="s">
        <v>2668</v>
      </c>
      <c r="B69" s="758"/>
      <c r="C69" s="763"/>
      <c r="D69" s="763"/>
      <c r="E69" s="763"/>
      <c r="F69" s="764"/>
      <c r="G69" s="764"/>
      <c r="H69" s="763"/>
      <c r="I69" s="763"/>
      <c r="J69" s="1158"/>
      <c r="K69" s="1159"/>
      <c r="L69" s="1160"/>
      <c r="M69" s="1158"/>
      <c r="N69" s="1158"/>
      <c r="O69" s="1158"/>
      <c r="P69" s="502"/>
      <c r="Q69" s="503"/>
    </row>
    <row r="70" spans="1:17" s="507" customFormat="1" ht="14.4">
      <c r="A70" s="2710" t="s">
        <v>2776</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2777</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 thickBot="1">
      <c r="A72" s="514" t="s">
        <v>2579</v>
      </c>
      <c r="B72" s="515"/>
      <c r="C72" s="516"/>
      <c r="D72" s="517"/>
      <c r="E72" s="517"/>
      <c r="F72" s="517"/>
      <c r="G72" s="517"/>
      <c r="H72" s="517"/>
      <c r="I72" s="517"/>
      <c r="J72" s="517"/>
      <c r="K72" s="517"/>
      <c r="L72" s="517"/>
      <c r="M72" s="518"/>
      <c r="N72" s="517"/>
      <c r="O72" s="1161"/>
      <c r="P72" s="503"/>
      <c r="Q72" s="503"/>
    </row>
    <row r="73" spans="1:17" s="117" customFormat="1" ht="14.4">
      <c r="A73" s="520" t="s">
        <v>2544</v>
      </c>
      <c r="B73" s="509"/>
      <c r="C73" s="521" t="s">
        <v>2646</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2582</v>
      </c>
      <c r="B75" s="527" t="s">
        <v>2548</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2551</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2685</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2744</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02" t="s">
        <v>2640</v>
      </c>
      <c r="D4" s="3203"/>
      <c r="E4" s="3204" t="s">
        <v>2641</v>
      </c>
      <c r="F4" s="3205"/>
      <c r="G4" s="3202" t="s">
        <v>2642</v>
      </c>
      <c r="H4" s="3203"/>
      <c r="I4" s="3202" t="s">
        <v>2643</v>
      </c>
      <c r="J4" s="3203"/>
      <c r="K4" s="609" t="s">
        <v>2644</v>
      </c>
      <c r="L4" s="1129"/>
      <c r="M4" s="1130"/>
      <c r="N4" s="1130"/>
      <c r="O4" s="1130"/>
      <c r="P4" s="3206" t="s">
        <v>2645</v>
      </c>
      <c r="Q4" s="3207"/>
      <c r="R4" s="3189" t="s">
        <v>2641</v>
      </c>
      <c r="S4" s="3190"/>
      <c r="T4" s="3189" t="s">
        <v>2642</v>
      </c>
      <c r="U4" s="3190"/>
      <c r="V4" s="3214" t="s">
        <v>2643</v>
      </c>
      <c r="W4" s="3214"/>
      <c r="X4" s="1812"/>
      <c r="Y4" s="3189" t="s">
        <v>2645</v>
      </c>
      <c r="Z4" s="3190"/>
      <c r="AA4" s="3184" t="s">
        <v>2641</v>
      </c>
      <c r="AB4" s="3185" t="s">
        <v>2642</v>
      </c>
      <c r="AC4" s="3184" t="s">
        <v>2643</v>
      </c>
    </row>
    <row r="5" spans="1:29">
      <c r="A5" s="403"/>
      <c r="B5" s="404"/>
      <c r="C5" s="3195" t="s">
        <v>2536</v>
      </c>
      <c r="D5" s="3196"/>
      <c r="E5" s="3193" t="s">
        <v>2537</v>
      </c>
      <c r="F5" s="3194"/>
      <c r="G5" s="3195" t="s">
        <v>2538</v>
      </c>
      <c r="H5" s="3196"/>
      <c r="I5" s="3195" t="s">
        <v>2539</v>
      </c>
      <c r="J5" s="3196"/>
      <c r="K5" s="609"/>
      <c r="L5" s="1129"/>
      <c r="M5" s="1130"/>
      <c r="N5" s="1130"/>
      <c r="O5" s="1130"/>
      <c r="P5" s="3208"/>
      <c r="Q5" s="3209"/>
      <c r="R5" s="3191"/>
      <c r="S5" s="3192"/>
      <c r="T5" s="3191"/>
      <c r="U5" s="3192"/>
      <c r="V5" s="3214"/>
      <c r="W5" s="3214"/>
      <c r="X5" s="1812"/>
      <c r="Y5" s="3191"/>
      <c r="Z5" s="3192"/>
      <c r="AA5" s="3185"/>
      <c r="AB5" s="3185"/>
      <c r="AC5" s="3185"/>
    </row>
    <row r="6" spans="1:29" ht="15" thickBot="1">
      <c r="A6" s="405"/>
      <c r="B6" s="406"/>
      <c r="C6" s="3250" t="s">
        <v>2791</v>
      </c>
      <c r="D6" s="3251"/>
      <c r="E6" s="3252" t="s">
        <v>2791</v>
      </c>
      <c r="F6" s="3253"/>
      <c r="G6" s="3250" t="s">
        <v>2791</v>
      </c>
      <c r="H6" s="3251"/>
      <c r="I6" s="3250" t="s">
        <v>2791</v>
      </c>
      <c r="J6" s="3251"/>
      <c r="K6" s="609" t="s">
        <v>2541</v>
      </c>
      <c r="L6" s="1129"/>
      <c r="M6" s="1130"/>
      <c r="N6" s="1130"/>
      <c r="O6" s="1130"/>
      <c r="P6" s="3210"/>
      <c r="Q6" s="3211"/>
      <c r="R6" s="3191"/>
      <c r="S6" s="3192"/>
      <c r="T6" s="3212"/>
      <c r="U6" s="3213"/>
      <c r="V6" s="3214"/>
      <c r="W6" s="3214"/>
      <c r="X6" s="1812"/>
      <c r="Y6" s="3212"/>
      <c r="Z6" s="3213"/>
      <c r="AA6" s="3186"/>
      <c r="AB6" s="3186"/>
      <c r="AC6" s="3186"/>
    </row>
    <row r="7" spans="1:29" s="117" customFormat="1" ht="15" thickBot="1">
      <c r="A7" s="407" t="s">
        <v>2542</v>
      </c>
      <c r="B7" s="408"/>
      <c r="C7" s="409">
        <f>'数据-取费表'!B2</f>
        <v>43641</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187" t="s">
        <v>2543</v>
      </c>
      <c r="Q7" s="3215"/>
      <c r="R7" s="769" t="s">
        <v>17</v>
      </c>
      <c r="S7" s="770">
        <f t="shared" ref="S7:S15" si="0">F7</f>
        <v>0</v>
      </c>
      <c r="T7" s="769" t="s">
        <v>17</v>
      </c>
      <c r="U7" s="770">
        <f t="shared" ref="U7:U15" si="1">H7</f>
        <v>0</v>
      </c>
      <c r="V7" s="769" t="s">
        <v>17</v>
      </c>
      <c r="W7" s="770">
        <f t="shared" ref="W7:W15" si="2">J7</f>
        <v>0</v>
      </c>
      <c r="X7" s="771"/>
      <c r="Y7" s="3187" t="s">
        <v>2543</v>
      </c>
      <c r="Z7" s="3188"/>
      <c r="AA7" s="772" t="e">
        <f>D7/F7</f>
        <v>#DIV/0!</v>
      </c>
      <c r="AB7" s="772" t="e">
        <f>D7/H7</f>
        <v>#DIV/0!</v>
      </c>
      <c r="AC7" s="772" t="e">
        <f>D7/J7</f>
        <v>#DIV/0!</v>
      </c>
    </row>
    <row r="8" spans="1:29" s="117" customFormat="1" ht="1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87" t="s">
        <v>2546</v>
      </c>
      <c r="Q8" s="3188"/>
      <c r="R8" s="769" t="s">
        <v>17</v>
      </c>
      <c r="S8" s="770">
        <f t="shared" si="0"/>
        <v>0</v>
      </c>
      <c r="T8" s="769" t="s">
        <v>17</v>
      </c>
      <c r="U8" s="770">
        <f t="shared" si="1"/>
        <v>0</v>
      </c>
      <c r="V8" s="769" t="s">
        <v>17</v>
      </c>
      <c r="W8" s="770">
        <f t="shared" si="2"/>
        <v>0</v>
      </c>
      <c r="X8" s="771"/>
      <c r="Y8" s="3187" t="s">
        <v>2546</v>
      </c>
      <c r="Z8" s="3188"/>
      <c r="AA8" s="772" t="e">
        <f t="shared" ref="AA8:AA40" si="3">D8/F8</f>
        <v>#DIV/0!</v>
      </c>
      <c r="AB8" s="772" t="e">
        <f t="shared" ref="AB8:AB40" si="4">D8/H8</f>
        <v>#DIV/0!</v>
      </c>
      <c r="AC8" s="772" t="e">
        <f t="shared" ref="AC8:AC40" si="5">D8/J8</f>
        <v>#DIV/0!</v>
      </c>
    </row>
    <row r="9" spans="1:29" s="117" customFormat="1" ht="14.4">
      <c r="A9" s="414" t="s">
        <v>2547</v>
      </c>
      <c r="B9" s="71" t="s">
        <v>2548</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219" t="s">
        <v>2549</v>
      </c>
      <c r="Q9" s="1794" t="str">
        <f t="shared" ref="Q9:Q15" si="6">B9</f>
        <v>用途</v>
      </c>
      <c r="R9" s="769" t="s">
        <v>17</v>
      </c>
      <c r="S9" s="770">
        <f t="shared" si="0"/>
        <v>100</v>
      </c>
      <c r="T9" s="769" t="s">
        <v>17</v>
      </c>
      <c r="U9" s="770">
        <f t="shared" si="1"/>
        <v>100</v>
      </c>
      <c r="V9" s="769" t="s">
        <v>17</v>
      </c>
      <c r="W9" s="770">
        <f t="shared" si="2"/>
        <v>100</v>
      </c>
      <c r="X9" s="771"/>
      <c r="Y9" s="3034" t="s">
        <v>2550</v>
      </c>
      <c r="Z9" s="55" t="str">
        <f t="shared" ref="Z9:Z15" si="7">Q9</f>
        <v>用途</v>
      </c>
      <c r="AA9" s="772">
        <f t="shared" si="3"/>
        <v>1</v>
      </c>
      <c r="AB9" s="772">
        <f t="shared" si="4"/>
        <v>1</v>
      </c>
      <c r="AC9" s="772">
        <f t="shared" si="5"/>
        <v>1</v>
      </c>
    </row>
    <row r="10" spans="1:29" s="426" customFormat="1" ht="28.8">
      <c r="A10" s="420"/>
      <c r="B10" s="421" t="s">
        <v>2551</v>
      </c>
      <c r="C10" s="431"/>
      <c r="D10" s="135">
        <v>100</v>
      </c>
      <c r="E10" s="431"/>
      <c r="F10" s="135">
        <f ca="1">ROUND(100/'数据-取费表'!G16,0)</f>
        <v>110</v>
      </c>
      <c r="G10" s="431"/>
      <c r="H10" s="135">
        <f ca="1">ROUND(100/'数据-取费表'!G16,0)</f>
        <v>110</v>
      </c>
      <c r="I10" s="431"/>
      <c r="J10" s="135">
        <f ca="1">ROUND(100/'数据-取费表'!G16,0)</f>
        <v>110</v>
      </c>
      <c r="K10" s="671"/>
      <c r="L10" s="1134"/>
      <c r="M10" s="1135"/>
      <c r="N10" s="1135"/>
      <c r="O10" s="1136"/>
      <c r="P10" s="3219"/>
      <c r="Q10" s="1794" t="str">
        <f t="shared" si="6"/>
        <v>土地使用年限（年）</v>
      </c>
      <c r="R10" s="769" t="s">
        <v>17</v>
      </c>
      <c r="S10" s="770">
        <f t="shared" ca="1" si="0"/>
        <v>110</v>
      </c>
      <c r="T10" s="769" t="s">
        <v>17</v>
      </c>
      <c r="U10" s="770">
        <f t="shared" ca="1" si="1"/>
        <v>110</v>
      </c>
      <c r="V10" s="769" t="s">
        <v>17</v>
      </c>
      <c r="W10" s="770">
        <f t="shared" ca="1" si="2"/>
        <v>110</v>
      </c>
      <c r="X10" s="771"/>
      <c r="Y10" s="3034"/>
      <c r="Z10" s="55" t="str">
        <f t="shared" si="7"/>
        <v>土地使用年限（年）</v>
      </c>
      <c r="AA10" s="772">
        <f t="shared" ca="1" si="3"/>
        <v>0.90909090909090906</v>
      </c>
      <c r="AB10" s="772">
        <f t="shared" ca="1" si="4"/>
        <v>0.90909090909090906</v>
      </c>
      <c r="AC10" s="772">
        <f t="shared" ca="1" si="5"/>
        <v>0.90909090909090906</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6"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69">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1" t="s">
        <v>2554</v>
      </c>
      <c r="Q15" s="1809" t="str">
        <f t="shared" si="6"/>
        <v>产业集聚程度</v>
      </c>
      <c r="R15" s="773" t="s">
        <v>17</v>
      </c>
      <c r="S15" s="774">
        <f t="shared" si="0"/>
        <v>100</v>
      </c>
      <c r="T15" s="773" t="s">
        <v>17</v>
      </c>
      <c r="U15" s="774">
        <f t="shared" si="1"/>
        <v>100</v>
      </c>
      <c r="V15" s="773" t="s">
        <v>17</v>
      </c>
      <c r="W15" s="774">
        <f t="shared" si="2"/>
        <v>100</v>
      </c>
      <c r="X15" s="1812"/>
      <c r="Y15" s="3221" t="s">
        <v>2554</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222"/>
      <c r="Q16" s="1809"/>
      <c r="R16" s="773"/>
      <c r="S16" s="774"/>
      <c r="T16" s="773"/>
      <c r="U16" s="774"/>
      <c r="V16" s="773"/>
      <c r="W16" s="774"/>
      <c r="X16" s="1812"/>
      <c r="Y16" s="3222"/>
      <c r="Z16" s="1813"/>
      <c r="AA16" s="1810">
        <v>1</v>
      </c>
      <c r="AB16" s="1810">
        <v>1</v>
      </c>
      <c r="AC16" s="1810">
        <v>1</v>
      </c>
    </row>
    <row r="17" spans="1:29" ht="96.6">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2"/>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222"/>
      <c r="Q18" s="1809"/>
      <c r="R18" s="773"/>
      <c r="S18" s="774"/>
      <c r="T18" s="773"/>
      <c r="U18" s="774"/>
      <c r="V18" s="773"/>
      <c r="W18" s="774"/>
      <c r="X18" s="1812"/>
      <c r="Y18" s="3222"/>
      <c r="Z18" s="1813"/>
      <c r="AA18" s="1810">
        <v>1</v>
      </c>
      <c r="AB18" s="1810">
        <v>1</v>
      </c>
      <c r="AC18" s="1810">
        <v>1</v>
      </c>
    </row>
    <row r="19" spans="1:29" ht="28.8">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2"/>
      <c r="Q19" s="1809" t="str">
        <f t="shared" ref="Q19:Q33" si="8">B19</f>
        <v>区域土地利用方向</v>
      </c>
      <c r="R19" s="773" t="s">
        <v>17</v>
      </c>
      <c r="S19" s="774">
        <f>F19</f>
        <v>100</v>
      </c>
      <c r="T19" s="773" t="s">
        <v>17</v>
      </c>
      <c r="U19" s="774">
        <f>H19</f>
        <v>100</v>
      </c>
      <c r="V19" s="773" t="s">
        <v>17</v>
      </c>
      <c r="W19" s="774">
        <f>J19</f>
        <v>100</v>
      </c>
      <c r="X19" s="1812"/>
      <c r="Y19" s="3222"/>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222"/>
      <c r="Q20" s="1809"/>
      <c r="R20" s="773"/>
      <c r="S20" s="774"/>
      <c r="T20" s="773"/>
      <c r="U20" s="774"/>
      <c r="V20" s="773"/>
      <c r="W20" s="774"/>
      <c r="X20" s="1812"/>
      <c r="Y20" s="3222"/>
      <c r="Z20" s="1813"/>
      <c r="AA20" s="1810"/>
      <c r="AB20" s="1810"/>
      <c r="AC20" s="1810"/>
    </row>
    <row r="21" spans="1:29" ht="82.8">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2"/>
      <c r="Q21" s="1809" t="str">
        <f t="shared" si="8"/>
        <v>环境状况</v>
      </c>
      <c r="R21" s="773" t="s">
        <v>17</v>
      </c>
      <c r="S21" s="774">
        <f>F21</f>
        <v>100</v>
      </c>
      <c r="T21" s="773" t="s">
        <v>17</v>
      </c>
      <c r="U21" s="774">
        <f>H21</f>
        <v>100</v>
      </c>
      <c r="V21" s="773" t="s">
        <v>17</v>
      </c>
      <c r="W21" s="774">
        <f>J21</f>
        <v>100</v>
      </c>
      <c r="X21" s="1812"/>
      <c r="Y21" s="3222"/>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222"/>
      <c r="Q22" s="1809"/>
      <c r="R22" s="773"/>
      <c r="S22" s="774"/>
      <c r="T22" s="773"/>
      <c r="U22" s="774"/>
      <c r="V22" s="773"/>
      <c r="W22" s="774"/>
      <c r="X22" s="1812"/>
      <c r="Y22" s="3222"/>
      <c r="Z22" s="1813"/>
      <c r="AA22" s="1810">
        <v>1</v>
      </c>
      <c r="AB22" s="1810">
        <v>1</v>
      </c>
      <c r="AC22" s="1810">
        <v>1</v>
      </c>
    </row>
    <row r="23" spans="1:29" s="117" customFormat="1" ht="41.4">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2"/>
      <c r="Q23" s="1794" t="str">
        <f t="shared" si="8"/>
        <v>公共配套设施</v>
      </c>
      <c r="R23" s="769" t="s">
        <v>17</v>
      </c>
      <c r="S23" s="770">
        <f>F23</f>
        <v>100</v>
      </c>
      <c r="T23" s="769" t="s">
        <v>17</v>
      </c>
      <c r="U23" s="770">
        <f>H23</f>
        <v>100</v>
      </c>
      <c r="V23" s="769" t="s">
        <v>17</v>
      </c>
      <c r="W23" s="770">
        <f>J23</f>
        <v>100</v>
      </c>
      <c r="X23" s="771"/>
      <c r="Y23" s="3222"/>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222"/>
      <c r="Q24" s="1794"/>
      <c r="R24" s="769"/>
      <c r="S24" s="770"/>
      <c r="T24" s="769"/>
      <c r="U24" s="770"/>
      <c r="V24" s="769"/>
      <c r="W24" s="770"/>
      <c r="X24" s="771"/>
      <c r="Y24" s="3222"/>
      <c r="Z24" s="55"/>
      <c r="AA24" s="772">
        <v>1</v>
      </c>
      <c r="AB24" s="772">
        <v>1</v>
      </c>
      <c r="AC24" s="772">
        <v>1</v>
      </c>
    </row>
    <row r="25" spans="1:29" s="117" customFormat="1" ht="41.4">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2"/>
      <c r="Q25" s="1794" t="str">
        <f t="shared" ref="Q25" si="9">B25</f>
        <v>基础设施水平</v>
      </c>
      <c r="R25" s="769" t="s">
        <v>17</v>
      </c>
      <c r="S25" s="770">
        <f>F25</f>
        <v>100</v>
      </c>
      <c r="T25" s="769" t="s">
        <v>17</v>
      </c>
      <c r="U25" s="770">
        <f>H25</f>
        <v>100</v>
      </c>
      <c r="V25" s="769" t="s">
        <v>17</v>
      </c>
      <c r="W25" s="770">
        <f>J25</f>
        <v>100</v>
      </c>
      <c r="X25" s="771"/>
      <c r="Y25" s="3222"/>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222"/>
      <c r="Q26" s="1794"/>
      <c r="R26" s="769"/>
      <c r="S26" s="770"/>
      <c r="T26" s="769"/>
      <c r="U26" s="770"/>
      <c r="V26" s="769"/>
      <c r="W26" s="770"/>
      <c r="X26" s="771"/>
      <c r="Y26" s="3222"/>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22"/>
      <c r="Z27" s="1813" t="str">
        <f t="shared" ref="Z27:Z40" si="13">Q27</f>
        <v>临街状况</v>
      </c>
      <c r="AA27" s="1810">
        <f t="shared" si="3"/>
        <v>1</v>
      </c>
      <c r="AB27" s="1810">
        <f t="shared" si="4"/>
        <v>1</v>
      </c>
      <c r="AC27" s="1810">
        <f t="shared" si="5"/>
        <v>1</v>
      </c>
    </row>
    <row r="28" spans="1:29" ht="28.8">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2"/>
      <c r="Q28" s="1809" t="str">
        <f t="shared" si="8"/>
        <v>毗邻道路的类型与等级</v>
      </c>
      <c r="R28" s="773" t="s">
        <v>17</v>
      </c>
      <c r="S28" s="774">
        <f t="shared" si="10"/>
        <v>100</v>
      </c>
      <c r="T28" s="773" t="s">
        <v>17</v>
      </c>
      <c r="U28" s="774">
        <f t="shared" si="11"/>
        <v>100</v>
      </c>
      <c r="V28" s="773" t="s">
        <v>17</v>
      </c>
      <c r="W28" s="774">
        <f t="shared" si="12"/>
        <v>100</v>
      </c>
      <c r="X28" s="1812"/>
      <c r="Y28" s="3222"/>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222"/>
      <c r="Q29" s="1809"/>
      <c r="R29" s="773"/>
      <c r="S29" s="774"/>
      <c r="T29" s="773"/>
      <c r="U29" s="774"/>
      <c r="V29" s="773"/>
      <c r="W29" s="774"/>
      <c r="X29" s="1812"/>
      <c r="Y29" s="3222"/>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2"/>
      <c r="Q30" s="1809" t="str">
        <f t="shared" si="8"/>
        <v>土地级别</v>
      </c>
      <c r="R30" s="773" t="s">
        <v>17</v>
      </c>
      <c r="S30" s="774">
        <f t="shared" si="10"/>
        <v>100</v>
      </c>
      <c r="T30" s="773" t="s">
        <v>17</v>
      </c>
      <c r="U30" s="774">
        <f t="shared" si="11"/>
        <v>100</v>
      </c>
      <c r="V30" s="773" t="s">
        <v>17</v>
      </c>
      <c r="W30" s="774">
        <f t="shared" si="12"/>
        <v>100</v>
      </c>
      <c r="X30" s="1812"/>
      <c r="Y30" s="3222"/>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2"/>
      <c r="Q31" s="1809">
        <f t="shared" si="8"/>
        <v>111</v>
      </c>
      <c r="R31" s="773" t="s">
        <v>17</v>
      </c>
      <c r="S31" s="774">
        <f t="shared" si="10"/>
        <v>100</v>
      </c>
      <c r="T31" s="773" t="s">
        <v>17</v>
      </c>
      <c r="U31" s="774">
        <f t="shared" si="11"/>
        <v>100</v>
      </c>
      <c r="V31" s="773" t="s">
        <v>17</v>
      </c>
      <c r="W31" s="774">
        <f t="shared" si="12"/>
        <v>100</v>
      </c>
      <c r="X31" s="1812"/>
      <c r="Y31" s="3222"/>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5" t="s">
        <v>2559</v>
      </c>
      <c r="Q32" s="1809">
        <f t="shared" si="8"/>
        <v>111</v>
      </c>
      <c r="R32" s="773" t="s">
        <v>17</v>
      </c>
      <c r="S32" s="774">
        <f t="shared" si="10"/>
        <v>100</v>
      </c>
      <c r="T32" s="773" t="s">
        <v>17</v>
      </c>
      <c r="U32" s="774">
        <f t="shared" si="11"/>
        <v>100</v>
      </c>
      <c r="V32" s="773" t="s">
        <v>17</v>
      </c>
      <c r="W32" s="774">
        <f t="shared" si="12"/>
        <v>100</v>
      </c>
      <c r="X32" s="1812"/>
      <c r="Y32" s="3226" t="s">
        <v>2559</v>
      </c>
      <c r="Z32" s="1813">
        <f t="shared" si="13"/>
        <v>111</v>
      </c>
      <c r="AA32" s="1810">
        <f t="shared" si="3"/>
        <v>1</v>
      </c>
      <c r="AB32" s="1810">
        <f t="shared" si="4"/>
        <v>1</v>
      </c>
      <c r="AC32" s="1810">
        <f t="shared" si="5"/>
        <v>1</v>
      </c>
    </row>
    <row r="33" spans="1:29" s="470" customFormat="1" ht="15.6"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6"/>
      <c r="Q33" s="1809">
        <f t="shared" si="8"/>
        <v>111</v>
      </c>
      <c r="R33" s="776" t="s">
        <v>17</v>
      </c>
      <c r="S33" s="777">
        <f t="shared" si="10"/>
        <v>100</v>
      </c>
      <c r="T33" s="776" t="s">
        <v>17</v>
      </c>
      <c r="U33" s="777">
        <f t="shared" si="11"/>
        <v>100</v>
      </c>
      <c r="V33" s="776" t="s">
        <v>17</v>
      </c>
      <c r="W33" s="777">
        <f t="shared" si="12"/>
        <v>100</v>
      </c>
      <c r="X33" s="778"/>
      <c r="Y33" s="3226"/>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6"/>
      <c r="Q34" s="1809" t="str">
        <f>B34</f>
        <v>宗地面积</v>
      </c>
      <c r="R34" s="773" t="s">
        <v>17</v>
      </c>
      <c r="S34" s="774" t="e">
        <f t="shared" si="10"/>
        <v>#N/A</v>
      </c>
      <c r="T34" s="773" t="s">
        <v>17</v>
      </c>
      <c r="U34" s="774" t="e">
        <f t="shared" si="11"/>
        <v>#N/A</v>
      </c>
      <c r="V34" s="773" t="s">
        <v>17</v>
      </c>
      <c r="W34" s="774" t="e">
        <f t="shared" si="12"/>
        <v>#N/A</v>
      </c>
      <c r="X34" s="1812"/>
      <c r="Y34" s="3226"/>
      <c r="Z34" s="1813" t="str">
        <f t="shared" si="13"/>
        <v>宗地面积</v>
      </c>
      <c r="AA34" s="1810" t="e">
        <f t="shared" si="3"/>
        <v>#N/A</v>
      </c>
      <c r="AB34" s="1810" t="e">
        <f t="shared" si="4"/>
        <v>#N/A</v>
      </c>
      <c r="AC34" s="1810"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226"/>
      <c r="Q35" s="1809" t="str">
        <f t="shared" ref="Q35:Q40" si="14">B35</f>
        <v>宗地形状</v>
      </c>
      <c r="R35" s="773" t="s">
        <v>17</v>
      </c>
      <c r="S35" s="774">
        <f t="shared" si="10"/>
        <v>100</v>
      </c>
      <c r="T35" s="773" t="s">
        <v>17</v>
      </c>
      <c r="U35" s="774">
        <f t="shared" si="11"/>
        <v>100</v>
      </c>
      <c r="V35" s="773" t="s">
        <v>17</v>
      </c>
      <c r="W35" s="774">
        <f t="shared" si="12"/>
        <v>100</v>
      </c>
      <c r="X35" s="1812"/>
      <c r="Y35" s="3226"/>
      <c r="Z35" s="1813" t="str">
        <f t="shared" si="13"/>
        <v>宗地形状</v>
      </c>
      <c r="AA35" s="1810">
        <f t="shared" si="3"/>
        <v>1</v>
      </c>
      <c r="AB35" s="1810">
        <f t="shared" si="4"/>
        <v>1</v>
      </c>
      <c r="AC35" s="1810">
        <f t="shared" si="5"/>
        <v>1</v>
      </c>
    </row>
    <row r="36" spans="1:29" s="117" customFormat="1" ht="15">
      <c r="A36" s="472"/>
      <c r="B36" s="421" t="s">
        <v>2748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226"/>
      <c r="Q36" s="1809"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226" t="s">
        <v>2559</v>
      </c>
      <c r="Q37" s="1809" t="str">
        <f t="shared" si="14"/>
        <v>工程地质条件</v>
      </c>
      <c r="R37" s="773" t="s">
        <v>17</v>
      </c>
      <c r="S37" s="774">
        <f t="shared" si="10"/>
        <v>100</v>
      </c>
      <c r="T37" s="773" t="s">
        <v>17</v>
      </c>
      <c r="U37" s="774">
        <f t="shared" si="11"/>
        <v>100</v>
      </c>
      <c r="V37" s="773" t="s">
        <v>17</v>
      </c>
      <c r="W37" s="774">
        <f t="shared" si="12"/>
        <v>100</v>
      </c>
      <c r="X37" s="1812"/>
      <c r="Y37" s="3226"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6"/>
      <c r="Q38" s="1809">
        <f t="shared" si="14"/>
        <v>111</v>
      </c>
      <c r="R38" s="773" t="s">
        <v>17</v>
      </c>
      <c r="S38" s="774">
        <f t="shared" si="10"/>
        <v>100</v>
      </c>
      <c r="T38" s="773" t="s">
        <v>17</v>
      </c>
      <c r="U38" s="774">
        <f t="shared" si="11"/>
        <v>100</v>
      </c>
      <c r="V38" s="773" t="s">
        <v>17</v>
      </c>
      <c r="W38" s="774">
        <f t="shared" si="12"/>
        <v>100</v>
      </c>
      <c r="X38" s="1812"/>
      <c r="Y38" s="322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6"/>
      <c r="Q39" s="1809">
        <f t="shared" si="14"/>
        <v>111</v>
      </c>
      <c r="R39" s="773" t="s">
        <v>17</v>
      </c>
      <c r="S39" s="774">
        <f t="shared" si="10"/>
        <v>100</v>
      </c>
      <c r="T39" s="773" t="s">
        <v>17</v>
      </c>
      <c r="U39" s="774">
        <f t="shared" si="11"/>
        <v>100</v>
      </c>
      <c r="V39" s="773" t="s">
        <v>17</v>
      </c>
      <c r="W39" s="774">
        <f t="shared" si="12"/>
        <v>100</v>
      </c>
      <c r="X39" s="1812"/>
      <c r="Y39" s="3226"/>
      <c r="Z39" s="1813">
        <f t="shared" si="13"/>
        <v>111</v>
      </c>
      <c r="AA39" s="1810">
        <f t="shared" si="3"/>
        <v>1</v>
      </c>
      <c r="AB39" s="1810">
        <f t="shared" si="4"/>
        <v>1</v>
      </c>
      <c r="AC39" s="1810">
        <f t="shared" si="5"/>
        <v>1</v>
      </c>
    </row>
    <row r="40" spans="1:29" s="470" customFormat="1" ht="15.6"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6"/>
      <c r="Q40" s="1809">
        <f t="shared" si="14"/>
        <v>111</v>
      </c>
      <c r="R40" s="776" t="s">
        <v>17</v>
      </c>
      <c r="S40" s="777">
        <f t="shared" si="10"/>
        <v>100</v>
      </c>
      <c r="T40" s="776" t="s">
        <v>17</v>
      </c>
      <c r="U40" s="777">
        <f t="shared" si="11"/>
        <v>100</v>
      </c>
      <c r="V40" s="776" t="s">
        <v>17</v>
      </c>
      <c r="W40" s="777">
        <f t="shared" si="12"/>
        <v>100</v>
      </c>
      <c r="X40" s="778"/>
      <c r="Y40" s="3226"/>
      <c r="Z40" s="779">
        <f t="shared" si="13"/>
        <v>111</v>
      </c>
      <c r="AA40" s="1810">
        <f t="shared" si="3"/>
        <v>1</v>
      </c>
      <c r="AB40" s="1810">
        <f t="shared" si="4"/>
        <v>1</v>
      </c>
      <c r="AC40" s="1810">
        <f t="shared" si="5"/>
        <v>1</v>
      </c>
    </row>
    <row r="41" spans="1:29" ht="14.4">
      <c r="A41" s="478" t="s">
        <v>2714</v>
      </c>
      <c r="B41" s="2703" t="s">
        <v>2794</v>
      </c>
      <c r="C41" s="681" t="s">
        <v>1</v>
      </c>
      <c r="D41" s="480"/>
      <c r="E41" s="481"/>
      <c r="F41" s="482"/>
      <c r="G41" s="483"/>
      <c r="H41" s="484"/>
      <c r="I41" s="481"/>
      <c r="J41" s="484"/>
      <c r="K41" s="782"/>
      <c r="L41" s="1142"/>
      <c r="M41" s="1130"/>
      <c r="N41" s="1130"/>
      <c r="O41" s="1143"/>
      <c r="P41" s="3219" t="str">
        <f>A41</f>
        <v>成交单价</v>
      </c>
      <c r="Q41" s="3219"/>
      <c r="R41" s="3214">
        <f>E41</f>
        <v>0</v>
      </c>
      <c r="S41" s="3214"/>
      <c r="T41" s="3214">
        <f>G41</f>
        <v>0</v>
      </c>
      <c r="U41" s="3214"/>
      <c r="V41" s="3214">
        <f>I41</f>
        <v>0</v>
      </c>
      <c r="W41" s="3214"/>
      <c r="X41" s="758"/>
      <c r="Y41" s="780"/>
      <c r="Z41" s="758"/>
      <c r="AA41" s="758"/>
      <c r="AB41" s="758"/>
      <c r="AC41" s="758"/>
    </row>
    <row r="42" spans="1:29" ht="1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219" t="str">
        <f>A42</f>
        <v>比较价值（元/平方米）</v>
      </c>
      <c r="Q42" s="3219"/>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 thickBot="1">
      <c r="A43" s="491" t="s">
        <v>2664</v>
      </c>
      <c r="B43" s="492"/>
      <c r="C43" s="493" t="e">
        <f>R43</f>
        <v>#DIV/0!</v>
      </c>
      <c r="D43" s="493"/>
      <c r="E43" s="493"/>
      <c r="F43" s="493"/>
      <c r="G43" s="493"/>
      <c r="H43" s="493"/>
      <c r="I43" s="493"/>
      <c r="J43" s="493"/>
      <c r="K43" s="784"/>
      <c r="L43" s="1142"/>
      <c r="M43" s="1130"/>
      <c r="N43" s="1130"/>
      <c r="O43" s="1143"/>
      <c r="P43" s="3216" t="str">
        <f>A43</f>
        <v>估价对象XX用房的比较价值（楼面单价，元/平方米）</v>
      </c>
      <c r="Q43" s="3217"/>
      <c r="R43" s="3247" t="e">
        <f>ROUND(AVERAGE(R42:V42),0)</f>
        <v>#DIV/0!</v>
      </c>
      <c r="S43" s="3247"/>
      <c r="T43" s="3247"/>
      <c r="U43" s="3247"/>
      <c r="V43" s="3247"/>
      <c r="W43" s="3247"/>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2752</v>
      </c>
      <c r="B50" s="684" t="s">
        <v>2753</v>
      </c>
      <c r="C50" s="2704" t="s">
        <v>2754</v>
      </c>
      <c r="D50" s="2705" t="s">
        <v>2755</v>
      </c>
      <c r="E50" s="685" t="s">
        <v>2756</v>
      </c>
      <c r="F50" s="686" t="s">
        <v>2757</v>
      </c>
      <c r="G50" s="3202" t="s">
        <v>2758</v>
      </c>
      <c r="H50" s="3248"/>
      <c r="I50" s="1813" t="s">
        <v>2795</v>
      </c>
      <c r="J50" s="1813">
        <f>项目基本情况!F35</f>
        <v>0</v>
      </c>
      <c r="K50" s="2707" t="s">
        <v>2760</v>
      </c>
      <c r="L50" s="1105"/>
      <c r="M50" s="1143"/>
      <c r="N50" s="1143"/>
      <c r="O50" s="1143"/>
    </row>
    <row r="51" spans="1:17" s="691" customFormat="1">
      <c r="A51" s="687" t="s">
        <v>2761</v>
      </c>
      <c r="B51" s="688" t="e">
        <f>C43</f>
        <v>#DIV/0!</v>
      </c>
      <c r="C51" s="689">
        <v>1</v>
      </c>
      <c r="D51" s="1162">
        <v>1</v>
      </c>
      <c r="E51" s="689">
        <f>'数据-汇总表'!E8+'数据-汇总表'!E9</f>
        <v>1106.44</v>
      </c>
      <c r="F51" s="690" t="e">
        <f t="shared" ref="F51:F60" si="15">ROUND(B51*E51/10000,0)</f>
        <v>#DIV/0!</v>
      </c>
      <c r="G51" s="3201"/>
      <c r="H51" s="3219"/>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49"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49"/>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49"/>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49"/>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8"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8" t="s">
        <v>2763</v>
      </c>
      <c r="H59" s="1103">
        <f>项目基本情况!B37</f>
        <v>0</v>
      </c>
      <c r="I59" s="941">
        <f>SUMIF(修正!A45:A56,H59,修正!H45:H56)</f>
        <v>0</v>
      </c>
      <c r="J59" s="942"/>
      <c r="K59" s="1144"/>
      <c r="L59" s="940"/>
      <c r="M59" s="940"/>
      <c r="N59" s="940"/>
      <c r="O59" s="940"/>
    </row>
    <row r="60" spans="1:17" s="691" customFormat="1" ht="14.4" thickBot="1">
      <c r="A60" s="692" t="s">
        <v>2774</v>
      </c>
      <c r="B60" s="261" t="e">
        <f t="shared" si="17"/>
        <v>#DIV/0!</v>
      </c>
      <c r="C60" s="199">
        <f t="shared" si="16"/>
        <v>0</v>
      </c>
      <c r="D60" s="1163">
        <v>0.25</v>
      </c>
      <c r="E60" s="260">
        <f>'数据-汇总表'!E15</f>
        <v>0</v>
      </c>
      <c r="F60" s="690" t="e">
        <f t="shared" si="15"/>
        <v>#DIV/0!</v>
      </c>
      <c r="G60" s="2709" t="s">
        <v>2768</v>
      </c>
      <c r="H60" s="1113">
        <f>项目基本情况!C37</f>
        <v>0</v>
      </c>
      <c r="I60" s="941">
        <f>SUMIF(修正!A45:A56,H60,修正!H45:H56)</f>
        <v>0</v>
      </c>
      <c r="J60" s="942"/>
      <c r="K60" s="1143"/>
      <c r="L60" s="940"/>
      <c r="M60" s="940"/>
      <c r="N60" s="940"/>
      <c r="O60" s="940"/>
    </row>
    <row r="61" spans="1:17" s="691" customFormat="1" ht="14.4" thickBot="1">
      <c r="A61" s="694" t="s">
        <v>2775</v>
      </c>
      <c r="B61" s="695" t="s">
        <v>28</v>
      </c>
      <c r="C61" s="695" t="s">
        <v>29</v>
      </c>
      <c r="D61" s="695" t="s">
        <v>1026</v>
      </c>
      <c r="E61" s="695">
        <f>IF(B41="楼面地价",SUM(E51:E60),'数据-汇总表'!D3)</f>
        <v>8001.46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2.2" thickBot="1">
      <c r="A64" s="762" t="s">
        <v>2668</v>
      </c>
      <c r="B64" s="758"/>
      <c r="C64" s="763"/>
      <c r="D64" s="763"/>
      <c r="E64" s="763"/>
      <c r="F64" s="764"/>
      <c r="G64" s="764"/>
      <c r="H64" s="763"/>
      <c r="I64" s="763"/>
      <c r="J64" s="763"/>
      <c r="K64" s="765"/>
      <c r="L64" s="766"/>
      <c r="M64" s="763"/>
      <c r="N64" s="763"/>
      <c r="O64" s="1158"/>
      <c r="P64" s="502"/>
      <c r="Q64" s="503"/>
    </row>
    <row r="65" spans="1:17" s="507" customFormat="1" ht="14.4">
      <c r="A65" s="2710" t="s">
        <v>2776</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2579</v>
      </c>
      <c r="B67" s="515"/>
      <c r="C67" s="516"/>
      <c r="D67" s="517"/>
      <c r="E67" s="517"/>
      <c r="F67" s="517"/>
      <c r="G67" s="517"/>
      <c r="H67" s="517"/>
      <c r="I67" s="517"/>
      <c r="J67" s="517"/>
      <c r="K67" s="517"/>
      <c r="L67" s="517"/>
      <c r="M67" s="518"/>
      <c r="N67" s="518"/>
      <c r="O67" s="519"/>
      <c r="P67" s="503"/>
      <c r="Q67" s="503"/>
    </row>
    <row r="68" spans="1:17" s="117" customFormat="1" ht="14.4">
      <c r="A68" s="520" t="s">
        <v>2544</v>
      </c>
      <c r="B68" s="509"/>
      <c r="C68" s="521" t="s">
        <v>2646</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2582</v>
      </c>
      <c r="B70" s="527" t="s">
        <v>2548</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2551</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2685</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2744</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I25" sqref="I25"/>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1" customWidth="1"/>
    <col min="33" max="36" width="9.33203125" style="2787" customWidth="1"/>
    <col min="37" max="38" width="9.33203125" style="2719" customWidth="1"/>
    <col min="39" max="16384" width="12" style="2719"/>
  </cols>
  <sheetData>
    <row r="1" spans="1:36" ht="31.2">
      <c r="A1" s="239" t="s">
        <v>2798</v>
      </c>
      <c r="B1" s="240"/>
      <c r="C1" s="244" t="s">
        <v>2799</v>
      </c>
      <c r="D1" s="387">
        <f>SUM(D29:D30,D33:D39)</f>
        <v>1106.44</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6">
      <c r="A2" s="244" t="s">
        <v>2806</v>
      </c>
      <c r="B2" s="247">
        <f ca="1">C26</f>
        <v>614</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Ⅹ-昌2</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13.8714</v>
      </c>
      <c r="T2" s="1601">
        <f ca="1">ROUND($C$5*$C$18*$C$19*$C$20*S2*$C$24,0)</f>
        <v>9627</v>
      </c>
      <c r="U2" s="1602"/>
      <c r="V2" s="1601">
        <f ca="1">ROUND(T2*U2/10000,0)</f>
        <v>0</v>
      </c>
      <c r="W2" s="1605"/>
      <c r="X2" s="1605"/>
      <c r="Y2" s="1605"/>
      <c r="Z2" s="1605"/>
      <c r="AA2" s="1605"/>
      <c r="AB2" s="1605"/>
      <c r="AC2" s="1606"/>
      <c r="AD2" s="1607"/>
      <c r="AE2" s="1607"/>
      <c r="AF2" s="1607"/>
      <c r="AG2" s="1607"/>
      <c r="AH2" s="1607"/>
      <c r="AI2" s="1607"/>
      <c r="AJ2" s="1608"/>
    </row>
    <row r="3" spans="1:36" ht="15.6">
      <c r="A3" s="246" t="s">
        <v>2812</v>
      </c>
      <c r="B3" s="247">
        <f ca="1">ROUND(B2*10000/D1,0)</f>
        <v>5549</v>
      </c>
      <c r="C3" s="2720" t="s">
        <v>2813</v>
      </c>
      <c r="D3" s="2721" t="s">
        <v>2814</v>
      </c>
      <c r="E3" s="2726" t="s">
        <v>3084</v>
      </c>
      <c r="F3" s="2727" t="s">
        <v>3099</v>
      </c>
      <c r="G3" s="915">
        <f>IF(F3="宗地容积率",'数据-汇总表'!I4,IF(F3="估价对象容积率",'数据-汇总表'!I6,'数据-汇总表'!I7))</f>
        <v>0.14000000000000001</v>
      </c>
      <c r="H3" s="197" t="s">
        <v>2815</v>
      </c>
      <c r="I3" s="943"/>
      <c r="J3" s="2724" t="s">
        <v>2816</v>
      </c>
      <c r="K3" s="1369"/>
      <c r="L3" s="2725"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9.1420999999999992</v>
      </c>
      <c r="T3" s="1601">
        <f t="shared" ref="T3:T16" ca="1" si="0">ROUND($C$5*$C$18*$C$19*$C$20*S3*$C$24,0)</f>
        <v>6345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70"/>
      <c r="B4" s="3271"/>
      <c r="C4" s="3271"/>
      <c r="D4" s="3272"/>
      <c r="E4" s="3272"/>
      <c r="F4" s="3272"/>
      <c r="G4" s="3272"/>
      <c r="H4" s="3272"/>
      <c r="I4" s="3272"/>
      <c r="J4" s="3273"/>
      <c r="K4" s="1369"/>
      <c r="L4" s="2725"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7.1943000000000001</v>
      </c>
      <c r="T4" s="1601">
        <f t="shared" ca="1" si="0"/>
        <v>4993</v>
      </c>
      <c r="U4" s="1602"/>
      <c r="V4" s="1601">
        <f t="shared" ca="1" si="1"/>
        <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2819</v>
      </c>
      <c r="C5" s="916">
        <f>ROUND(IF(E2="商业",C6*C7+C16,(IF(E2="住宅",C6*C12+C16,C6+C16))),0)</f>
        <v>570</v>
      </c>
      <c r="D5" s="1786">
        <f>ROUND(C6+C16,0)</f>
        <v>570</v>
      </c>
      <c r="E5" s="1786"/>
      <c r="F5" s="2730"/>
      <c r="G5" s="2731"/>
      <c r="H5" s="2731"/>
      <c r="I5" s="2731"/>
      <c r="J5" s="2732"/>
      <c r="K5" s="2733"/>
      <c r="L5" s="2725"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5.375</v>
      </c>
      <c r="T5" s="1601">
        <f t="shared" ca="1" si="0"/>
        <v>3730</v>
      </c>
      <c r="U5" s="1602"/>
      <c r="V5" s="1601">
        <f t="shared" ca="1" si="1"/>
        <v>0</v>
      </c>
      <c r="W5" s="1605"/>
      <c r="X5" s="1605"/>
      <c r="Y5" s="1605"/>
      <c r="Z5" s="1605"/>
      <c r="AA5" s="1605"/>
      <c r="AB5" s="1605"/>
      <c r="AC5" s="2734"/>
      <c r="AD5" s="2735"/>
      <c r="AE5" s="2735"/>
      <c r="AF5" s="2735"/>
      <c r="AG5" s="2735"/>
      <c r="AH5" s="2735"/>
      <c r="AI5" s="2735"/>
      <c r="AJ5" s="2736"/>
    </row>
    <row r="6" spans="1:36" ht="15.6" thickBot="1">
      <c r="A6" s="2738" t="s">
        <v>2821</v>
      </c>
      <c r="B6" s="2739" t="s">
        <v>2822</v>
      </c>
      <c r="C6" s="917">
        <f>SUMIF(L1:L12,G2,M1:M12)</f>
        <v>540</v>
      </c>
      <c r="D6" s="2740" t="s">
        <v>2823</v>
      </c>
      <c r="E6" s="2741"/>
      <c r="F6" s="2741"/>
      <c r="G6" s="2742"/>
      <c r="H6" s="2742"/>
      <c r="I6" s="2742"/>
      <c r="J6" s="2743"/>
      <c r="K6" s="1841"/>
      <c r="L6" s="2725"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4.0420999999999996</v>
      </c>
      <c r="T6" s="1601">
        <f t="shared" ca="1" si="0"/>
        <v>2805</v>
      </c>
      <c r="U6" s="1602"/>
      <c r="V6" s="1601">
        <f t="shared" ca="1" si="1"/>
        <v>0</v>
      </c>
      <c r="W6" s="1605"/>
      <c r="X6" s="1605"/>
      <c r="Y6" s="1605"/>
      <c r="Z6" s="1605"/>
      <c r="AA6" s="1605"/>
      <c r="AB6" s="1605"/>
      <c r="AC6" s="2734"/>
      <c r="AD6" s="2735"/>
      <c r="AE6" s="2735"/>
      <c r="AF6" s="2735"/>
      <c r="AG6" s="2735"/>
      <c r="AH6" s="2735"/>
      <c r="AI6" s="2735"/>
      <c r="AJ6" s="2736"/>
    </row>
    <row r="7" spans="1:36" ht="24">
      <c r="A7" s="3254" t="str">
        <f>IF(E2="商业",IF(C8="不临58条商业街","",2),"")</f>
        <v/>
      </c>
      <c r="B7" s="2744" t="s">
        <v>2825</v>
      </c>
      <c r="C7" s="918">
        <f>IF(C8="不临58条商业街",1,ROUND(1+(1.6*E8+1.2*E9+0.8*E10+0.4*E11)*C9,4))</f>
        <v>1</v>
      </c>
      <c r="D7" s="2745" t="s">
        <v>2826</v>
      </c>
      <c r="E7" s="944"/>
      <c r="F7" s="2746"/>
      <c r="G7" s="2747"/>
      <c r="H7" s="2747"/>
      <c r="I7" s="2747"/>
      <c r="J7" s="2748"/>
      <c r="K7" s="1841"/>
      <c r="L7" s="2725"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3.2321</v>
      </c>
      <c r="T7" s="1601">
        <f t="shared" ca="1" si="0"/>
        <v>2243</v>
      </c>
      <c r="U7" s="1602"/>
      <c r="V7" s="1601">
        <f t="shared" ca="1" si="1"/>
        <v>0</v>
      </c>
      <c r="W7" s="1815" t="s">
        <v>2828</v>
      </c>
      <c r="X7" s="1603" t="str">
        <f>G2</f>
        <v>十级</v>
      </c>
      <c r="Y7" s="1603" t="s">
        <v>2829</v>
      </c>
      <c r="Z7" s="1604">
        <f>G3</f>
        <v>0.14000000000000001</v>
      </c>
      <c r="AA7" s="1605"/>
      <c r="AB7" s="1605"/>
      <c r="AC7" s="1606"/>
      <c r="AD7" s="1607"/>
      <c r="AE7" s="1607"/>
      <c r="AF7" s="1607"/>
      <c r="AG7" s="1607"/>
      <c r="AH7" s="1607"/>
      <c r="AI7" s="1607"/>
      <c r="AJ7" s="1608"/>
    </row>
    <row r="8" spans="1:36" ht="26.4">
      <c r="A8" s="3274"/>
      <c r="B8" s="197" t="s">
        <v>2830</v>
      </c>
      <c r="C8" s="2749" t="s">
        <v>3085</v>
      </c>
      <c r="D8" s="919" t="s">
        <v>139</v>
      </c>
      <c r="E8" s="920" t="e">
        <f>ROUND(C11/E7,4)</f>
        <v>#DIV/0!</v>
      </c>
      <c r="F8" s="2750" t="s">
        <v>2831</v>
      </c>
      <c r="G8" s="2751"/>
      <c r="H8" s="2751"/>
      <c r="I8" s="2751"/>
      <c r="J8" s="2752"/>
      <c r="K8" s="1369"/>
      <c r="L8" s="2725"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67" t="s">
        <v>2833</v>
      </c>
      <c r="X8" s="3268"/>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74"/>
      <c r="B9" s="197" t="s">
        <v>2846</v>
      </c>
      <c r="C9" s="921">
        <f>SUMIF(修正!C59:C119,C8,修正!E59:E119)</f>
        <v>0</v>
      </c>
      <c r="D9" s="199" t="s">
        <v>140</v>
      </c>
      <c r="E9" s="199" t="e">
        <f>ROUND(C11/E7,4)</f>
        <v>#DIV/0!</v>
      </c>
      <c r="F9" s="2750" t="s">
        <v>2847</v>
      </c>
      <c r="G9" s="2751"/>
      <c r="H9" s="2751"/>
      <c r="I9" s="2751"/>
      <c r="J9" s="2752"/>
      <c r="K9" s="1369"/>
      <c r="L9" s="2725"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69"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4"/>
      <c r="B10" s="197" t="s">
        <v>2851</v>
      </c>
      <c r="C10" s="199">
        <f>SUMIF(修正!C59:C119,C8,修正!F59:F119)</f>
        <v>0</v>
      </c>
      <c r="D10" s="199" t="s">
        <v>141</v>
      </c>
      <c r="E10" s="199" t="e">
        <f>ROUND(C11/E7,4)</f>
        <v>#DIV/0!</v>
      </c>
      <c r="F10" s="2750" t="s">
        <v>2852</v>
      </c>
      <c r="G10" s="2751"/>
      <c r="H10" s="2751"/>
      <c r="I10" s="2751"/>
      <c r="J10" s="2752"/>
      <c r="K10" s="1369"/>
      <c r="L10" s="2725" t="s">
        <v>2853</v>
      </c>
      <c r="M10" s="1080">
        <f>SUMPRODUCT((区片价!B290:B316=I2)*(区片价!C3:F3=E2)*(区片价!C290:F316))</f>
        <v>540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74"/>
      <c r="B11" s="2753" t="s">
        <v>2854</v>
      </c>
      <c r="C11" s="922">
        <f>C10/4</f>
        <v>0</v>
      </c>
      <c r="D11" s="922" t="s">
        <v>142</v>
      </c>
      <c r="E11" s="922" t="e">
        <f>ROUND(C11/E7,4)</f>
        <v>#DIV/0!</v>
      </c>
      <c r="F11" s="2754" t="s">
        <v>2855</v>
      </c>
      <c r="G11" s="2755"/>
      <c r="H11" s="2755"/>
      <c r="I11" s="2755"/>
      <c r="J11" s="2756"/>
      <c r="K11" s="1369"/>
      <c r="L11" s="2725"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9" t="s">
        <v>2857</v>
      </c>
      <c r="X11" s="1613" t="s">
        <v>2858</v>
      </c>
      <c r="Y11" s="1614">
        <f>$G$3</f>
        <v>0.14000000000000001</v>
      </c>
      <c r="Z11" s="1614">
        <f t="shared" ref="Z11:AJ11" si="3">$G$3</f>
        <v>0.14000000000000001</v>
      </c>
      <c r="AA11" s="1614">
        <f t="shared" si="3"/>
        <v>0.14000000000000001</v>
      </c>
      <c r="AB11" s="1614">
        <f t="shared" si="3"/>
        <v>0.14000000000000001</v>
      </c>
      <c r="AC11" s="1614">
        <f t="shared" si="3"/>
        <v>0.14000000000000001</v>
      </c>
      <c r="AD11" s="1614">
        <f t="shared" si="3"/>
        <v>0.14000000000000001</v>
      </c>
      <c r="AE11" s="1614">
        <f t="shared" si="3"/>
        <v>0.14000000000000001</v>
      </c>
      <c r="AF11" s="1614">
        <f t="shared" si="3"/>
        <v>0.14000000000000001</v>
      </c>
      <c r="AG11" s="1614">
        <f t="shared" si="3"/>
        <v>0.14000000000000001</v>
      </c>
      <c r="AH11" s="1614">
        <f t="shared" si="3"/>
        <v>0.14000000000000001</v>
      </c>
      <c r="AI11" s="1614">
        <f t="shared" si="3"/>
        <v>0.14000000000000001</v>
      </c>
      <c r="AJ11" s="1614">
        <f t="shared" si="3"/>
        <v>0.14000000000000001</v>
      </c>
    </row>
    <row r="12" spans="1:36" ht="25.8" thickBot="1">
      <c r="A12" s="3254" t="s">
        <v>2859</v>
      </c>
      <c r="B12" s="2757" t="s">
        <v>2860</v>
      </c>
      <c r="C12" s="918">
        <f>ROUND(C15*D15*E15*F15*G15*H15*I15*J15,4)</f>
        <v>1</v>
      </c>
      <c r="D12" s="2758" t="s">
        <v>2861</v>
      </c>
      <c r="E12" s="2759"/>
      <c r="F12" s="2759"/>
      <c r="G12" s="2760"/>
      <c r="H12" s="2760"/>
      <c r="I12" s="2760"/>
      <c r="J12" s="2761"/>
      <c r="K12" s="1369"/>
      <c r="L12" s="2762"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9"/>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63" t="s">
        <v>2864</v>
      </c>
      <c r="C13" s="2764" t="s">
        <v>2865</v>
      </c>
      <c r="D13" s="1807" t="s">
        <v>2866</v>
      </c>
      <c r="E13" s="1807" t="s">
        <v>2867</v>
      </c>
      <c r="F13" s="30" t="s">
        <v>2868</v>
      </c>
      <c r="G13" s="2765" t="s">
        <v>2869</v>
      </c>
      <c r="H13" s="2765" t="s">
        <v>2869</v>
      </c>
      <c r="I13" s="2765" t="s">
        <v>2869</v>
      </c>
      <c r="J13" s="2766" t="s">
        <v>2869</v>
      </c>
      <c r="K13" s="1369"/>
      <c r="L13" s="1369"/>
      <c r="M13" s="1369"/>
      <c r="N13" s="1369"/>
      <c r="O13" s="1369"/>
      <c r="P13" s="1369"/>
      <c r="Q13" s="1369"/>
      <c r="R13" s="1601">
        <v>12</v>
      </c>
      <c r="S13" s="1602"/>
      <c r="T13" s="1601">
        <f t="shared" ca="1" si="0"/>
        <v>0</v>
      </c>
      <c r="U13" s="1602"/>
      <c r="V13" s="1601">
        <f t="shared" ca="1" si="1"/>
        <v>0</v>
      </c>
      <c r="W13" s="3269"/>
      <c r="X13" s="1615"/>
      <c r="Y13" s="1612">
        <f>(-0.163*(Y12^2)-0.59*Y12+7617)*(10^(-4))/Y11</f>
        <v>5.4407142857142858</v>
      </c>
      <c r="Z13" s="1612">
        <f t="shared" ref="Z13:AJ13" si="5">(-0.163*(Z12^2)-0.59*Z12+7617)*(10^(-4))/Z11</f>
        <v>5.4407142857142858</v>
      </c>
      <c r="AA13" s="1612">
        <f t="shared" si="5"/>
        <v>5.4407142857142858</v>
      </c>
      <c r="AB13" s="1612">
        <f t="shared" si="5"/>
        <v>5.4407142857142858</v>
      </c>
      <c r="AC13" s="1612">
        <f t="shared" si="5"/>
        <v>5.4407142857142858</v>
      </c>
      <c r="AD13" s="1612">
        <f t="shared" si="5"/>
        <v>5.4407142857142858</v>
      </c>
      <c r="AE13" s="1612">
        <f t="shared" si="5"/>
        <v>5.4407142857142858</v>
      </c>
      <c r="AF13" s="1612">
        <f t="shared" si="5"/>
        <v>5.4407142857142858</v>
      </c>
      <c r="AG13" s="1612">
        <f t="shared" si="5"/>
        <v>5.4407142857142858</v>
      </c>
      <c r="AH13" s="1612">
        <f t="shared" si="5"/>
        <v>5.4407142857142858</v>
      </c>
      <c r="AI13" s="1612">
        <f t="shared" si="5"/>
        <v>5.4407142857142858</v>
      </c>
      <c r="AJ13" s="1612">
        <f t="shared" si="5"/>
        <v>5.4407142857142858</v>
      </c>
    </row>
    <row r="14" spans="1:36" ht="15">
      <c r="A14" s="3275"/>
      <c r="B14" s="2767"/>
      <c r="C14" s="2768"/>
      <c r="D14" s="2769"/>
      <c r="E14" s="2769"/>
      <c r="F14" s="2770"/>
      <c r="G14" s="2771" t="s">
        <v>2870</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76"/>
      <c r="B15" s="2775"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4" t="s">
        <v>2876</v>
      </c>
      <c r="B16" s="2744" t="s">
        <v>2877</v>
      </c>
      <c r="C16" s="2934">
        <f>ROUND(IF(F17="与级别开发程度一致",0,(G17-E17)/C17),0)</f>
        <v>30</v>
      </c>
      <c r="D16" s="3265" t="s">
        <v>2881</v>
      </c>
      <c r="E16" s="3266"/>
      <c r="F16" s="3265" t="s">
        <v>2878</v>
      </c>
      <c r="G16" s="3266"/>
      <c r="H16" s="2778" t="s">
        <v>3065</v>
      </c>
      <c r="I16" s="2778" t="s">
        <v>3066</v>
      </c>
      <c r="J16" s="2938" t="s">
        <v>3067</v>
      </c>
      <c r="K16" s="2778" t="s">
        <v>3068</v>
      </c>
      <c r="L16" s="2778" t="s">
        <v>3069</v>
      </c>
      <c r="M16" s="2778" t="s">
        <v>3070</v>
      </c>
      <c r="N16" s="2778" t="s">
        <v>3090</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55"/>
      <c r="B17" s="2945" t="s">
        <v>2880</v>
      </c>
      <c r="C17" s="2946">
        <f>SUMPRODUCT((修正!A2:A5=E2)*(修正!B1:M1=G2)*(修正!B2:M5))</f>
        <v>1</v>
      </c>
      <c r="D17" s="228" t="str">
        <f>IF(OR(G2="八级",G2="九级",G2="十级",G2="十一级",G2="十二级"),"五通一平","七通一平")</f>
        <v>五通一平</v>
      </c>
      <c r="E17" s="2935">
        <f>SUMPRODUCT((修正!B1:M1=G2)*(修正!B15:M15))</f>
        <v>155</v>
      </c>
      <c r="F17" s="2936" t="s">
        <v>3089</v>
      </c>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 thickBot="1">
      <c r="A18" s="2939" t="s">
        <v>808</v>
      </c>
      <c r="B18" s="2940" t="s">
        <v>2883</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4" thickBot="1">
      <c r="A19" s="2783" t="s">
        <v>809</v>
      </c>
      <c r="B19" s="2784" t="s">
        <v>2884</v>
      </c>
      <c r="C19" s="2967">
        <f>ROUND(IF(H19="按公示增长率计算",SUMPRODUCT((地价!A3:A26=YEAR(G19)&amp;"-"&amp;ROUNDUP(MONTH(G19)/3,0))*(地价!X2:AB2=E2)*(地价!X3:AB26)),IF(H19="地价指数",M20/M19,(1+I19)^O19)),4)</f>
        <v>1.3405</v>
      </c>
      <c r="D19" s="2788" t="s">
        <v>2885</v>
      </c>
      <c r="E19" s="924">
        <v>41640</v>
      </c>
      <c r="F19" s="2788" t="s">
        <v>2886</v>
      </c>
      <c r="G19" s="925">
        <f>'数据-取费表'!B2</f>
        <v>43641</v>
      </c>
      <c r="H19" s="2789" t="s">
        <v>3100</v>
      </c>
      <c r="I19" s="926" t="str">
        <f>IF(H19="季度增幅（自定义）",SUMIF(N21:N24,E2,O21:O24),"")</f>
        <v/>
      </c>
      <c r="J19" s="2786"/>
      <c r="K19" s="1376"/>
      <c r="L19" s="2790" t="s">
        <v>2887</v>
      </c>
      <c r="M19" s="1733">
        <f>ROUND(SUMIF(地价!B2:F2,E2,地价!B26:F26),0)</f>
        <v>230</v>
      </c>
      <c r="N19" s="2791" t="s">
        <v>2888</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9.4" thickBot="1">
      <c r="A20" s="2795" t="s">
        <v>810</v>
      </c>
      <c r="B20" s="2796" t="s">
        <v>2889</v>
      </c>
      <c r="C20" s="928">
        <f ca="1">ROUND(POWER(1+G20,J20-I20)*(POWER(1+G20,I20)-1)/(POWER(1+G20,J20)-1),4)</f>
        <v>0.9083</v>
      </c>
      <c r="D20" s="2797" t="s">
        <v>2890</v>
      </c>
      <c r="E20" s="1767">
        <f ca="1">存贷款利率!D4/100</f>
        <v>4.3499999999999997E-2</v>
      </c>
      <c r="F20" s="2797" t="s">
        <v>2882</v>
      </c>
      <c r="G20" s="933">
        <f ca="1">SUMIF(M26:P26,E2,M28:P28)</f>
        <v>4.8000000000000001E-2</v>
      </c>
      <c r="H20" s="2797" t="s">
        <v>2891</v>
      </c>
      <c r="I20" s="934">
        <f>SUMIF('数据-取费表'!C6:C15,E2,'数据-取费表'!F6:F15)/COUNTIF('数据-取费表'!C6:C15,E2)</f>
        <v>36.72</v>
      </c>
      <c r="J20" s="935">
        <f>IF(E2="住宅",70,IF(E2="商业",40,50))</f>
        <v>50</v>
      </c>
      <c r="K20" s="1376"/>
      <c r="L20" s="2798" t="s">
        <v>2892</v>
      </c>
      <c r="M20" s="1734">
        <f>ROUND(SUMPRODUCT((地价!A4:A26=YEAR(G19)&amp;"-"&amp;ROUNDUP(MONTH(G19)/3,0))*(地价!B2:F2=E2)*(地价!B4:F26)),0)</f>
        <v>308</v>
      </c>
      <c r="N20" s="2799" t="s">
        <v>2893</v>
      </c>
      <c r="O20" s="2800" t="s">
        <v>2894</v>
      </c>
      <c r="P20" s="2801" t="s">
        <v>2895</v>
      </c>
      <c r="R20" s="1375"/>
      <c r="S20" s="1375"/>
      <c r="T20" s="1370"/>
      <c r="U20" s="1370"/>
      <c r="V20" s="1370"/>
      <c r="W20" s="1369"/>
      <c r="X20" s="1369"/>
      <c r="Y20" s="1369"/>
      <c r="Z20" s="1376"/>
      <c r="AA20" s="1377"/>
      <c r="AB20" s="1377"/>
      <c r="AC20" s="1377"/>
      <c r="AD20" s="1377"/>
      <c r="AE20" s="1377"/>
      <c r="AF20" s="1377"/>
    </row>
    <row r="21" spans="1:37" s="2737" customFormat="1" ht="14.4">
      <c r="A21" s="2802" t="s">
        <v>811</v>
      </c>
      <c r="B21" s="2803" t="s">
        <v>3091</v>
      </c>
      <c r="C21" s="936">
        <f>IF(B21="容积率修正",IF(G3&lt;=10,D22,J22),C23)</f>
        <v>8</v>
      </c>
      <c r="D21" s="2804"/>
      <c r="E21" s="2804"/>
      <c r="F21" s="2804"/>
      <c r="G21" s="2804"/>
      <c r="H21" s="2804"/>
      <c r="I21" s="2804"/>
      <c r="J21" s="2805"/>
      <c r="K21" s="1376"/>
      <c r="N21" s="2806" t="s">
        <v>2896</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4">
      <c r="A22" s="2663" t="s">
        <v>2897</v>
      </c>
      <c r="B22" s="2807" t="s">
        <v>2898</v>
      </c>
      <c r="C22" s="1809" t="s">
        <v>2899</v>
      </c>
      <c r="D22" s="1809">
        <f>IF(E22=G22,F22,IF(G3&lt;=10,ROUND(F22+(H22-F22)*(G3-E22)/(G22-E22),4),"——"))</f>
        <v>8</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2900</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3" t="s">
        <v>2901</v>
      </c>
      <c r="B23" s="2808" t="s">
        <v>2902</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2903</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 thickBot="1">
      <c r="A24" s="2795" t="s">
        <v>812</v>
      </c>
      <c r="B24" s="2784" t="s">
        <v>2904</v>
      </c>
      <c r="C24" s="923">
        <f>SUMIF(A45:A88,E2,B45:B88)</f>
        <v>1</v>
      </c>
      <c r="D24" s="2785"/>
      <c r="E24" s="2814"/>
      <c r="F24" s="2814"/>
      <c r="G24" s="2814"/>
      <c r="H24" s="2814"/>
      <c r="I24" s="2814"/>
      <c r="J24" s="2815"/>
      <c r="K24" s="1376"/>
      <c r="N24" s="2816" t="s">
        <v>2905</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2906</v>
      </c>
      <c r="C25" s="929"/>
      <c r="D25" s="2747"/>
      <c r="E25" s="2747"/>
      <c r="F25" s="2818"/>
      <c r="G25" s="2747"/>
      <c r="H25" s="2747"/>
      <c r="I25" s="2747"/>
      <c r="J25" s="2748"/>
      <c r="K25" s="1369"/>
      <c r="N25" s="2819" t="s">
        <v>2907</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0"/>
      <c r="B26" s="2807" t="s">
        <v>2908</v>
      </c>
      <c r="C26" s="205">
        <f ca="1">E29+SUM(E33:E39)</f>
        <v>614</v>
      </c>
      <c r="D26" s="2821"/>
      <c r="E26" s="2772"/>
      <c r="F26" s="2822"/>
      <c r="G26" s="2772"/>
      <c r="H26" s="2772"/>
      <c r="I26" s="2772"/>
      <c r="J26" s="2823"/>
      <c r="K26" s="1369"/>
      <c r="L26" s="2776" t="s">
        <v>2808</v>
      </c>
      <c r="M26" s="919" t="s">
        <v>2872</v>
      </c>
      <c r="N26" s="919" t="s">
        <v>2873</v>
      </c>
      <c r="O26" s="919" t="s">
        <v>2874</v>
      </c>
      <c r="P26" s="2777" t="s">
        <v>2875</v>
      </c>
      <c r="R26" s="1375"/>
      <c r="S26" s="1375"/>
      <c r="T26" s="1370"/>
      <c r="U26" s="1370"/>
      <c r="V26" s="1370"/>
      <c r="W26" s="1369"/>
      <c r="X26" s="1369"/>
      <c r="Y26" s="1369"/>
      <c r="Z26" s="1376"/>
      <c r="AA26" s="1377"/>
      <c r="AB26" s="1377"/>
      <c r="AC26" s="1377"/>
      <c r="AD26" s="1377"/>
    </row>
    <row r="27" spans="1:37" ht="15" thickBot="1">
      <c r="A27" s="2820"/>
      <c r="B27" s="2824" t="s">
        <v>2909</v>
      </c>
      <c r="C27" s="930">
        <f ca="1">E30+SUM(I33:I39)</f>
        <v>0</v>
      </c>
      <c r="D27" s="2825"/>
      <c r="E27" s="2826"/>
      <c r="F27" s="2827"/>
      <c r="G27" s="2826"/>
      <c r="H27" s="2826"/>
      <c r="I27" s="2826"/>
      <c r="J27" s="2828"/>
      <c r="K27" s="1369"/>
      <c r="L27" s="2780"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9"/>
      <c r="B28" s="2830" t="s">
        <v>2910</v>
      </c>
      <c r="C28" s="2831" t="s">
        <v>2911</v>
      </c>
      <c r="D28" s="2831" t="s">
        <v>2912</v>
      </c>
      <c r="E28" s="2832" t="s">
        <v>2913</v>
      </c>
      <c r="F28" s="2833"/>
      <c r="G28" s="2760"/>
      <c r="H28" s="2760"/>
      <c r="I28" s="2760"/>
      <c r="J28" s="2761"/>
      <c r="K28" s="1369"/>
      <c r="L28" s="2781"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2914</v>
      </c>
      <c r="C29" s="205">
        <f ca="1">ROUND(C5*C18*C19*C20*C21*C24,0)</f>
        <v>5552</v>
      </c>
      <c r="D29" s="2836">
        <v>1106.44</v>
      </c>
      <c r="E29" s="941">
        <f ca="1">ROUND(C29*D29/10000,0)</f>
        <v>614</v>
      </c>
      <c r="F29" s="2837" t="s">
        <v>2915</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8" thickBot="1">
      <c r="A30" s="2840"/>
      <c r="B30" s="2841" t="s">
        <v>2916</v>
      </c>
      <c r="C30" s="228">
        <f ca="1">ROUND(IF(E2="工业",C29*M39,C29*M38),0)</f>
        <v>833</v>
      </c>
      <c r="D30" s="2842"/>
      <c r="E30" s="941">
        <f ca="1">ROUND(C30*D30/10000,0)</f>
        <v>0</v>
      </c>
      <c r="F30" s="2843" t="s">
        <v>2917</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3.8">
      <c r="A31" s="2846"/>
      <c r="B31" s="2847" t="s">
        <v>2918</v>
      </c>
      <c r="C31" s="2848" t="s">
        <v>2919</v>
      </c>
      <c r="D31" s="2760"/>
      <c r="E31" s="2848"/>
      <c r="F31" s="2848"/>
      <c r="G31" s="2758" t="s">
        <v>2920</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36">
      <c r="A32" s="2834"/>
      <c r="B32" s="2850"/>
      <c r="C32" s="500" t="s">
        <v>2911</v>
      </c>
      <c r="D32" s="497" t="s">
        <v>2912</v>
      </c>
      <c r="E32" s="497" t="s">
        <v>2913</v>
      </c>
      <c r="F32" s="387" t="s">
        <v>2921</v>
      </c>
      <c r="G32" s="2851" t="s">
        <v>2911</v>
      </c>
      <c r="H32" s="2851" t="s">
        <v>2912</v>
      </c>
      <c r="I32" s="2851"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62" t="s">
        <v>2922</v>
      </c>
      <c r="B33" s="2852" t="s">
        <v>2923</v>
      </c>
      <c r="C33" s="205">
        <f ca="1">ROUND(D5*C19*C20*C24*F33,0)</f>
        <v>416</v>
      </c>
      <c r="D33" s="2836"/>
      <c r="E33" s="199">
        <f ca="1">ROUND(C33*D33/10000,0)</f>
        <v>0</v>
      </c>
      <c r="F33" s="199">
        <f>SUMIF(修正!A45:A56,G2,修正!B45:B56)</f>
        <v>0.6</v>
      </c>
      <c r="G33" s="199">
        <f t="shared" ref="G33" ca="1" si="6">ROUND(IF(E2="工业",C33*$M$39,C33*$M$38),0)</f>
        <v>62</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63"/>
      <c r="B34" s="2764" t="s">
        <v>2924</v>
      </c>
      <c r="C34" s="205">
        <f ca="1">ROUND(D5*C19*C20*C24*F34,0)</f>
        <v>208</v>
      </c>
      <c r="D34" s="2836"/>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3"/>
      <c r="B35" s="2764" t="s">
        <v>2925</v>
      </c>
      <c r="C35" s="205">
        <f ca="1">ROUND(D5*C19*C20*C24*F35,0)</f>
        <v>139</v>
      </c>
      <c r="D35" s="2836"/>
      <c r="E35" s="199">
        <f t="shared" ca="1" si="7"/>
        <v>0</v>
      </c>
      <c r="F35" s="199">
        <f>SUMIF(修正!A45:A56,G2,修正!D45:D56)</f>
        <v>0.2</v>
      </c>
      <c r="G35" s="199">
        <f ca="1">ROUND(IF(E2="工业",C35*$M$39,C35*$M$38),0)</f>
        <v>21</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8" thickBot="1">
      <c r="A36" s="3264"/>
      <c r="B36" s="2764" t="s">
        <v>2926</v>
      </c>
      <c r="C36" s="205">
        <f ca="1">ROUND(D5*C19*C20*C24*F36,0)</f>
        <v>139</v>
      </c>
      <c r="D36" s="2836"/>
      <c r="E36" s="199">
        <f t="shared" ca="1" si="7"/>
        <v>0</v>
      </c>
      <c r="F36" s="199">
        <f>SUMIF(修正!A45:A56,G2,修正!E45:E56)</f>
        <v>0.2</v>
      </c>
      <c r="G36" s="199">
        <f ca="1">ROUND(IF(E2="工业",C36*$M$39,C36*$M$38),0)</f>
        <v>21</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2927</v>
      </c>
      <c r="C37" s="199">
        <f ca="1">ROUND(D5*C19*C20*C24*F37,0)</f>
        <v>139</v>
      </c>
      <c r="D37" s="2836"/>
      <c r="E37" s="199">
        <f t="shared" ca="1" si="7"/>
        <v>0</v>
      </c>
      <c r="F37" s="205">
        <f>SUMIF(修正!A45:A56,G2,修正!F45:F56)</f>
        <v>0.2</v>
      </c>
      <c r="G37" s="199">
        <f ca="1">ROUND(IF(E2="工业",C37*$M$39,C37*$M$38),0)</f>
        <v>21</v>
      </c>
      <c r="H37" s="199">
        <f t="shared" si="8"/>
        <v>0</v>
      </c>
      <c r="I37" s="199">
        <f t="shared" ca="1" si="9"/>
        <v>0</v>
      </c>
      <c r="J37" s="2853"/>
      <c r="K37" s="1369"/>
      <c r="L37" s="2855" t="s">
        <v>2928</v>
      </c>
      <c r="M37" s="2856"/>
      <c r="N37" s="1369"/>
      <c r="O37" s="1369"/>
      <c r="P37" s="1369"/>
      <c r="Q37" s="1369"/>
      <c r="R37" s="1369"/>
      <c r="S37" s="1369"/>
      <c r="T37" s="1369"/>
      <c r="U37" s="1369"/>
      <c r="V37" s="1369"/>
      <c r="W37" s="1369"/>
      <c r="X37" s="1369"/>
      <c r="Y37" s="1369"/>
      <c r="Z37" s="1370"/>
    </row>
    <row r="38" spans="1:37">
      <c r="A38" s="2854"/>
      <c r="B38" s="2764" t="s">
        <v>2929</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2930</v>
      </c>
      <c r="M38" s="2857">
        <v>0.25</v>
      </c>
      <c r="N38" s="1369"/>
      <c r="O38" s="1369"/>
      <c r="P38" s="1369"/>
      <c r="Q38" s="1369"/>
      <c r="R38" s="1369"/>
      <c r="S38" s="1369"/>
      <c r="T38" s="1369"/>
      <c r="U38" s="1369"/>
      <c r="V38" s="1369"/>
      <c r="W38" s="1369"/>
      <c r="X38" s="1369"/>
      <c r="Y38" s="1369"/>
      <c r="Z38" s="1370"/>
    </row>
    <row r="39" spans="1:37" ht="13.8" thickBot="1">
      <c r="A39" s="2840"/>
      <c r="B39" s="2858" t="s">
        <v>2931</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3042</v>
      </c>
      <c r="C41" s="387">
        <f ca="1">ROUND(POWER(1+E41,H41-G41)*(POWER(1+E41,G41)-1)/(POWER(1+E41,H41)-1),4)</f>
        <v>0</v>
      </c>
      <c r="D41" s="199" t="s">
        <v>2882</v>
      </c>
      <c r="E41" s="2928">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2932</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thickBot="1">
      <c r="A46" s="2865" t="s">
        <v>2933</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5.2" hidden="1">
      <c r="A47" s="2869" t="s">
        <v>2934</v>
      </c>
      <c r="B47" s="1808" t="s">
        <v>2935</v>
      </c>
      <c r="C47" s="1808" t="s">
        <v>2936</v>
      </c>
      <c r="D47" s="1808" t="s">
        <v>2937</v>
      </c>
      <c r="E47" s="818" t="s">
        <v>2938</v>
      </c>
      <c r="F47" s="2870" t="s">
        <v>2939</v>
      </c>
      <c r="G47" s="1808" t="s">
        <v>754</v>
      </c>
      <c r="H47" s="2871"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52.8" hidden="1">
      <c r="A48" s="2869" t="s">
        <v>2942</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hidden="1">
      <c r="A49" s="2869" t="s">
        <v>2943</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2944</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hidden="1">
      <c r="A51" s="2869" t="s">
        <v>2945</v>
      </c>
      <c r="B51" s="2874" t="s">
        <v>2946</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2947</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hidden="1">
      <c r="A53" s="2869" t="s">
        <v>2948</v>
      </c>
      <c r="B53" s="2875" t="s">
        <v>2949</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hidden="1">
      <c r="A54" s="2876" t="s">
        <v>2950</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hidden="1">
      <c r="A55" s="2876" t="s">
        <v>2951</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hidden="1" thickBot="1">
      <c r="A56" s="2877" t="s">
        <v>2952</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thickBot="1">
      <c r="A57" s="2865" t="s">
        <v>2953</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hidden="1">
      <c r="A58" s="2869" t="s">
        <v>2934</v>
      </c>
      <c r="B58" s="1808"/>
      <c r="C58" s="1808" t="s">
        <v>2936</v>
      </c>
      <c r="D58" s="1808" t="s">
        <v>2937</v>
      </c>
      <c r="E58" s="818" t="s">
        <v>2938</v>
      </c>
      <c r="F58" s="2870" t="s">
        <v>2954</v>
      </c>
      <c r="G58" s="1808" t="s">
        <v>754</v>
      </c>
      <c r="H58" s="2871"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52.8" hidden="1">
      <c r="A59" s="2869" t="s">
        <v>2955</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hidden="1">
      <c r="A60" s="2869" t="s">
        <v>2943</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2944</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hidden="1">
      <c r="A62" s="2869" t="s">
        <v>2945</v>
      </c>
      <c r="B62" s="2874" t="s">
        <v>2946</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2947</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hidden="1">
      <c r="A64" s="2869" t="s">
        <v>2948</v>
      </c>
      <c r="B64" s="2875" t="s">
        <v>2949</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hidden="1">
      <c r="A65" s="2869" t="s">
        <v>2950</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hidden="1">
      <c r="A66" s="2869" t="s">
        <v>2951</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hidden="1" thickBot="1">
      <c r="A67" s="2877" t="s">
        <v>2952</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thickBot="1">
      <c r="A68" s="2865" t="s">
        <v>2956</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hidden="1">
      <c r="A69" s="2869" t="s">
        <v>2934</v>
      </c>
      <c r="B69" s="1808"/>
      <c r="C69" s="1808" t="s">
        <v>2936</v>
      </c>
      <c r="D69" s="1808" t="s">
        <v>2937</v>
      </c>
      <c r="E69" s="818" t="s">
        <v>2938</v>
      </c>
      <c r="F69" s="2870" t="s">
        <v>2954</v>
      </c>
      <c r="G69" s="1808" t="s">
        <v>754</v>
      </c>
      <c r="H69" s="2871"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66" hidden="1">
      <c r="A70" s="2869" t="s">
        <v>2957</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hidden="1">
      <c r="A71" s="2869" t="s">
        <v>2943</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2944</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hidden="1">
      <c r="A73" s="2869" t="s">
        <v>2958</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hidden="1">
      <c r="A74" s="2869" t="s">
        <v>2950</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hidden="1">
      <c r="A75" s="2869" t="s">
        <v>2951</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36" hidden="1">
      <c r="A76" s="2869" t="s">
        <v>2948</v>
      </c>
      <c r="B76" s="2875" t="s">
        <v>2949</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9.6" hidden="1">
      <c r="A77" s="2869" t="s">
        <v>2952</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36.6" hidden="1" thickBot="1">
      <c r="A78" s="2877" t="s">
        <v>2959</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4.4">
      <c r="A79" s="2865" t="s">
        <v>2960</v>
      </c>
      <c r="B79" s="2866">
        <f>1+E81</f>
        <v>1</v>
      </c>
      <c r="C79" s="813"/>
      <c r="D79" s="813"/>
      <c r="E79" s="814"/>
      <c r="F79" s="2868"/>
      <c r="G79" s="6"/>
      <c r="H79" s="6"/>
      <c r="I79" s="6"/>
      <c r="J79" s="7"/>
      <c r="K79" s="7"/>
      <c r="L79" s="7"/>
      <c r="M79" s="7"/>
      <c r="N79" s="7"/>
      <c r="Z79" s="2719"/>
      <c r="AA79" s="2787"/>
      <c r="AG79" s="1371"/>
      <c r="AK79" s="2787"/>
    </row>
    <row r="80" spans="1:37" ht="25.2">
      <c r="A80" s="2869" t="s">
        <v>2934</v>
      </c>
      <c r="B80" s="1808"/>
      <c r="C80" s="1808" t="s">
        <v>2936</v>
      </c>
      <c r="D80" s="1808" t="s">
        <v>2937</v>
      </c>
      <c r="E80" s="818" t="s">
        <v>2938</v>
      </c>
      <c r="F80" s="2870" t="s">
        <v>2954</v>
      </c>
      <c r="G80" s="1808" t="s">
        <v>754</v>
      </c>
      <c r="H80" s="2871" t="s">
        <v>2940</v>
      </c>
      <c r="I80" s="1808" t="s">
        <v>2941</v>
      </c>
      <c r="J80" s="602" t="s">
        <v>2591</v>
      </c>
      <c r="K80" s="602" t="s">
        <v>2592</v>
      </c>
      <c r="L80" s="602" t="s">
        <v>2593</v>
      </c>
      <c r="M80" s="602" t="s">
        <v>2594</v>
      </c>
      <c r="N80" s="602" t="s">
        <v>2595</v>
      </c>
      <c r="Z80" s="2719"/>
      <c r="AA80" s="2787"/>
      <c r="AG80" s="1371"/>
      <c r="AK80" s="2787"/>
    </row>
    <row r="81" spans="1:37" ht="39.6">
      <c r="A81" s="2869" t="s">
        <v>2961</v>
      </c>
      <c r="B81" s="2873" t="str">
        <f>估价对象房地状况!G15</f>
        <v>估价对象位于XX开发区，园区建设成熟度XX，产业集聚程度XX</v>
      </c>
      <c r="C81" s="2769" t="s">
        <v>3086</v>
      </c>
      <c r="D81" s="1285">
        <f t="shared" ref="D81:D88" si="25">SUMIF($J$80:$N$80,C81,J81:N81)</f>
        <v>-1.9E-2</v>
      </c>
      <c r="E81" s="820">
        <f>ROUND(SUM(D81:D88),4)</f>
        <v>0</v>
      </c>
      <c r="F81" s="2500">
        <f>IF(E2="工业",SUMIF(L1:L12,G2,N1:N12),"——")</f>
        <v>0.15</v>
      </c>
      <c r="G81" s="1283">
        <v>1.9E-2</v>
      </c>
      <c r="H81" s="1287">
        <f t="shared" ref="H81:H88" si="26">IFERROR(ROUNDDOWN($F$81*I81/2,4),"——")</f>
        <v>1.95E-2</v>
      </c>
      <c r="I81" s="819">
        <v>0.26</v>
      </c>
      <c r="J81" s="1284">
        <f t="shared" ref="J81:J88" si="27">K81+$G81</f>
        <v>3.7999999999999999E-2</v>
      </c>
      <c r="K81" s="1284">
        <f t="shared" ref="K81:K88" si="28">$L81+$G81</f>
        <v>1.9E-2</v>
      </c>
      <c r="L81" s="1284">
        <v>0</v>
      </c>
      <c r="M81" s="1284">
        <f t="shared" ref="M81:N88" si="29">L81-$G81</f>
        <v>-1.9E-2</v>
      </c>
      <c r="N81" s="1284">
        <f t="shared" si="29"/>
        <v>-3.7999999999999999E-2</v>
      </c>
      <c r="Z81" s="2719"/>
      <c r="AA81" s="2787"/>
      <c r="AG81" s="1371"/>
      <c r="AK81" s="2787"/>
    </row>
    <row r="82" spans="1:37" ht="66">
      <c r="A82" s="2869" t="s">
        <v>2943</v>
      </c>
      <c r="B82" s="2873" t="str">
        <f>估价对象房地状况!G16</f>
        <v>估价对象周边道路状况、公共交通通达情况、停车便捷程度，综合评价交通便捷度较好</v>
      </c>
      <c r="C82" s="2769" t="s">
        <v>3087</v>
      </c>
      <c r="D82" s="1285">
        <f t="shared" si="25"/>
        <v>0</v>
      </c>
      <c r="E82" s="825"/>
      <c r="F82" s="2500"/>
      <c r="G82" s="1283">
        <v>2.4E-2</v>
      </c>
      <c r="H82" s="1287">
        <f t="shared" si="26"/>
        <v>2.47E-2</v>
      </c>
      <c r="I82" s="819">
        <v>0.33</v>
      </c>
      <c r="J82" s="1284">
        <f t="shared" si="27"/>
        <v>4.8000000000000001E-2</v>
      </c>
      <c r="K82" s="1284">
        <f t="shared" si="28"/>
        <v>2.4E-2</v>
      </c>
      <c r="L82" s="1284">
        <v>0</v>
      </c>
      <c r="M82" s="1284">
        <f t="shared" si="29"/>
        <v>-2.4E-2</v>
      </c>
      <c r="N82" s="1284">
        <f t="shared" si="29"/>
        <v>-4.8000000000000001E-2</v>
      </c>
      <c r="Z82" s="2719"/>
      <c r="AA82" s="2787"/>
      <c r="AG82" s="1371"/>
      <c r="AK82" s="2787"/>
    </row>
    <row r="83" spans="1:37" ht="24">
      <c r="A83" s="2869" t="s">
        <v>2944</v>
      </c>
      <c r="B83" s="2873">
        <f>估价对象房地状况!G17</f>
        <v>0</v>
      </c>
      <c r="C83" s="2769" t="s">
        <v>3087</v>
      </c>
      <c r="D83" s="1285">
        <f t="shared" si="25"/>
        <v>0</v>
      </c>
      <c r="E83" s="825"/>
      <c r="F83" s="2500"/>
      <c r="G83" s="1283">
        <v>3.5000000000000001E-3</v>
      </c>
      <c r="H83" s="1287">
        <f t="shared" si="26"/>
        <v>3.7000000000000002E-3</v>
      </c>
      <c r="I83" s="819">
        <v>0.05</v>
      </c>
      <c r="J83" s="1284">
        <f t="shared" si="27"/>
        <v>7.0000000000000001E-3</v>
      </c>
      <c r="K83" s="1284">
        <f t="shared" si="28"/>
        <v>3.5000000000000001E-3</v>
      </c>
      <c r="L83" s="1284">
        <v>0</v>
      </c>
      <c r="M83" s="1284">
        <f t="shared" si="29"/>
        <v>-3.5000000000000001E-3</v>
      </c>
      <c r="N83" s="1284">
        <f t="shared" si="29"/>
        <v>-7.0000000000000001E-3</v>
      </c>
      <c r="Z83" s="2719"/>
      <c r="AA83" s="2787"/>
      <c r="AG83" s="1371"/>
      <c r="AK83" s="2787"/>
    </row>
    <row r="84" spans="1:37" ht="13.8">
      <c r="A84" s="2869" t="s">
        <v>2958</v>
      </c>
      <c r="B84" s="2873">
        <f>估价对象房地状况!G22</f>
        <v>0</v>
      </c>
      <c r="C84" s="2769" t="s">
        <v>3087</v>
      </c>
      <c r="D84" s="1285">
        <f t="shared" si="25"/>
        <v>0</v>
      </c>
      <c r="E84" s="825"/>
      <c r="F84" s="2500"/>
      <c r="G84" s="1283">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9"/>
      <c r="AA84" s="2787"/>
      <c r="AG84" s="1371"/>
      <c r="AK84" s="2787"/>
    </row>
    <row r="85" spans="1:37" ht="26.4">
      <c r="A85" s="2869" t="s">
        <v>2950</v>
      </c>
      <c r="B85" s="1724" t="str">
        <f>估价对象房地状况!G19</f>
        <v>估价对象所在区域公共配套设施齐备情况</v>
      </c>
      <c r="C85" s="2769" t="s">
        <v>3087</v>
      </c>
      <c r="D85" s="1285">
        <f t="shared" si="25"/>
        <v>0</v>
      </c>
      <c r="E85" s="825"/>
      <c r="F85" s="2500"/>
      <c r="G85" s="1283">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9"/>
      <c r="AA85" s="2787"/>
      <c r="AG85" s="1371"/>
      <c r="AK85" s="2787"/>
    </row>
    <row r="86" spans="1:37" ht="26.4">
      <c r="A86" s="2869" t="s">
        <v>2951</v>
      </c>
      <c r="B86" s="1724" t="str">
        <f>估价对象房地状况!G20</f>
        <v>估价对象所在区域基础设施水平</v>
      </c>
      <c r="C86" s="2769" t="s">
        <v>3088</v>
      </c>
      <c r="D86" s="1285">
        <f t="shared" si="25"/>
        <v>1.0999999999999999E-2</v>
      </c>
      <c r="E86" s="825"/>
      <c r="F86" s="2500"/>
      <c r="G86" s="1283">
        <v>1.0999999999999999E-2</v>
      </c>
      <c r="H86" s="1287">
        <f t="shared" si="26"/>
        <v>1.12E-2</v>
      </c>
      <c r="I86" s="819">
        <v>0.15</v>
      </c>
      <c r="J86" s="1284">
        <f t="shared" si="27"/>
        <v>2.1999999999999999E-2</v>
      </c>
      <c r="K86" s="1284">
        <f t="shared" si="28"/>
        <v>1.0999999999999999E-2</v>
      </c>
      <c r="L86" s="1284">
        <v>0</v>
      </c>
      <c r="M86" s="1284">
        <f t="shared" si="29"/>
        <v>-1.0999999999999999E-2</v>
      </c>
      <c r="N86" s="1284">
        <f t="shared" si="29"/>
        <v>-2.1999999999999999E-2</v>
      </c>
      <c r="Z86" s="2719"/>
      <c r="AA86" s="2787"/>
      <c r="AG86" s="1371"/>
      <c r="AK86" s="2787"/>
    </row>
    <row r="87" spans="1:37" ht="36">
      <c r="A87" s="2869" t="s">
        <v>2948</v>
      </c>
      <c r="B87" s="2875" t="s">
        <v>2962</v>
      </c>
      <c r="C87" s="2769" t="s">
        <v>3088</v>
      </c>
      <c r="D87" s="1285">
        <f t="shared" si="25"/>
        <v>3.5000000000000001E-3</v>
      </c>
      <c r="E87" s="825"/>
      <c r="F87" s="2500"/>
      <c r="G87" s="1283">
        <v>3.5000000000000001E-3</v>
      </c>
      <c r="H87" s="1287">
        <f t="shared" si="26"/>
        <v>3.7000000000000002E-3</v>
      </c>
      <c r="I87" s="819">
        <v>0.05</v>
      </c>
      <c r="J87" s="1284">
        <f t="shared" si="27"/>
        <v>7.0000000000000001E-3</v>
      </c>
      <c r="K87" s="1284">
        <f t="shared" si="28"/>
        <v>3.5000000000000001E-3</v>
      </c>
      <c r="L87" s="1284">
        <v>0</v>
      </c>
      <c r="M87" s="1284">
        <f t="shared" si="29"/>
        <v>-3.5000000000000001E-3</v>
      </c>
      <c r="N87" s="1284">
        <f t="shared" si="29"/>
        <v>-7.0000000000000001E-3</v>
      </c>
      <c r="Z87" s="2719"/>
      <c r="AA87" s="2787"/>
      <c r="AG87" s="1371"/>
      <c r="AK87" s="2787"/>
    </row>
    <row r="88" spans="1:37" ht="53.4" thickBot="1">
      <c r="A88" s="2877" t="s">
        <v>2963</v>
      </c>
      <c r="B88" s="2882" t="str">
        <f>估价对象房地状况!G18</f>
        <v>该园区内是否有污染型企业，绿化情况，卫生条件，整体环境状况判断</v>
      </c>
      <c r="C88" s="2769" t="s">
        <v>3088</v>
      </c>
      <c r="D88" s="1285">
        <f t="shared" si="25"/>
        <v>4.4999999999999997E-3</v>
      </c>
      <c r="E88" s="826"/>
      <c r="F88" s="2500"/>
      <c r="G88" s="1283">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9"/>
      <c r="AA88" s="2787"/>
      <c r="AG88" s="1371"/>
      <c r="AK88" s="2787"/>
    </row>
    <row r="90" spans="1:37">
      <c r="A90" s="3256" t="s">
        <v>2964</v>
      </c>
      <c r="B90" s="3256"/>
      <c r="C90" s="3256"/>
      <c r="D90" s="3256"/>
      <c r="E90" s="3256"/>
      <c r="F90" s="3256"/>
      <c r="G90" s="3256"/>
      <c r="H90" s="3256"/>
      <c r="I90" s="3256"/>
      <c r="J90" s="3256"/>
      <c r="K90" s="2883"/>
      <c r="L90" s="2883"/>
      <c r="M90" s="2883"/>
      <c r="N90" s="2883"/>
    </row>
    <row r="91" spans="1:37">
      <c r="A91" s="3258" t="s">
        <v>2965</v>
      </c>
      <c r="B91" s="3258" t="s">
        <v>2966</v>
      </c>
      <c r="C91" s="2837" t="s">
        <v>2967</v>
      </c>
      <c r="D91" s="2838"/>
      <c r="E91" s="2838"/>
      <c r="F91" s="2838"/>
      <c r="G91" s="2838"/>
      <c r="H91" s="2838"/>
      <c r="I91" s="2838"/>
      <c r="J91" s="2884"/>
      <c r="K91" s="2885"/>
      <c r="L91" s="2885"/>
      <c r="M91" s="2885"/>
      <c r="N91" s="2885"/>
    </row>
    <row r="92" spans="1:37">
      <c r="A92" s="3258"/>
      <c r="B92" s="3258"/>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59"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0"/>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1"/>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59" t="s">
        <v>2969</v>
      </c>
      <c r="B101" s="2890" t="s">
        <v>2970</v>
      </c>
      <c r="C101" s="2891">
        <f>$G$3</f>
        <v>0.14000000000000001</v>
      </c>
      <c r="D101" s="2891">
        <f t="shared" ref="D101:N101" si="31">$G$3</f>
        <v>0.14000000000000001</v>
      </c>
      <c r="E101" s="2891">
        <f t="shared" si="31"/>
        <v>0.14000000000000001</v>
      </c>
      <c r="F101" s="2891">
        <f t="shared" si="31"/>
        <v>0.14000000000000001</v>
      </c>
      <c r="G101" s="2891">
        <f t="shared" si="31"/>
        <v>0.14000000000000001</v>
      </c>
      <c r="H101" s="2891">
        <f t="shared" si="31"/>
        <v>0.14000000000000001</v>
      </c>
      <c r="I101" s="2891">
        <f t="shared" si="31"/>
        <v>0.14000000000000001</v>
      </c>
      <c r="J101" s="2891">
        <f t="shared" si="31"/>
        <v>0.14000000000000001</v>
      </c>
      <c r="K101" s="2891">
        <f t="shared" si="31"/>
        <v>0.14000000000000001</v>
      </c>
      <c r="L101" s="2891">
        <f t="shared" si="31"/>
        <v>0.14000000000000001</v>
      </c>
      <c r="M101" s="2891">
        <f t="shared" si="31"/>
        <v>0.14000000000000001</v>
      </c>
      <c r="N101" s="2891">
        <f t="shared" si="31"/>
        <v>0.14000000000000001</v>
      </c>
    </row>
    <row r="102" spans="1:14">
      <c r="A102" s="3260"/>
      <c r="B102" s="2886">
        <v>1</v>
      </c>
      <c r="C102" s="2887">
        <f>1.9362/C101</f>
        <v>13.829999999999998</v>
      </c>
      <c r="D102" s="2887">
        <f>1.9362/D101</f>
        <v>13.829999999999998</v>
      </c>
      <c r="E102" s="2887">
        <f>1.8629/E101</f>
        <v>13.306428571428571</v>
      </c>
      <c r="F102" s="2887">
        <f>1.8629/F101</f>
        <v>13.306428571428571</v>
      </c>
      <c r="G102" s="2887">
        <f>1.8629/G101</f>
        <v>13.306428571428571</v>
      </c>
      <c r="H102" s="2887">
        <f>1.8629/H101</f>
        <v>13.306428571428571</v>
      </c>
      <c r="I102" s="2887">
        <f>1.8629/I101</f>
        <v>13.306428571428571</v>
      </c>
      <c r="J102" s="2887">
        <f>1.942/J101</f>
        <v>13.87142857142857</v>
      </c>
      <c r="K102" s="2887">
        <f>1.942/K101</f>
        <v>13.87142857142857</v>
      </c>
      <c r="L102" s="2887">
        <f>1.942/L101</f>
        <v>13.87142857142857</v>
      </c>
      <c r="M102" s="2887">
        <f>1.942/M101</f>
        <v>13.87142857142857</v>
      </c>
      <c r="N102" s="2887">
        <f>1.942/N101</f>
        <v>13.87142857142857</v>
      </c>
    </row>
    <row r="103" spans="1:14">
      <c r="A103" s="3260"/>
      <c r="B103" s="2886">
        <v>2</v>
      </c>
      <c r="C103" s="2887">
        <f>1.4198/C101</f>
        <v>10.14142857142857</v>
      </c>
      <c r="D103" s="2887">
        <f>1.4198/D101</f>
        <v>10.14142857142857</v>
      </c>
      <c r="E103" s="2887">
        <f>1.3372/E101</f>
        <v>9.5514285714285698</v>
      </c>
      <c r="F103" s="2887">
        <f>1.3372/F101</f>
        <v>9.5514285714285698</v>
      </c>
      <c r="G103" s="2887">
        <f>1.3372/G101</f>
        <v>9.5514285714285698</v>
      </c>
      <c r="H103" s="2887">
        <f>1.3372/H101</f>
        <v>9.5514285714285698</v>
      </c>
      <c r="I103" s="2887">
        <f>1.3372/I101</f>
        <v>9.5514285714285698</v>
      </c>
      <c r="J103" s="2887">
        <f>1.2799/J101</f>
        <v>9.142142857142856</v>
      </c>
      <c r="K103" s="2887">
        <f>1.2799/K101</f>
        <v>9.142142857142856</v>
      </c>
      <c r="L103" s="2887">
        <f>1.2799/L101</f>
        <v>9.142142857142856</v>
      </c>
      <c r="M103" s="2887">
        <f>1.2799/M101</f>
        <v>9.142142857142856</v>
      </c>
      <c r="N103" s="2887">
        <f>1.2799/N101</f>
        <v>9.142142857142856</v>
      </c>
    </row>
    <row r="104" spans="1:14">
      <c r="A104" s="3260"/>
      <c r="B104" s="2886">
        <v>3</v>
      </c>
      <c r="C104" s="2887">
        <f>1.1594/C101</f>
        <v>8.2814285714285703</v>
      </c>
      <c r="D104" s="2887">
        <f>1.1594/D101</f>
        <v>8.2814285714285703</v>
      </c>
      <c r="E104" s="2887">
        <f>1.0788/E101</f>
        <v>7.7057142857142846</v>
      </c>
      <c r="F104" s="2887">
        <f>1.0788/F101</f>
        <v>7.7057142857142846</v>
      </c>
      <c r="G104" s="2887">
        <f>1.0788/G101</f>
        <v>7.7057142857142846</v>
      </c>
      <c r="H104" s="2887">
        <f>1.0788/H101</f>
        <v>7.7057142857142846</v>
      </c>
      <c r="I104" s="2887">
        <f>1.0788/I101</f>
        <v>7.7057142857142846</v>
      </c>
      <c r="J104" s="2887">
        <f>1.0072/J101</f>
        <v>7.194285714285714</v>
      </c>
      <c r="K104" s="2887">
        <f>1.0072/K101</f>
        <v>7.194285714285714</v>
      </c>
      <c r="L104" s="2887">
        <f>1.0072/L101</f>
        <v>7.194285714285714</v>
      </c>
      <c r="M104" s="2887">
        <f>1.0072/M101</f>
        <v>7.194285714285714</v>
      </c>
      <c r="N104" s="2887">
        <f>1.0072/N101</f>
        <v>7.194285714285714</v>
      </c>
    </row>
    <row r="105" spans="1:14">
      <c r="A105" s="3260"/>
      <c r="B105" s="2886">
        <v>4</v>
      </c>
      <c r="C105" s="2887">
        <f>0.9622/C101</f>
        <v>6.8728571428571428</v>
      </c>
      <c r="D105" s="2887">
        <f>0.9622/D101</f>
        <v>6.8728571428571428</v>
      </c>
      <c r="E105" s="2887">
        <f>0.8656/E101</f>
        <v>6.1828571428571424</v>
      </c>
      <c r="F105" s="2887">
        <f>0.8656/F101</f>
        <v>6.1828571428571424</v>
      </c>
      <c r="G105" s="2887">
        <f>0.8656/G101</f>
        <v>6.1828571428571424</v>
      </c>
      <c r="H105" s="2887">
        <f>0.8656/H101</f>
        <v>6.1828571428571424</v>
      </c>
      <c r="I105" s="2887">
        <f>0.8656/I101</f>
        <v>6.1828571428571424</v>
      </c>
      <c r="J105" s="2887">
        <f>0.7525/J101</f>
        <v>5.3749999999999991</v>
      </c>
      <c r="K105" s="2887">
        <f>0.7525/K101</f>
        <v>5.3749999999999991</v>
      </c>
      <c r="L105" s="2887">
        <f>0.7525/L101</f>
        <v>5.3749999999999991</v>
      </c>
      <c r="M105" s="2887">
        <f>0.7525/M101</f>
        <v>5.3749999999999991</v>
      </c>
      <c r="N105" s="2887">
        <f>0.7525/N101</f>
        <v>5.3749999999999991</v>
      </c>
    </row>
    <row r="106" spans="1:14">
      <c r="A106" s="3260"/>
      <c r="B106" s="2886">
        <v>5</v>
      </c>
      <c r="C106" s="2887">
        <f>0.8417/C101</f>
        <v>6.012142857142857</v>
      </c>
      <c r="D106" s="2887">
        <f>0.8417/D101</f>
        <v>6.012142857142857</v>
      </c>
      <c r="E106" s="2887">
        <f>0.7371/E101</f>
        <v>5.2649999999999997</v>
      </c>
      <c r="F106" s="2887">
        <f>0.7371/F101</f>
        <v>5.2649999999999997</v>
      </c>
      <c r="G106" s="2887">
        <f>0.7371/G101</f>
        <v>5.2649999999999997</v>
      </c>
      <c r="H106" s="2887">
        <f>0.7371/H101</f>
        <v>5.2649999999999997</v>
      </c>
      <c r="I106" s="2887">
        <f>0.7371/I101</f>
        <v>5.2649999999999997</v>
      </c>
      <c r="J106" s="2887">
        <f>0.5659/J101</f>
        <v>4.0421428571428564</v>
      </c>
      <c r="K106" s="2887">
        <f>0.5659/K101</f>
        <v>4.0421428571428564</v>
      </c>
      <c r="L106" s="2887">
        <f>0.5659/L101</f>
        <v>4.0421428571428564</v>
      </c>
      <c r="M106" s="2887">
        <f>0.5659/M101</f>
        <v>4.0421428571428564</v>
      </c>
      <c r="N106" s="2887">
        <f>0.5659/N101</f>
        <v>4.0421428571428564</v>
      </c>
    </row>
    <row r="107" spans="1:14">
      <c r="A107" s="3260"/>
      <c r="B107" s="2886">
        <v>6</v>
      </c>
      <c r="C107" s="2887">
        <f>0.7608/C101</f>
        <v>5.4342857142857142</v>
      </c>
      <c r="D107" s="2887">
        <f>0.7608/D101</f>
        <v>5.4342857142857142</v>
      </c>
      <c r="E107" s="2887">
        <f>0.6482/E101</f>
        <v>4.63</v>
      </c>
      <c r="F107" s="2887">
        <f>0.6482/F101</f>
        <v>4.63</v>
      </c>
      <c r="G107" s="2887">
        <f>0.6482/G101</f>
        <v>4.63</v>
      </c>
      <c r="H107" s="2887">
        <f>0.6482/H101</f>
        <v>4.63</v>
      </c>
      <c r="I107" s="2887">
        <f>0.6482/I101</f>
        <v>4.63</v>
      </c>
      <c r="J107" s="2887">
        <f>0.4525/J101</f>
        <v>3.2321428571428568</v>
      </c>
      <c r="K107" s="2887">
        <f>0.4525/K101</f>
        <v>3.2321428571428568</v>
      </c>
      <c r="L107" s="2887">
        <f>0.4525/L101</f>
        <v>3.2321428571428568</v>
      </c>
      <c r="M107" s="2887">
        <f>0.4525/M101</f>
        <v>3.2321428571428568</v>
      </c>
      <c r="N107" s="2887">
        <f>0.4525/N101</f>
        <v>3.2321428571428568</v>
      </c>
    </row>
    <row r="108" spans="1:14">
      <c r="A108" s="3260"/>
      <c r="B108" s="3088"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1"/>
      <c r="B109" s="3089"/>
      <c r="C109" s="2889">
        <f>(-0.163*(C108^2)-0.59*C108+7617)*(10^(-4))/C101</f>
        <v>5.4407142857142858</v>
      </c>
      <c r="D109" s="2889">
        <f>(-0.163*(D108^2)-0.59*D108+7617)*(10^(-4))/D101</f>
        <v>5.4407142857142858</v>
      </c>
      <c r="E109" s="2889">
        <f>(-0.161*(E108^2)-7.509*E108+6533)*(10^(-4))/E101</f>
        <v>4.6664285714285709</v>
      </c>
      <c r="F109" s="2889">
        <f>(-0.161*(F108^2)-7.509*F108+6533)*(10^(-4))/F101</f>
        <v>4.6664285714285709</v>
      </c>
      <c r="G109" s="2889">
        <f>(-0.161*(G108^2)-7.509*G108+6533)*(10^(-4))/G101</f>
        <v>4.6664285714285709</v>
      </c>
      <c r="H109" s="2889">
        <f>(-0.161*(H108^2)-7.509*H108+6533)*(10^(-4))/H101</f>
        <v>4.6664285714285709</v>
      </c>
      <c r="I109" s="2889">
        <f>(-0.161*(I108^2)-7.509*I108+6533)*(10^(-4))/I101</f>
        <v>4.6664285714285709</v>
      </c>
      <c r="J109" s="2889">
        <f>(-0.214*(J108^2)-21.991*J108+4665)*(10^(-4))/J101</f>
        <v>3.3321428571428569</v>
      </c>
      <c r="K109" s="2889">
        <f>(-0.214*(K108^2)-21.991*K108+4665)*(10^(-4))/K101</f>
        <v>3.3321428571428569</v>
      </c>
      <c r="L109" s="2889">
        <f>(-0.214*(L108^2)-21.991*L108+4665)*(10^(-4))/L101</f>
        <v>3.3321428571428569</v>
      </c>
      <c r="M109" s="2889">
        <f>(-0.214*(M108^2)-21.991*M108+4665)*(10^(-4))/M101</f>
        <v>3.3321428571428569</v>
      </c>
      <c r="N109" s="2889">
        <f>(-0.214*(N108^2)-21.991*N108+4665)*(10^(-4))/N101</f>
        <v>3.3321428571428569</v>
      </c>
    </row>
    <row r="110" spans="1:14">
      <c r="A110" s="3257" t="s">
        <v>2972</v>
      </c>
      <c r="B110" s="3257"/>
      <c r="C110" s="3257"/>
      <c r="D110" s="3257"/>
      <c r="E110" s="3257"/>
      <c r="F110" s="3257"/>
      <c r="G110" s="3257"/>
      <c r="H110" s="3257"/>
      <c r="I110" s="3257"/>
      <c r="J110" s="3257"/>
      <c r="K110" s="2892"/>
      <c r="L110" s="2892"/>
      <c r="M110" s="2892"/>
      <c r="N110" s="2892"/>
    </row>
    <row r="112" spans="1:14" ht="13.8" thickBot="1"/>
    <row r="113" spans="1:13" ht="25.8" thickBot="1">
      <c r="A113" s="902" t="s">
        <v>2973</v>
      </c>
      <c r="B113" s="1286">
        <f>G3</f>
        <v>0.14000000000000001</v>
      </c>
      <c r="C113" s="903" t="s">
        <v>2974</v>
      </c>
      <c r="D113" s="904">
        <f>SUMPRODUCT((A115:A118=F113)*(B114:M114=H113)*B115:M118)</f>
        <v>0.56479999999999997</v>
      </c>
      <c r="E113" s="2723" t="s">
        <v>2808</v>
      </c>
      <c r="F113" s="2894" t="str">
        <f>E2</f>
        <v>工业</v>
      </c>
      <c r="G113" s="2723" t="s">
        <v>2809</v>
      </c>
      <c r="H113" s="2894" t="str">
        <f>G2</f>
        <v>十级</v>
      </c>
      <c r="I113" s="2723"/>
      <c r="J113" s="2895"/>
      <c r="K113" s="2895"/>
      <c r="L113" s="2895"/>
      <c r="M113" s="2895"/>
    </row>
    <row r="114" spans="1:13">
      <c r="A114" s="907"/>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8" t="s">
        <v>2872</v>
      </c>
      <c r="B115" s="909">
        <f>ROUND(0.9335-0.0094*B113,4)</f>
        <v>0.93220000000000003</v>
      </c>
      <c r="C115" s="909">
        <f>B115</f>
        <v>0.93220000000000003</v>
      </c>
      <c r="D115" s="909">
        <f>ROUND(0.8331-0.0109*B113,4)</f>
        <v>0.83160000000000001</v>
      </c>
      <c r="E115" s="909">
        <f>D115</f>
        <v>0.83160000000000001</v>
      </c>
      <c r="F115" s="909">
        <f>E115</f>
        <v>0.83160000000000001</v>
      </c>
      <c r="G115" s="909">
        <f>F115</f>
        <v>0.83160000000000001</v>
      </c>
      <c r="H115" s="909">
        <f>G115</f>
        <v>0.83160000000000001</v>
      </c>
      <c r="I115" s="909">
        <f>ROUND(0.689-0.0155*B113,4)</f>
        <v>0.68679999999999997</v>
      </c>
      <c r="J115" s="909">
        <f t="shared" ref="J115:M118" si="33">I115</f>
        <v>0.68679999999999997</v>
      </c>
      <c r="K115" s="909">
        <f t="shared" si="33"/>
        <v>0.68679999999999997</v>
      </c>
      <c r="L115" s="909">
        <f t="shared" si="33"/>
        <v>0.68679999999999997</v>
      </c>
      <c r="M115" s="910">
        <f t="shared" si="33"/>
        <v>0.68679999999999997</v>
      </c>
    </row>
    <row r="116" spans="1:13">
      <c r="A116" s="908" t="s">
        <v>2873</v>
      </c>
      <c r="B116" s="909">
        <f>ROUND(0.949-0.012*B113,4)</f>
        <v>0.94730000000000003</v>
      </c>
      <c r="C116" s="909">
        <f>B116</f>
        <v>0.94730000000000003</v>
      </c>
      <c r="D116" s="909">
        <f>ROUND(0.8567-0.013*B113,4)</f>
        <v>0.85489999999999999</v>
      </c>
      <c r="E116" s="909">
        <f t="shared" ref="E116:H117" si="34">D116</f>
        <v>0.85489999999999999</v>
      </c>
      <c r="F116" s="909">
        <f t="shared" si="34"/>
        <v>0.85489999999999999</v>
      </c>
      <c r="G116" s="909">
        <f t="shared" si="34"/>
        <v>0.85489999999999999</v>
      </c>
      <c r="H116" s="909">
        <f t="shared" si="34"/>
        <v>0.85489999999999999</v>
      </c>
      <c r="I116" s="909">
        <f>ROUND(0.7694-0.014*B113,4)</f>
        <v>0.76739999999999997</v>
      </c>
      <c r="J116" s="909">
        <f t="shared" si="33"/>
        <v>0.76739999999999997</v>
      </c>
      <c r="K116" s="909">
        <f t="shared" si="33"/>
        <v>0.76739999999999997</v>
      </c>
      <c r="L116" s="909">
        <f t="shared" si="33"/>
        <v>0.76739999999999997</v>
      </c>
      <c r="M116" s="910">
        <f t="shared" si="33"/>
        <v>0.76739999999999997</v>
      </c>
    </row>
    <row r="117" spans="1:13">
      <c r="A117" s="908" t="s">
        <v>2874</v>
      </c>
      <c r="B117" s="909">
        <f>ROUND(0.8808-0.006*B113,4)</f>
        <v>0.88</v>
      </c>
      <c r="C117" s="909">
        <f>B117</f>
        <v>0.88</v>
      </c>
      <c r="D117" s="909">
        <f>ROUND(0.8748-0.008*B113,4)</f>
        <v>0.87370000000000003</v>
      </c>
      <c r="E117" s="909">
        <f t="shared" si="34"/>
        <v>0.87370000000000003</v>
      </c>
      <c r="F117" s="909">
        <f t="shared" si="34"/>
        <v>0.87370000000000003</v>
      </c>
      <c r="G117" s="909">
        <f t="shared" si="34"/>
        <v>0.87370000000000003</v>
      </c>
      <c r="H117" s="909">
        <f t="shared" si="34"/>
        <v>0.87370000000000003</v>
      </c>
      <c r="I117" s="909">
        <f>ROUND(0.7412-0.0095*B113,4)</f>
        <v>0.7399</v>
      </c>
      <c r="J117" s="909">
        <f t="shared" si="33"/>
        <v>0.7399</v>
      </c>
      <c r="K117" s="909">
        <f t="shared" si="33"/>
        <v>0.7399</v>
      </c>
      <c r="L117" s="909">
        <f t="shared" si="33"/>
        <v>0.7399</v>
      </c>
      <c r="M117" s="910">
        <f t="shared" si="33"/>
        <v>0.7399</v>
      </c>
    </row>
    <row r="118" spans="1:13" ht="13.8" thickBot="1">
      <c r="A118" s="713" t="s">
        <v>2875</v>
      </c>
      <c r="B118" s="911">
        <f>ROUND(0.7275-0.01*B113,4)</f>
        <v>0.72609999999999997</v>
      </c>
      <c r="C118" s="911">
        <f>B118</f>
        <v>0.72609999999999997</v>
      </c>
      <c r="D118" s="911">
        <f>ROUND(0.7043-0.012*B113,4)</f>
        <v>0.7026</v>
      </c>
      <c r="E118" s="911">
        <f>D118</f>
        <v>0.7026</v>
      </c>
      <c r="F118" s="911">
        <f>E118</f>
        <v>0.7026</v>
      </c>
      <c r="G118" s="911">
        <f>ROUND(0.6299-0.0122*B113,4)</f>
        <v>0.62819999999999998</v>
      </c>
      <c r="H118" s="911">
        <f>G118</f>
        <v>0.62819999999999998</v>
      </c>
      <c r="I118" s="911">
        <f>ROUND(0.5667-0.0136*B113,4)</f>
        <v>0.56479999999999997</v>
      </c>
      <c r="J118" s="911">
        <f t="shared" si="33"/>
        <v>0.56479999999999997</v>
      </c>
      <c r="K118" s="911">
        <f t="shared" si="33"/>
        <v>0.56479999999999997</v>
      </c>
      <c r="L118" s="911">
        <f t="shared" si="33"/>
        <v>0.56479999999999997</v>
      </c>
      <c r="M118" s="912">
        <f t="shared" si="33"/>
        <v>0.56479999999999997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7" t="s">
        <v>183</v>
      </c>
      <c r="B18" s="881" t="s">
        <v>560</v>
      </c>
      <c r="C18" s="882" t="s">
        <v>561</v>
      </c>
      <c r="D18" s="883"/>
      <c r="E18" s="881">
        <v>1</v>
      </c>
      <c r="F18" s="884" t="s">
        <v>562</v>
      </c>
      <c r="G18" s="885"/>
      <c r="H18" s="877"/>
      <c r="I18" s="877"/>
    </row>
    <row r="19" spans="1:9" s="886" customFormat="1" ht="19.5" customHeight="1">
      <c r="A19" s="3277"/>
      <c r="B19" s="3277" t="s">
        <v>563</v>
      </c>
      <c r="C19" s="882" t="s">
        <v>564</v>
      </c>
      <c r="D19" s="883"/>
      <c r="E19" s="881">
        <v>0.9</v>
      </c>
      <c r="F19" s="884" t="s">
        <v>565</v>
      </c>
      <c r="G19" s="885"/>
      <c r="H19" s="877"/>
      <c r="I19" s="877"/>
    </row>
    <row r="20" spans="1:9" s="886" customFormat="1" ht="19.5" customHeight="1">
      <c r="A20" s="3277"/>
      <c r="B20" s="3277"/>
      <c r="C20" s="882" t="s">
        <v>566</v>
      </c>
      <c r="D20" s="883"/>
      <c r="E20" s="881">
        <v>1.1000000000000001</v>
      </c>
      <c r="F20" s="884" t="s">
        <v>567</v>
      </c>
      <c r="G20" s="885"/>
      <c r="H20" s="877"/>
      <c r="I20" s="877"/>
    </row>
    <row r="21" spans="1:9" s="886" customFormat="1" ht="19.5" customHeight="1">
      <c r="A21" s="3277"/>
      <c r="B21" s="3277"/>
      <c r="C21" s="882" t="s">
        <v>568</v>
      </c>
      <c r="D21" s="883"/>
      <c r="E21" s="881">
        <v>0.8</v>
      </c>
      <c r="F21" s="884" t="s">
        <v>569</v>
      </c>
      <c r="G21" s="885"/>
      <c r="H21" s="877"/>
      <c r="I21" s="877"/>
    </row>
    <row r="22" spans="1:9" s="886" customFormat="1" ht="19.5" customHeight="1">
      <c r="A22" s="3277"/>
      <c r="B22" s="3277"/>
      <c r="C22" s="882" t="s">
        <v>570</v>
      </c>
      <c r="D22" s="883"/>
      <c r="E22" s="881">
        <v>0.5</v>
      </c>
      <c r="F22" s="884"/>
      <c r="G22" s="885"/>
      <c r="H22" s="877"/>
      <c r="I22" s="877"/>
    </row>
    <row r="23" spans="1:9" s="886" customFormat="1" ht="19.5" customHeight="1">
      <c r="A23" s="3277" t="s">
        <v>184</v>
      </c>
      <c r="B23" s="881" t="s">
        <v>560</v>
      </c>
      <c r="C23" s="882" t="s">
        <v>571</v>
      </c>
      <c r="D23" s="883"/>
      <c r="E23" s="881">
        <v>1</v>
      </c>
      <c r="F23" s="884" t="s">
        <v>572</v>
      </c>
      <c r="G23" s="885"/>
      <c r="H23" s="877"/>
      <c r="I23" s="877"/>
    </row>
    <row r="24" spans="1:9" s="886" customFormat="1" ht="19.5" customHeight="1">
      <c r="A24" s="3277"/>
      <c r="B24" s="3277" t="s">
        <v>563</v>
      </c>
      <c r="C24" s="882" t="s">
        <v>573</v>
      </c>
      <c r="D24" s="883"/>
      <c r="E24" s="881">
        <v>0.5</v>
      </c>
      <c r="F24" s="884"/>
      <c r="G24" s="885"/>
      <c r="H24" s="877"/>
      <c r="I24" s="877"/>
    </row>
    <row r="25" spans="1:9" s="886" customFormat="1" ht="19.5" customHeight="1">
      <c r="A25" s="3277"/>
      <c r="B25" s="3277"/>
      <c r="C25" s="882" t="s">
        <v>574</v>
      </c>
      <c r="D25" s="883"/>
      <c r="E25" s="881">
        <v>1.1000000000000001</v>
      </c>
      <c r="F25" s="884"/>
      <c r="G25" s="885"/>
      <c r="H25" s="877"/>
      <c r="I25" s="877"/>
    </row>
    <row r="26" spans="1:9" s="886" customFormat="1" ht="19.5" customHeight="1">
      <c r="A26" s="3277"/>
      <c r="B26" s="3277"/>
      <c r="C26" s="882" t="s">
        <v>575</v>
      </c>
      <c r="D26" s="883"/>
      <c r="E26" s="881">
        <v>1.1000000000000001</v>
      </c>
      <c r="F26" s="884"/>
      <c r="G26" s="885"/>
      <c r="H26" s="877"/>
      <c r="I26" s="877"/>
    </row>
    <row r="27" spans="1:9" s="886" customFormat="1" ht="19.5" customHeight="1">
      <c r="A27" s="3277"/>
      <c r="B27" s="3277"/>
      <c r="C27" s="882" t="s">
        <v>576</v>
      </c>
      <c r="D27" s="883"/>
      <c r="E27" s="881">
        <v>0.9</v>
      </c>
      <c r="F27" s="884" t="s">
        <v>577</v>
      </c>
      <c r="G27" s="885"/>
      <c r="H27" s="877"/>
      <c r="I27" s="877"/>
    </row>
    <row r="28" spans="1:9" s="886" customFormat="1" ht="19.5" customHeight="1">
      <c r="A28" s="3277"/>
      <c r="B28" s="3277"/>
      <c r="C28" s="882" t="s">
        <v>578</v>
      </c>
      <c r="D28" s="883"/>
      <c r="E28" s="881">
        <v>0.9</v>
      </c>
      <c r="F28" s="884" t="s">
        <v>579</v>
      </c>
      <c r="G28" s="885"/>
      <c r="H28" s="877"/>
      <c r="I28" s="877"/>
    </row>
    <row r="29" spans="1:9" s="886" customFormat="1" ht="19.5" customHeight="1">
      <c r="A29" s="3277"/>
      <c r="B29" s="3277"/>
      <c r="C29" s="882" t="s">
        <v>580</v>
      </c>
      <c r="D29" s="883"/>
      <c r="E29" s="881">
        <v>0.9</v>
      </c>
      <c r="F29" s="884" t="s">
        <v>581</v>
      </c>
      <c r="G29" s="885"/>
      <c r="H29" s="877"/>
      <c r="I29" s="877"/>
    </row>
    <row r="30" spans="1:9" s="886" customFormat="1" ht="19.5" customHeight="1">
      <c r="A30" s="3277"/>
      <c r="B30" s="3277"/>
      <c r="C30" s="882" t="s">
        <v>582</v>
      </c>
      <c r="D30" s="883"/>
      <c r="E30" s="881">
        <v>0.9</v>
      </c>
      <c r="F30" s="884" t="s">
        <v>583</v>
      </c>
      <c r="G30" s="885"/>
      <c r="H30" s="877"/>
      <c r="I30" s="877"/>
    </row>
    <row r="31" spans="1:9" s="886" customFormat="1" ht="19.5" customHeight="1">
      <c r="A31" s="3277"/>
      <c r="B31" s="3277"/>
      <c r="C31" s="882" t="s">
        <v>584</v>
      </c>
      <c r="D31" s="883"/>
      <c r="E31" s="881">
        <v>0.8</v>
      </c>
      <c r="F31" s="884" t="s">
        <v>585</v>
      </c>
      <c r="G31" s="885"/>
      <c r="H31" s="877"/>
      <c r="I31" s="877"/>
    </row>
    <row r="32" spans="1:9" s="886" customFormat="1" ht="19.5" customHeight="1">
      <c r="A32" s="3277"/>
      <c r="B32" s="3277"/>
      <c r="C32" s="882" t="s">
        <v>586</v>
      </c>
      <c r="D32" s="883"/>
      <c r="E32" s="881">
        <v>0.8</v>
      </c>
      <c r="F32" s="884" t="s">
        <v>587</v>
      </c>
      <c r="G32" s="885"/>
      <c r="H32" s="877"/>
      <c r="I32" s="877"/>
    </row>
    <row r="33" spans="1:9" s="886" customFormat="1" ht="19.5" customHeight="1">
      <c r="A33" s="3277" t="s">
        <v>185</v>
      </c>
      <c r="B33" s="881" t="s">
        <v>560</v>
      </c>
      <c r="C33" s="882" t="s">
        <v>588</v>
      </c>
      <c r="D33" s="883"/>
      <c r="E33" s="881">
        <v>1</v>
      </c>
      <c r="F33" s="884" t="s">
        <v>589</v>
      </c>
      <c r="G33" s="885"/>
      <c r="H33" s="877"/>
      <c r="I33" s="877"/>
    </row>
    <row r="34" spans="1:9" s="886" customFormat="1" ht="19.5" customHeight="1">
      <c r="A34" s="3277"/>
      <c r="B34" s="881" t="s">
        <v>563</v>
      </c>
      <c r="C34" s="882" t="s">
        <v>590</v>
      </c>
      <c r="D34" s="883"/>
      <c r="E34" s="881">
        <v>1.5</v>
      </c>
      <c r="F34" s="884" t="s">
        <v>591</v>
      </c>
      <c r="G34" s="885"/>
      <c r="H34" s="877"/>
      <c r="I34" s="877"/>
    </row>
    <row r="35" spans="1:9" s="886" customFormat="1" ht="19.5" customHeight="1">
      <c r="A35" s="3277" t="s">
        <v>186</v>
      </c>
      <c r="B35" s="881" t="s">
        <v>560</v>
      </c>
      <c r="C35" s="882" t="s">
        <v>592</v>
      </c>
      <c r="D35" s="883"/>
      <c r="E35" s="881">
        <v>1</v>
      </c>
      <c r="F35" s="884" t="s">
        <v>593</v>
      </c>
      <c r="G35" s="885"/>
      <c r="H35" s="877"/>
      <c r="I35" s="877"/>
    </row>
    <row r="36" spans="1:9" s="886" customFormat="1" ht="19.5" customHeight="1">
      <c r="A36" s="3277"/>
      <c r="B36" s="3277" t="s">
        <v>563</v>
      </c>
      <c r="C36" s="882" t="s">
        <v>594</v>
      </c>
      <c r="D36" s="883"/>
      <c r="E36" s="881">
        <v>1</v>
      </c>
      <c r="F36" s="884" t="s">
        <v>595</v>
      </c>
      <c r="G36" s="885"/>
      <c r="H36" s="877"/>
      <c r="I36" s="877"/>
    </row>
    <row r="37" spans="1:9" s="886" customFormat="1" ht="19.5" customHeight="1">
      <c r="A37" s="3277"/>
      <c r="B37" s="3277"/>
      <c r="C37" s="882" t="s">
        <v>596</v>
      </c>
      <c r="D37" s="883"/>
      <c r="E37" s="881">
        <v>1.5</v>
      </c>
      <c r="F37" s="884" t="s">
        <v>597</v>
      </c>
      <c r="G37" s="885"/>
      <c r="H37" s="877"/>
      <c r="I37" s="877"/>
    </row>
    <row r="38" spans="1:9" s="886" customFormat="1" ht="19.5" customHeight="1">
      <c r="A38" s="3277"/>
      <c r="B38" s="3277"/>
      <c r="C38" s="882" t="s">
        <v>598</v>
      </c>
      <c r="D38" s="883"/>
      <c r="E38" s="881">
        <v>1</v>
      </c>
      <c r="F38" s="884" t="s">
        <v>599</v>
      </c>
      <c r="G38" s="885"/>
      <c r="H38" s="877"/>
      <c r="I38" s="877"/>
    </row>
    <row r="39" spans="1:9" s="886" customFormat="1" ht="19.5" customHeight="1">
      <c r="A39" s="3277"/>
      <c r="B39" s="327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77" t="s">
        <v>614</v>
      </c>
      <c r="C61" s="817" t="s">
        <v>615</v>
      </c>
      <c r="D61" s="817" t="s">
        <v>616</v>
      </c>
      <c r="E61" s="894">
        <v>0.5</v>
      </c>
      <c r="F61" s="881">
        <v>80</v>
      </c>
    </row>
    <row r="62" spans="1:8" s="877" customFormat="1" ht="36">
      <c r="A62" s="881">
        <v>2</v>
      </c>
      <c r="B62" s="3277"/>
      <c r="C62" s="817" t="s">
        <v>617</v>
      </c>
      <c r="D62" s="817" t="s">
        <v>618</v>
      </c>
      <c r="E62" s="894">
        <v>0.5</v>
      </c>
      <c r="F62" s="881">
        <v>80</v>
      </c>
    </row>
    <row r="63" spans="1:8" s="877" customFormat="1" ht="48">
      <c r="A63" s="881">
        <v>3</v>
      </c>
      <c r="B63" s="3277"/>
      <c r="C63" s="817" t="s">
        <v>619</v>
      </c>
      <c r="D63" s="817" t="s">
        <v>620</v>
      </c>
      <c r="E63" s="894">
        <v>0.5</v>
      </c>
      <c r="F63" s="881">
        <v>80</v>
      </c>
    </row>
    <row r="64" spans="1:8" s="877" customFormat="1" ht="48">
      <c r="A64" s="881">
        <v>4</v>
      </c>
      <c r="B64" s="3277"/>
      <c r="C64" s="817" t="s">
        <v>621</v>
      </c>
      <c r="D64" s="817" t="s">
        <v>622</v>
      </c>
      <c r="E64" s="894">
        <v>0.4</v>
      </c>
      <c r="F64" s="881">
        <v>60</v>
      </c>
    </row>
    <row r="65" spans="1:6" s="877" customFormat="1" ht="48">
      <c r="A65" s="881">
        <v>5</v>
      </c>
      <c r="B65" s="3277"/>
      <c r="C65" s="817" t="s">
        <v>623</v>
      </c>
      <c r="D65" s="817" t="s">
        <v>624</v>
      </c>
      <c r="E65" s="894">
        <v>0.2</v>
      </c>
      <c r="F65" s="881">
        <v>30</v>
      </c>
    </row>
    <row r="66" spans="1:6" s="877" customFormat="1" ht="48">
      <c r="A66" s="881">
        <v>6</v>
      </c>
      <c r="B66" s="3277"/>
      <c r="C66" s="817" t="s">
        <v>625</v>
      </c>
      <c r="D66" s="817" t="s">
        <v>626</v>
      </c>
      <c r="E66" s="894">
        <v>0.3</v>
      </c>
      <c r="F66" s="881">
        <v>50</v>
      </c>
    </row>
    <row r="67" spans="1:6" s="877" customFormat="1" ht="48">
      <c r="A67" s="881">
        <v>7</v>
      </c>
      <c r="B67" s="3277"/>
      <c r="C67" s="817" t="s">
        <v>627</v>
      </c>
      <c r="D67" s="817" t="s">
        <v>628</v>
      </c>
      <c r="E67" s="894">
        <v>0.2</v>
      </c>
      <c r="F67" s="881">
        <v>30</v>
      </c>
    </row>
    <row r="68" spans="1:6" s="877" customFormat="1" ht="48">
      <c r="A68" s="881">
        <v>8</v>
      </c>
      <c r="B68" s="3277"/>
      <c r="C68" s="817" t="s">
        <v>629</v>
      </c>
      <c r="D68" s="817" t="s">
        <v>630</v>
      </c>
      <c r="E68" s="894">
        <v>0.2</v>
      </c>
      <c r="F68" s="881">
        <v>30</v>
      </c>
    </row>
    <row r="69" spans="1:6" s="877" customFormat="1" ht="48">
      <c r="A69" s="881">
        <v>9</v>
      </c>
      <c r="B69" s="3277"/>
      <c r="C69" s="817" t="s">
        <v>631</v>
      </c>
      <c r="D69" s="817" t="s">
        <v>632</v>
      </c>
      <c r="E69" s="894">
        <v>0.2</v>
      </c>
      <c r="F69" s="881">
        <v>30</v>
      </c>
    </row>
    <row r="70" spans="1:6" s="877" customFormat="1" ht="60">
      <c r="A70" s="881">
        <v>10</v>
      </c>
      <c r="B70" s="3277"/>
      <c r="C70" s="817" t="s">
        <v>633</v>
      </c>
      <c r="D70" s="817" t="s">
        <v>634</v>
      </c>
      <c r="E70" s="894">
        <v>0.2</v>
      </c>
      <c r="F70" s="881">
        <v>30</v>
      </c>
    </row>
    <row r="71" spans="1:6" s="877" customFormat="1" ht="60">
      <c r="A71" s="881">
        <v>11</v>
      </c>
      <c r="B71" s="3277"/>
      <c r="C71" s="817" t="s">
        <v>635</v>
      </c>
      <c r="D71" s="817" t="s">
        <v>636</v>
      </c>
      <c r="E71" s="894">
        <v>0.2</v>
      </c>
      <c r="F71" s="881">
        <v>30</v>
      </c>
    </row>
    <row r="72" spans="1:6" s="877" customFormat="1" ht="36">
      <c r="A72" s="881">
        <v>12</v>
      </c>
      <c r="B72" s="3277"/>
      <c r="C72" s="817" t="s">
        <v>637</v>
      </c>
      <c r="D72" s="817" t="s">
        <v>638</v>
      </c>
      <c r="E72" s="894">
        <v>0.5</v>
      </c>
      <c r="F72" s="881">
        <v>80</v>
      </c>
    </row>
    <row r="73" spans="1:6" s="877" customFormat="1" ht="36">
      <c r="A73" s="881">
        <v>13</v>
      </c>
      <c r="B73" s="3277"/>
      <c r="C73" s="817" t="s">
        <v>639</v>
      </c>
      <c r="D73" s="817" t="s">
        <v>640</v>
      </c>
      <c r="E73" s="894">
        <v>0.4</v>
      </c>
      <c r="F73" s="881">
        <v>60</v>
      </c>
    </row>
    <row r="74" spans="1:6" s="877" customFormat="1" ht="36">
      <c r="A74" s="881">
        <v>14</v>
      </c>
      <c r="B74" s="3277"/>
      <c r="C74" s="817" t="s">
        <v>641</v>
      </c>
      <c r="D74" s="817" t="s">
        <v>642</v>
      </c>
      <c r="E74" s="894">
        <v>0.2</v>
      </c>
      <c r="F74" s="881">
        <v>30</v>
      </c>
    </row>
    <row r="75" spans="1:6" s="877" customFormat="1" ht="36">
      <c r="A75" s="881">
        <v>15</v>
      </c>
      <c r="B75" s="3277"/>
      <c r="C75" s="817" t="s">
        <v>643</v>
      </c>
      <c r="D75" s="817" t="s">
        <v>644</v>
      </c>
      <c r="E75" s="894">
        <v>0.2</v>
      </c>
      <c r="F75" s="881">
        <v>30</v>
      </c>
    </row>
    <row r="76" spans="1:6" s="877" customFormat="1" ht="36">
      <c r="A76" s="881">
        <v>16</v>
      </c>
      <c r="B76" s="3277" t="s">
        <v>645</v>
      </c>
      <c r="C76" s="817" t="s">
        <v>646</v>
      </c>
      <c r="D76" s="817" t="s">
        <v>647</v>
      </c>
      <c r="E76" s="894">
        <v>0.5</v>
      </c>
      <c r="F76" s="881">
        <v>80</v>
      </c>
    </row>
    <row r="77" spans="1:6" s="877" customFormat="1" ht="36">
      <c r="A77" s="881">
        <v>17</v>
      </c>
      <c r="B77" s="3277"/>
      <c r="C77" s="817" t="s">
        <v>648</v>
      </c>
      <c r="D77" s="817" t="s">
        <v>649</v>
      </c>
      <c r="E77" s="894">
        <v>0.5</v>
      </c>
      <c r="F77" s="881">
        <v>80</v>
      </c>
    </row>
    <row r="78" spans="1:6" s="877" customFormat="1" ht="36">
      <c r="A78" s="881">
        <v>18</v>
      </c>
      <c r="B78" s="3277"/>
      <c r="C78" s="817" t="s">
        <v>650</v>
      </c>
      <c r="D78" s="817" t="s">
        <v>651</v>
      </c>
      <c r="E78" s="894">
        <v>0.2</v>
      </c>
      <c r="F78" s="881">
        <v>30</v>
      </c>
    </row>
    <row r="79" spans="1:6" s="877" customFormat="1" ht="36">
      <c r="A79" s="881">
        <v>19</v>
      </c>
      <c r="B79" s="3277"/>
      <c r="C79" s="817" t="s">
        <v>652</v>
      </c>
      <c r="D79" s="817" t="s">
        <v>653</v>
      </c>
      <c r="E79" s="894">
        <v>0.5</v>
      </c>
      <c r="F79" s="881">
        <v>80</v>
      </c>
    </row>
    <row r="80" spans="1:6" s="877" customFormat="1" ht="36">
      <c r="A80" s="881">
        <v>20</v>
      </c>
      <c r="B80" s="3277"/>
      <c r="C80" s="817" t="s">
        <v>654</v>
      </c>
      <c r="D80" s="817" t="s">
        <v>655</v>
      </c>
      <c r="E80" s="894">
        <v>0.2</v>
      </c>
      <c r="F80" s="881">
        <v>30</v>
      </c>
    </row>
    <row r="81" spans="1:6" s="877" customFormat="1" ht="36">
      <c r="A81" s="881">
        <v>21</v>
      </c>
      <c r="B81" s="3277"/>
      <c r="C81" s="817" t="s">
        <v>656</v>
      </c>
      <c r="D81" s="817" t="s">
        <v>657</v>
      </c>
      <c r="E81" s="894">
        <v>0.2</v>
      </c>
      <c r="F81" s="881">
        <v>30</v>
      </c>
    </row>
    <row r="82" spans="1:6" s="877" customFormat="1" ht="60">
      <c r="A82" s="881">
        <v>22</v>
      </c>
      <c r="B82" s="3277"/>
      <c r="C82" s="817" t="s">
        <v>658</v>
      </c>
      <c r="D82" s="817" t="s">
        <v>659</v>
      </c>
      <c r="E82" s="894">
        <v>0.2</v>
      </c>
      <c r="F82" s="881">
        <v>30</v>
      </c>
    </row>
    <row r="83" spans="1:6" s="877" customFormat="1" ht="60">
      <c r="A83" s="881">
        <v>23</v>
      </c>
      <c r="B83" s="3277"/>
      <c r="C83" s="817" t="s">
        <v>660</v>
      </c>
      <c r="D83" s="817" t="s">
        <v>661</v>
      </c>
      <c r="E83" s="894">
        <v>0.2</v>
      </c>
      <c r="F83" s="881">
        <v>30</v>
      </c>
    </row>
    <row r="84" spans="1:6" s="877" customFormat="1" ht="48">
      <c r="A84" s="881">
        <v>24</v>
      </c>
      <c r="B84" s="3277"/>
      <c r="C84" s="817" t="s">
        <v>662</v>
      </c>
      <c r="D84" s="817" t="s">
        <v>663</v>
      </c>
      <c r="E84" s="894">
        <v>0.2</v>
      </c>
      <c r="F84" s="881">
        <v>30</v>
      </c>
    </row>
    <row r="85" spans="1:6" s="877" customFormat="1" ht="36">
      <c r="A85" s="881">
        <v>25</v>
      </c>
      <c r="B85" s="3277"/>
      <c r="C85" s="817" t="s">
        <v>664</v>
      </c>
      <c r="D85" s="817" t="s">
        <v>665</v>
      </c>
      <c r="E85" s="894">
        <v>0.5</v>
      </c>
      <c r="F85" s="881">
        <v>80</v>
      </c>
    </row>
    <row r="86" spans="1:6" s="877" customFormat="1" ht="36">
      <c r="A86" s="881">
        <v>26</v>
      </c>
      <c r="B86" s="3277"/>
      <c r="C86" s="817" t="s">
        <v>666</v>
      </c>
      <c r="D86" s="817" t="s">
        <v>667</v>
      </c>
      <c r="E86" s="894">
        <v>0.2</v>
      </c>
      <c r="F86" s="881">
        <v>30</v>
      </c>
    </row>
    <row r="87" spans="1:6" s="877" customFormat="1" ht="36">
      <c r="A87" s="881">
        <v>27</v>
      </c>
      <c r="B87" s="3277"/>
      <c r="C87" s="817" t="s">
        <v>668</v>
      </c>
      <c r="D87" s="817" t="s">
        <v>669</v>
      </c>
      <c r="E87" s="894">
        <v>0.2</v>
      </c>
      <c r="F87" s="881">
        <v>30</v>
      </c>
    </row>
    <row r="88" spans="1:6" s="877" customFormat="1" ht="36">
      <c r="A88" s="881">
        <v>28</v>
      </c>
      <c r="B88" s="3277"/>
      <c r="C88" s="817" t="s">
        <v>670</v>
      </c>
      <c r="D88" s="817" t="s">
        <v>671</v>
      </c>
      <c r="E88" s="894">
        <v>0.2</v>
      </c>
      <c r="F88" s="881">
        <v>30</v>
      </c>
    </row>
    <row r="89" spans="1:6" s="877" customFormat="1" ht="36">
      <c r="A89" s="881">
        <v>29</v>
      </c>
      <c r="B89" s="3277"/>
      <c r="C89" s="817" t="s">
        <v>672</v>
      </c>
      <c r="D89" s="817" t="s">
        <v>673</v>
      </c>
      <c r="E89" s="894">
        <v>0.2</v>
      </c>
      <c r="F89" s="881">
        <v>30</v>
      </c>
    </row>
    <row r="90" spans="1:6" s="877" customFormat="1" ht="36">
      <c r="A90" s="881">
        <v>30</v>
      </c>
      <c r="B90" s="3277"/>
      <c r="C90" s="817" t="s">
        <v>674</v>
      </c>
      <c r="D90" s="817" t="s">
        <v>675</v>
      </c>
      <c r="E90" s="894">
        <v>0.2</v>
      </c>
      <c r="F90" s="881">
        <v>30</v>
      </c>
    </row>
    <row r="91" spans="1:6" s="877" customFormat="1" ht="48">
      <c r="A91" s="881">
        <v>31</v>
      </c>
      <c r="B91" s="3277"/>
      <c r="C91" s="817" t="s">
        <v>676</v>
      </c>
      <c r="D91" s="817" t="s">
        <v>677</v>
      </c>
      <c r="E91" s="894">
        <v>0.2</v>
      </c>
      <c r="F91" s="881">
        <v>30</v>
      </c>
    </row>
    <row r="92" spans="1:6" s="877" customFormat="1" ht="36">
      <c r="A92" s="881">
        <v>32</v>
      </c>
      <c r="B92" s="3277" t="s">
        <v>678</v>
      </c>
      <c r="C92" s="881" t="s">
        <v>679</v>
      </c>
      <c r="D92" s="817" t="s">
        <v>680</v>
      </c>
      <c r="E92" s="894">
        <v>0.2</v>
      </c>
      <c r="F92" s="881">
        <v>30</v>
      </c>
    </row>
    <row r="93" spans="1:6" s="877" customFormat="1" ht="36">
      <c r="A93" s="881">
        <v>33</v>
      </c>
      <c r="B93" s="3277"/>
      <c r="C93" s="881" t="s">
        <v>681</v>
      </c>
      <c r="D93" s="817" t="s">
        <v>682</v>
      </c>
      <c r="E93" s="894">
        <v>0.2</v>
      </c>
      <c r="F93" s="881">
        <v>30</v>
      </c>
    </row>
    <row r="94" spans="1:6" s="877" customFormat="1" ht="60">
      <c r="A94" s="881">
        <v>34</v>
      </c>
      <c r="B94" s="3277"/>
      <c r="C94" s="881" t="s">
        <v>683</v>
      </c>
      <c r="D94" s="817" t="s">
        <v>684</v>
      </c>
      <c r="E94" s="894">
        <v>0.2</v>
      </c>
      <c r="F94" s="881">
        <v>30</v>
      </c>
    </row>
    <row r="95" spans="1:6" s="877" customFormat="1" ht="48">
      <c r="A95" s="881">
        <v>35</v>
      </c>
      <c r="B95" s="3277"/>
      <c r="C95" s="881" t="s">
        <v>685</v>
      </c>
      <c r="D95" s="817" t="s">
        <v>686</v>
      </c>
      <c r="E95" s="894">
        <v>0.2</v>
      </c>
      <c r="F95" s="881">
        <v>30</v>
      </c>
    </row>
    <row r="96" spans="1:6" s="877" customFormat="1" ht="72">
      <c r="A96" s="881">
        <v>36</v>
      </c>
      <c r="B96" s="3277"/>
      <c r="C96" s="817" t="s">
        <v>687</v>
      </c>
      <c r="D96" s="817" t="s">
        <v>688</v>
      </c>
      <c r="E96" s="894">
        <v>0.2</v>
      </c>
      <c r="F96" s="881">
        <v>30</v>
      </c>
    </row>
    <row r="97" spans="1:6" s="877" customFormat="1" ht="36">
      <c r="A97" s="881">
        <v>37</v>
      </c>
      <c r="B97" s="3277"/>
      <c r="C97" s="881" t="s">
        <v>689</v>
      </c>
      <c r="D97" s="817" t="s">
        <v>690</v>
      </c>
      <c r="E97" s="894">
        <v>0.2</v>
      </c>
      <c r="F97" s="881">
        <v>30</v>
      </c>
    </row>
    <row r="98" spans="1:6" s="877" customFormat="1" ht="36">
      <c r="A98" s="881">
        <v>38</v>
      </c>
      <c r="B98" s="3277"/>
      <c r="C98" s="881" t="s">
        <v>691</v>
      </c>
      <c r="D98" s="817" t="s">
        <v>692</v>
      </c>
      <c r="E98" s="894">
        <v>0.2</v>
      </c>
      <c r="F98" s="881">
        <v>30</v>
      </c>
    </row>
    <row r="99" spans="1:6" s="877" customFormat="1" ht="36">
      <c r="A99" s="881">
        <v>39</v>
      </c>
      <c r="B99" s="3277" t="s">
        <v>693</v>
      </c>
      <c r="C99" s="881" t="s">
        <v>694</v>
      </c>
      <c r="D99" s="817" t="s">
        <v>695</v>
      </c>
      <c r="E99" s="894">
        <v>0.3</v>
      </c>
      <c r="F99" s="881">
        <v>50</v>
      </c>
    </row>
    <row r="100" spans="1:6" s="877" customFormat="1" ht="36">
      <c r="A100" s="881">
        <v>40</v>
      </c>
      <c r="B100" s="3277"/>
      <c r="C100" s="881" t="s">
        <v>696</v>
      </c>
      <c r="D100" s="817" t="s">
        <v>697</v>
      </c>
      <c r="E100" s="894">
        <v>0.2</v>
      </c>
      <c r="F100" s="881">
        <v>30</v>
      </c>
    </row>
    <row r="101" spans="1:6" s="877" customFormat="1" ht="36">
      <c r="A101" s="881">
        <v>41</v>
      </c>
      <c r="B101" s="327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7" t="s">
        <v>708</v>
      </c>
      <c r="C105" s="881" t="s">
        <v>709</v>
      </c>
      <c r="D105" s="817" t="s">
        <v>710</v>
      </c>
      <c r="E105" s="894">
        <v>0.2</v>
      </c>
      <c r="F105" s="881">
        <v>30</v>
      </c>
    </row>
    <row r="106" spans="1:6" s="877" customFormat="1" ht="48">
      <c r="A106" s="881">
        <v>46</v>
      </c>
      <c r="B106" s="3277"/>
      <c r="C106" s="881" t="s">
        <v>711</v>
      </c>
      <c r="D106" s="817" t="s">
        <v>712</v>
      </c>
      <c r="E106" s="894">
        <v>0.2</v>
      </c>
      <c r="F106" s="881">
        <v>30</v>
      </c>
    </row>
    <row r="107" spans="1:6" s="877" customFormat="1" ht="36">
      <c r="A107" s="881">
        <v>47</v>
      </c>
      <c r="B107" s="3277" t="s">
        <v>713</v>
      </c>
      <c r="C107" s="881" t="s">
        <v>714</v>
      </c>
      <c r="D107" s="817" t="s">
        <v>715</v>
      </c>
      <c r="E107" s="894">
        <v>0.3</v>
      </c>
      <c r="F107" s="881">
        <v>50</v>
      </c>
    </row>
    <row r="108" spans="1:6" s="877" customFormat="1" ht="48">
      <c r="A108" s="881">
        <v>48</v>
      </c>
      <c r="B108" s="327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7" t="s">
        <v>724</v>
      </c>
      <c r="C111" s="881" t="s">
        <v>725</v>
      </c>
      <c r="D111" s="817" t="s">
        <v>726</v>
      </c>
      <c r="E111" s="894">
        <v>0.2</v>
      </c>
      <c r="F111" s="881">
        <v>30</v>
      </c>
    </row>
    <row r="112" spans="1:6" s="877" customFormat="1" ht="36">
      <c r="A112" s="881">
        <v>52</v>
      </c>
      <c r="B112" s="3277"/>
      <c r="C112" s="881" t="s">
        <v>727</v>
      </c>
      <c r="D112" s="817" t="s">
        <v>728</v>
      </c>
      <c r="E112" s="894">
        <v>0.2</v>
      </c>
      <c r="F112" s="881">
        <v>30</v>
      </c>
    </row>
    <row r="113" spans="1:6" s="877" customFormat="1" ht="36">
      <c r="A113" s="881">
        <v>53</v>
      </c>
      <c r="B113" s="327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7" t="s">
        <v>737</v>
      </c>
      <c r="C116" s="881" t="s">
        <v>738</v>
      </c>
      <c r="D116" s="817" t="s">
        <v>739</v>
      </c>
      <c r="E116" s="894">
        <v>0.2</v>
      </c>
      <c r="F116" s="881">
        <v>30</v>
      </c>
    </row>
    <row r="117" spans="1:6" ht="36">
      <c r="A117" s="881">
        <v>57</v>
      </c>
      <c r="B117" s="327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2995</v>
      </c>
    </row>
    <row r="2" spans="1:5" ht="15.6">
      <c r="A2" s="2901" t="s">
        <v>2987</v>
      </c>
      <c r="B2" s="2902">
        <f ca="1">SUMIF(B6:B13,"&lt;&gt;#ref!",B6:B13)</f>
        <v>614</v>
      </c>
      <c r="C2" s="2901" t="s">
        <v>2988</v>
      </c>
      <c r="D2" s="2901" t="s">
        <v>2989</v>
      </c>
      <c r="E2" s="2902">
        <f ca="1">SUMIF(E6:E13,"&lt;&gt;#ref!",E6:E13)</f>
        <v>1106.44</v>
      </c>
    </row>
    <row r="3" spans="1:5" ht="15.6">
      <c r="A3" s="2901" t="s">
        <v>2990</v>
      </c>
      <c r="B3" s="2902">
        <f ca="1">ROUND(B2*10000/E2,0)</f>
        <v>5549</v>
      </c>
      <c r="C3" s="2901" t="s">
        <v>2996</v>
      </c>
      <c r="D3" s="2903"/>
      <c r="E3" s="2903"/>
    </row>
    <row r="4" spans="1:5" ht="15.6">
      <c r="A4" s="2904"/>
      <c r="B4" s="2903"/>
      <c r="C4" s="2903"/>
      <c r="D4" s="2903"/>
      <c r="E4" s="2903"/>
    </row>
    <row r="5" spans="1:5" ht="31.2">
      <c r="A5" s="2905" t="s">
        <v>2991</v>
      </c>
      <c r="B5" s="2901" t="s">
        <v>2992</v>
      </c>
      <c r="C5" s="2902"/>
      <c r="D5" s="2903"/>
      <c r="E5" s="2901" t="s">
        <v>2993</v>
      </c>
    </row>
    <row r="6" spans="1:5" ht="15.6">
      <c r="A6" s="2906" t="s">
        <v>2994</v>
      </c>
      <c r="B6" s="2902">
        <f ca="1">SUMIF(INDIRECT("'"&amp;A6&amp;"'"&amp;"!A:A"),"总价",INDIRECT("'"&amp;A6&amp;"'"&amp;"!B:B"))</f>
        <v>614</v>
      </c>
      <c r="C6" s="2901" t="s">
        <v>2988</v>
      </c>
      <c r="D6" s="2903"/>
      <c r="E6" s="2574">
        <f ca="1">SUMIF(INDIRECT("'"&amp;A6&amp;"'"&amp;"!C:C"),"建筑面积",INDIRECT("'"&amp;A6&amp;"'"&amp;"!D:D"))</f>
        <v>1106.44</v>
      </c>
    </row>
    <row r="7" spans="1:5" ht="15.6">
      <c r="A7" s="2906"/>
      <c r="B7" s="2902" t="e">
        <f ca="1">SUMIF(INDIRECT("'"&amp;A7&amp;"'"&amp;"!A:A"),"总价",INDIRECT("'"&amp;A7&amp;"'"&amp;"!B:B"))</f>
        <v>#REF!</v>
      </c>
      <c r="C7" s="2901" t="s">
        <v>2988</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2988</v>
      </c>
      <c r="D8" s="2903"/>
      <c r="E8" s="2574" t="e">
        <f t="shared" ca="1" si="0"/>
        <v>#REF!</v>
      </c>
    </row>
    <row r="9" spans="1:5" ht="15.6">
      <c r="A9" s="2906"/>
      <c r="B9" s="2902" t="e">
        <f t="shared" ca="1" si="1"/>
        <v>#REF!</v>
      </c>
      <c r="C9" s="2901" t="s">
        <v>2988</v>
      </c>
      <c r="D9" s="2903"/>
      <c r="E9" s="2574" t="e">
        <f t="shared" ca="1" si="0"/>
        <v>#REF!</v>
      </c>
    </row>
    <row r="10" spans="1:5" ht="15.6">
      <c r="A10" s="2906"/>
      <c r="B10" s="2902" t="e">
        <f t="shared" ca="1" si="1"/>
        <v>#REF!</v>
      </c>
      <c r="C10" s="2901" t="s">
        <v>2988</v>
      </c>
      <c r="D10" s="2903"/>
      <c r="E10" s="2574" t="e">
        <f t="shared" ca="1" si="0"/>
        <v>#REF!</v>
      </c>
    </row>
    <row r="11" spans="1:5" ht="15.6">
      <c r="A11" s="2906"/>
      <c r="B11" s="2902" t="e">
        <f t="shared" ca="1" si="1"/>
        <v>#REF!</v>
      </c>
      <c r="C11" s="2901" t="s">
        <v>2988</v>
      </c>
      <c r="D11" s="2903"/>
      <c r="E11" s="2574" t="e">
        <f t="shared" ca="1" si="0"/>
        <v>#REF!</v>
      </c>
    </row>
    <row r="12" spans="1:5" ht="15.6">
      <c r="A12" s="2906"/>
      <c r="B12" s="2902" t="e">
        <f t="shared" ca="1" si="1"/>
        <v>#REF!</v>
      </c>
      <c r="C12" s="2901" t="s">
        <v>2988</v>
      </c>
      <c r="D12" s="2903"/>
      <c r="E12" s="2574" t="e">
        <f t="shared" ca="1" si="0"/>
        <v>#REF!</v>
      </c>
    </row>
    <row r="13" spans="1:5" ht="15.6">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83" t="s">
        <v>1146</v>
      </c>
      <c r="C1" s="3283"/>
      <c r="D1" s="3283"/>
      <c r="E1" s="3283"/>
      <c r="F1" s="3283"/>
      <c r="G1" s="3279" t="s">
        <v>1147</v>
      </c>
      <c r="H1" s="3279"/>
      <c r="I1" s="3279"/>
      <c r="J1" s="3279"/>
      <c r="K1" s="3279"/>
      <c r="L1" s="3279"/>
      <c r="N1" s="3279" t="s">
        <v>1148</v>
      </c>
      <c r="O1" s="3279"/>
      <c r="P1" s="3279"/>
      <c r="Q1" s="3279"/>
      <c r="R1" s="1445"/>
      <c r="S1" s="3279" t="s">
        <v>1149</v>
      </c>
      <c r="T1" s="3279"/>
      <c r="U1" s="3279"/>
      <c r="V1" s="3279"/>
      <c r="X1" s="3278" t="s">
        <v>1150</v>
      </c>
      <c r="Y1" s="3279"/>
      <c r="Z1" s="3279"/>
      <c r="AA1" s="3279"/>
      <c r="AB1" s="3279"/>
      <c r="AD1" s="3278" t="s">
        <v>1151</v>
      </c>
      <c r="AE1" s="3279"/>
      <c r="AF1" s="3279"/>
      <c r="AG1" s="3279"/>
      <c r="AH1" s="3279"/>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4">
      <c r="A3" s="2926" t="s">
        <v>3030</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3044</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3031</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3045</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3043</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81">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3037</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8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3036</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8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3029</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8"/>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3026</v>
      </c>
      <c r="B11" s="1468">
        <v>439</v>
      </c>
      <c r="C11" s="1468">
        <v>327</v>
      </c>
      <c r="D11" s="1468">
        <f>C11</f>
        <v>327</v>
      </c>
      <c r="E11" s="1468">
        <v>627</v>
      </c>
      <c r="F11" s="1469">
        <v>283</v>
      </c>
      <c r="G11" s="3284">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3027</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8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1381</v>
      </c>
      <c r="B13" s="1476">
        <f t="shared" si="73"/>
        <v>419.31181600000002</v>
      </c>
      <c r="C13" s="1476">
        <f t="shared" si="74"/>
        <v>313.95436800000004</v>
      </c>
      <c r="D13" s="1476">
        <f t="shared" si="75"/>
        <v>313.95436800000004</v>
      </c>
      <c r="E13" s="1476">
        <f t="shared" si="76"/>
        <v>596.63028431999999</v>
      </c>
      <c r="F13" s="1476">
        <f t="shared" si="77"/>
        <v>274.74220703999998</v>
      </c>
      <c r="G13" s="328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88"/>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4">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8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8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8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28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8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8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8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28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8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8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8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285">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86"/>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86"/>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87"/>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28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8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8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28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28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8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8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8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28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8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8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8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28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8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8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8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28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8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8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8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28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8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8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8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28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8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8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8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28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8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8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8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28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8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8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8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280">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81">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81">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282">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280">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81">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81">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282">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290" t="s">
        <v>2998</v>
      </c>
      <c r="D1" s="3291"/>
      <c r="E1" s="3291"/>
      <c r="F1" s="3291"/>
      <c r="G1" s="3291"/>
      <c r="H1" s="3291"/>
      <c r="I1" s="3291"/>
      <c r="J1" s="3291"/>
      <c r="K1" s="3291"/>
      <c r="L1" s="3291"/>
      <c r="M1" s="3291"/>
      <c r="N1" s="3291"/>
      <c r="O1" s="3291"/>
      <c r="P1" s="3291"/>
      <c r="Q1" s="3291"/>
      <c r="R1" s="3291"/>
      <c r="S1" s="3292"/>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3009</v>
      </c>
      <c r="E19" s="1791"/>
      <c r="F19" s="1791"/>
      <c r="G19" s="1791"/>
      <c r="H19" s="1279"/>
      <c r="I19" s="167"/>
      <c r="J19" s="167"/>
      <c r="K19" s="167"/>
      <c r="L19" s="167"/>
      <c r="M19" s="167"/>
      <c r="N19" s="167"/>
      <c r="O19" s="167"/>
      <c r="P19" s="167"/>
      <c r="Q19" s="167"/>
      <c r="R19" s="787"/>
      <c r="S19" s="137"/>
    </row>
    <row r="20" spans="1:45" ht="16.2" thickBot="1">
      <c r="A20" s="714" t="s">
        <v>3010</v>
      </c>
      <c r="B20" s="337" t="e">
        <f ca="1">IF(D20="——",S22,S22-F20)</f>
        <v>#REF!</v>
      </c>
      <c r="C20" s="167"/>
      <c r="D20" s="2910" t="s">
        <v>3011</v>
      </c>
      <c r="E20" s="1792"/>
      <c r="F20" s="1203" t="e">
        <f ca="1">SUMIF(INDIRECT("'"&amp;H20&amp;"'"&amp;"!A:A"),"承租人权益价值",INDIRECT("'"&amp;H20&amp;"'"&amp;"!c:c"))</f>
        <v>#REF!</v>
      </c>
      <c r="G20" s="1203" t="s">
        <v>3012</v>
      </c>
      <c r="H20" s="2911"/>
      <c r="I20" s="167"/>
      <c r="J20" s="167"/>
      <c r="K20" s="167"/>
      <c r="L20" s="167"/>
      <c r="M20" s="167"/>
      <c r="N20" s="167"/>
      <c r="O20" s="167"/>
      <c r="P20" s="167"/>
      <c r="Q20" s="167"/>
      <c r="R20" s="787"/>
      <c r="S20" s="137"/>
    </row>
    <row r="21" spans="1:45" ht="15.6">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069" t="s">
        <v>33</v>
      </c>
      <c r="D22" s="3070"/>
      <c r="E22" s="3070"/>
      <c r="F22" s="3070"/>
      <c r="G22" s="3070"/>
      <c r="H22" s="3070"/>
      <c r="I22" s="3070"/>
      <c r="J22" s="3070"/>
      <c r="K22" s="3070"/>
      <c r="L22" s="3070"/>
      <c r="M22" s="3070"/>
      <c r="N22" s="3070"/>
      <c r="O22" s="3070"/>
      <c r="P22" s="3070"/>
      <c r="Q22" s="3289"/>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7.399999999999999">
      <c r="A3" s="2974" t="str">
        <f>IF(项目基本情况!B9="房地产市场价值","估价结果一览表（市场价值不需“结果表-1”）","估价结果一览表")</f>
        <v>估价结果一览表</v>
      </c>
      <c r="B3" s="2974"/>
      <c r="C3" s="2974"/>
      <c r="D3" s="2974"/>
      <c r="E3" s="2974"/>
    </row>
    <row r="4" spans="1:5" ht="18" thickBot="1">
      <c r="A4" s="1960"/>
      <c r="B4" s="2972" t="s">
        <v>1625</v>
      </c>
      <c r="C4" s="2972"/>
      <c r="D4" s="2972"/>
      <c r="E4" s="1960"/>
    </row>
    <row r="5" spans="1:5" ht="16.2" thickTop="1">
      <c r="A5" s="1958"/>
      <c r="B5" s="2970" t="s">
        <v>1617</v>
      </c>
      <c r="C5" s="1961" t="s">
        <v>1618</v>
      </c>
      <c r="D5" s="1039">
        <f ca="1">结果表!H101</f>
        <v>1085</v>
      </c>
      <c r="E5" s="1958"/>
    </row>
    <row r="6" spans="1:5" ht="15.6">
      <c r="A6" s="1958"/>
      <c r="B6" s="2970"/>
      <c r="C6" s="1961" t="s">
        <v>1619</v>
      </c>
      <c r="D6" s="1039" t="str">
        <f ca="1">NUMBERSTRING(INT(D5*10000),2)&amp;"元整"</f>
        <v>壹仟零捌拾伍万元整</v>
      </c>
      <c r="E6" s="1958"/>
    </row>
    <row r="7" spans="1:5" ht="15.6">
      <c r="A7" s="1958"/>
      <c r="B7" s="2975"/>
      <c r="C7" s="1962" t="s">
        <v>1620</v>
      </c>
      <c r="D7" s="1040">
        <f ca="1">结果表!H102</f>
        <v>9806</v>
      </c>
      <c r="E7" s="1958"/>
    </row>
    <row r="8" spans="1:5" ht="15.6">
      <c r="A8" s="1958"/>
      <c r="B8" s="2976" t="str">
        <f>结果表!E103</f>
        <v>2.估价师知悉的法定优先受偿款</v>
      </c>
      <c r="C8" s="1963" t="s">
        <v>1621</v>
      </c>
      <c r="D8" s="1040">
        <f>结果表!H103</f>
        <v>0</v>
      </c>
      <c r="E8" s="1958"/>
    </row>
    <row r="9" spans="1:5" ht="15.6">
      <c r="A9" s="1958"/>
      <c r="B9" s="2978"/>
      <c r="C9" s="1961" t="s">
        <v>1619</v>
      </c>
      <c r="D9" s="1039" t="str">
        <f>NUMBERSTRING(INT(D8*10000),2)&amp;"元整"</f>
        <v>零元整</v>
      </c>
      <c r="E9" s="1958"/>
    </row>
    <row r="10" spans="1:5" ht="15.6">
      <c r="A10" s="1958"/>
      <c r="B10" s="1964" t="s">
        <v>1624</v>
      </c>
      <c r="C10" s="1965" t="s">
        <v>1622</v>
      </c>
      <c r="D10" s="1041">
        <f>结果表!H104</f>
        <v>0</v>
      </c>
      <c r="E10" s="1958"/>
    </row>
    <row r="11" spans="1:5" ht="15.6">
      <c r="A11" s="1958"/>
      <c r="B11" s="1964" t="s">
        <v>1626</v>
      </c>
      <c r="C11" s="1965" t="s">
        <v>1627</v>
      </c>
      <c r="D11" s="1041">
        <f>结果表!H105</f>
        <v>0</v>
      </c>
      <c r="E11" s="1958"/>
    </row>
    <row r="12" spans="1:5" ht="15.6">
      <c r="A12" s="1958"/>
      <c r="B12" s="1964" t="s">
        <v>1628</v>
      </c>
      <c r="C12" s="1965" t="s">
        <v>1627</v>
      </c>
      <c r="D12" s="1041">
        <f>结果表!H106</f>
        <v>0</v>
      </c>
      <c r="E12" s="1958"/>
    </row>
    <row r="13" spans="1:5" ht="15.6">
      <c r="A13" s="1958"/>
      <c r="B13" s="2969" t="str">
        <f>结果表!E107</f>
        <v>3.房地产抵押价值</v>
      </c>
      <c r="C13" s="1966" t="s">
        <v>1618</v>
      </c>
      <c r="D13" s="1042">
        <f ca="1">结果表!H107</f>
        <v>1085</v>
      </c>
      <c r="E13" s="1958"/>
    </row>
    <row r="14" spans="1:5" ht="15.6">
      <c r="A14" s="1958"/>
      <c r="B14" s="2970"/>
      <c r="C14" s="1961" t="s">
        <v>1619</v>
      </c>
      <c r="D14" s="1039" t="str">
        <f ca="1">NUMBERSTRING(INT(D13*10000),2)&amp;"元整"</f>
        <v>壹仟零捌拾伍万元整</v>
      </c>
      <c r="E14" s="1958"/>
    </row>
    <row r="15" spans="1:5" ht="15.6">
      <c r="A15" s="1958"/>
      <c r="B15" s="2975"/>
      <c r="C15" s="1962" t="s">
        <v>1629</v>
      </c>
      <c r="D15" s="1051">
        <f ca="1">结果表!H108</f>
        <v>9806</v>
      </c>
      <c r="E15" s="1958"/>
    </row>
    <row r="16" spans="1:5" ht="15.6">
      <c r="A16" s="1958"/>
      <c r="B16" s="2976" t="str">
        <f>结果表!E109</f>
        <v>——</v>
      </c>
      <c r="C16" s="1966" t="s">
        <v>1630</v>
      </c>
      <c r="D16" s="1967" t="str">
        <f>结果表!H109</f>
        <v>——</v>
      </c>
      <c r="E16" s="1958"/>
    </row>
    <row r="17" spans="1:5" ht="15.6">
      <c r="A17" s="1958"/>
      <c r="B17" s="2977"/>
      <c r="C17" s="1961" t="s">
        <v>1631</v>
      </c>
      <c r="D17" s="1039" t="e">
        <f>NUMBERSTRING(INT(D16*10000),2)&amp;"元整"</f>
        <v>#VALUE!</v>
      </c>
      <c r="E17" s="1958"/>
    </row>
    <row r="18" spans="1:5" ht="15.6">
      <c r="A18" s="1958"/>
      <c r="B18" s="2978"/>
      <c r="C18" s="1962" t="s">
        <v>1620</v>
      </c>
      <c r="D18" s="1051" t="str">
        <f>结果表!H110</f>
        <v>——</v>
      </c>
      <c r="E18" s="1958"/>
    </row>
    <row r="19" spans="1:5" ht="15.6">
      <c r="A19" s="1958"/>
      <c r="B19" s="2969" t="str">
        <f>结果表!E111</f>
        <v>4.抵押净值</v>
      </c>
      <c r="C19" s="1966" t="s">
        <v>1618</v>
      </c>
      <c r="D19" s="1040">
        <f ca="1">结果表!H111</f>
        <v>1015</v>
      </c>
      <c r="E19" s="1958"/>
    </row>
    <row r="20" spans="1:5" ht="15.6">
      <c r="A20" s="1958"/>
      <c r="B20" s="2970"/>
      <c r="C20" s="1961" t="s">
        <v>1631</v>
      </c>
      <c r="D20" s="1039" t="str">
        <f ca="1">NUMBERSTRING(INT(D19*10000),2)&amp;"元整"</f>
        <v>壹仟零壹拾伍万元整</v>
      </c>
      <c r="E20" s="1958"/>
    </row>
    <row r="21" spans="1:5" ht="16.2" thickBot="1">
      <c r="A21" s="1958"/>
      <c r="B21" s="2971"/>
      <c r="C21" s="1968" t="s">
        <v>1629</v>
      </c>
      <c r="D21" s="1052">
        <f ca="1">结果表!H112</f>
        <v>9174</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25738</v>
      </c>
      <c r="C2" s="2" t="s">
        <v>133</v>
      </c>
      <c r="D2" s="242"/>
      <c r="E2" s="242"/>
      <c r="F2" s="242"/>
      <c r="G2" s="242"/>
    </row>
    <row r="3" spans="1:7" s="243" customFormat="1" ht="18" customHeight="1" thickBot="1">
      <c r="A3" s="246" t="s">
        <v>85</v>
      </c>
      <c r="B3" s="247">
        <f ca="1">ROUND(B2*10000/'数据-汇总表'!E3,0)</f>
        <v>232620</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21</v>
      </c>
      <c r="D10" s="1031">
        <f>'数据-汇总表'!E6</f>
        <v>1106.44</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22</v>
      </c>
      <c r="D19" s="1035">
        <f>'数据-汇总表'!E3</f>
        <v>1106.44</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452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448</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4">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6.4">
      <c r="A27" s="947" t="s">
        <v>787</v>
      </c>
      <c r="B27" s="287" t="s">
        <v>112</v>
      </c>
      <c r="C27" s="288">
        <f>C28</f>
        <v>2105</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2105</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25504</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255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221</v>
      </c>
      <c r="D34" s="260"/>
      <c r="E34" s="263"/>
      <c r="F34" s="300">
        <f>IF('数据-取费表'!B24=0,1,'数据-取费表'!N16)</f>
        <v>1</v>
      </c>
      <c r="G34" s="262" t="s">
        <v>116</v>
      </c>
    </row>
    <row r="35" spans="1:7" ht="13.5" customHeight="1">
      <c r="A35" s="950" t="s">
        <v>796</v>
      </c>
      <c r="B35" s="258" t="s">
        <v>60</v>
      </c>
      <c r="C35" s="263">
        <f>ROUND(C34*F35,0)</f>
        <v>9</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22</v>
      </c>
      <c r="D37" s="260">
        <f>'数据-汇总表'!E3</f>
        <v>1106.44</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v>
      </c>
      <c r="D42" s="281"/>
      <c r="E42" s="281"/>
      <c r="F42" s="282"/>
      <c r="G42" s="3154" t="s">
        <v>121</v>
      </c>
    </row>
    <row r="43" spans="1:7" ht="13.5" customHeight="1">
      <c r="A43" s="950" t="s">
        <v>792</v>
      </c>
      <c r="B43" s="258" t="s">
        <v>1061</v>
      </c>
      <c r="C43" s="281">
        <f ca="1">ROUND(IF('数据-取费表'!B22&lt;=1,C39*F22*'数据-取费表'!B21/2,C39*(POWER((1+F22),'数据-取费表'!B21/2)-1)),0)</f>
        <v>0</v>
      </c>
      <c r="D43" s="281"/>
      <c r="E43" s="281"/>
      <c r="F43" s="282"/>
      <c r="G43" s="3155"/>
    </row>
    <row r="44" spans="1:7" ht="13.5" customHeight="1">
      <c r="A44" s="950" t="s">
        <v>793</v>
      </c>
      <c r="B44" s="258" t="s">
        <v>1063</v>
      </c>
      <c r="C44" s="281">
        <f ca="1">ROUND(IF('数据-取费表'!B22&lt;=1,C40*F22*'数据-取费表'!B21/2,C40*(POWER((1+F22),'数据-取费表'!B21/2)-1)),4)</f>
        <v>2.0000000000000001E-4</v>
      </c>
      <c r="D44" s="281"/>
      <c r="E44" s="281"/>
      <c r="F44" s="282"/>
      <c r="G44" s="3156"/>
    </row>
    <row r="45" spans="1:7" s="257" customFormat="1" ht="13.5" customHeight="1">
      <c r="A45" s="947" t="s">
        <v>786</v>
      </c>
      <c r="B45" s="287" t="s">
        <v>112</v>
      </c>
      <c r="C45" s="288">
        <f>C46</f>
        <v>26</v>
      </c>
      <c r="D45" s="278">
        <f>C47</f>
        <v>2E-3</v>
      </c>
      <c r="E45" s="279" t="s">
        <v>129</v>
      </c>
      <c r="F45" s="289"/>
      <c r="G45" s="290" t="s">
        <v>1069</v>
      </c>
    </row>
    <row r="46" spans="1:7" s="257" customFormat="1" ht="13.5" customHeight="1">
      <c r="A46" s="950" t="s">
        <v>794</v>
      </c>
      <c r="B46" s="291" t="s">
        <v>1062</v>
      </c>
      <c r="C46" s="292">
        <f>ROUND((C33+C39)*F27,0)</f>
        <v>26</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1070</v>
      </c>
    </row>
    <row r="50" spans="1:7" s="301" customFormat="1" ht="24">
      <c r="A50" s="947" t="s">
        <v>789</v>
      </c>
      <c r="B50" s="253" t="s">
        <v>124</v>
      </c>
      <c r="C50" s="275"/>
      <c r="D50" s="275"/>
      <c r="E50" s="275"/>
      <c r="F50" s="307">
        <f>IF('数据-取费表'!B24=0,'数据-取费表'!N16,1)</f>
        <v>0.75</v>
      </c>
      <c r="G50" s="290" t="s">
        <v>125</v>
      </c>
    </row>
    <row r="51" spans="1:7" ht="16.5" customHeight="1">
      <c r="A51" s="947" t="s">
        <v>790</v>
      </c>
      <c r="B51" s="253" t="s">
        <v>132</v>
      </c>
      <c r="C51" s="275">
        <f ca="1">ROUND(C49*F50,0)</f>
        <v>234</v>
      </c>
      <c r="D51" s="275"/>
      <c r="E51" s="275"/>
      <c r="F51" s="307"/>
      <c r="G51" s="277" t="s">
        <v>64</v>
      </c>
    </row>
    <row r="52" spans="1:7" s="251" customFormat="1" ht="16.8" thickBot="1">
      <c r="A52" s="308" t="s">
        <v>65</v>
      </c>
      <c r="B52" s="309"/>
      <c r="C52" s="310">
        <f ca="1">C31+C51</f>
        <v>25738</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93" t="s">
        <v>868</v>
      </c>
      <c r="B1" s="329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43641</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6">
      <c r="A3" s="2981"/>
      <c r="B3" s="2981"/>
      <c r="C3" s="2981"/>
      <c r="D3" s="1043" t="s">
        <v>1633</v>
      </c>
      <c r="E3" s="1043" t="s">
        <v>1639</v>
      </c>
      <c r="F3" s="1043" t="s">
        <v>1633</v>
      </c>
      <c r="G3" s="1043" t="s">
        <v>1634</v>
      </c>
      <c r="H3" s="1043" t="s">
        <v>1633</v>
      </c>
      <c r="I3" s="1043" t="s">
        <v>1634</v>
      </c>
    </row>
    <row r="4" spans="1:9" ht="45">
      <c r="A4" s="1972" t="str">
        <f>项目基本情况!S2</f>
        <v>北京市昌平区南口镇前洼村南液化气站工业用房房地产房地产</v>
      </c>
      <c r="B4" s="1043">
        <f>项目基本情况!C17</f>
        <v>1106.44</v>
      </c>
      <c r="C4" s="1043">
        <f>项目基本情况!C18</f>
        <v>8001.46</v>
      </c>
      <c r="D4" s="1043">
        <f ca="1">结果表!D118</f>
        <v>841</v>
      </c>
      <c r="E4" s="1043">
        <f ca="1">结果表!E118</f>
        <v>7601</v>
      </c>
      <c r="F4" s="1043">
        <f ca="1">结果表!F118</f>
        <v>244</v>
      </c>
      <c r="G4" s="1043">
        <f ca="1">结果表!G118</f>
        <v>2205</v>
      </c>
      <c r="H4" s="1043">
        <f ca="1">结果表!H118</f>
        <v>1085</v>
      </c>
      <c r="I4" s="1043">
        <f ca="1">结果表!I118</f>
        <v>9806</v>
      </c>
    </row>
    <row r="5" spans="1:9" ht="30" customHeight="1">
      <c r="A5" s="2981" t="s">
        <v>1635</v>
      </c>
      <c r="B5" s="2981"/>
      <c r="C5" s="2981"/>
      <c r="D5" s="2982" t="str">
        <f ca="1">结果表!D119</f>
        <v>捌佰肆拾壹万元整</v>
      </c>
      <c r="E5" s="2982"/>
      <c r="F5" s="2982" t="str">
        <f ca="1">结果表!F119</f>
        <v>贰佰肆拾肆万元整</v>
      </c>
      <c r="G5" s="2982"/>
      <c r="H5" s="2982" t="str">
        <f ca="1">结果表!H119</f>
        <v>壹仟零捌拾伍万元整</v>
      </c>
      <c r="I5" s="2982"/>
    </row>
    <row r="6" spans="1:9" ht="15.6">
      <c r="A6" s="2983" t="str">
        <f>结果表!A120</f>
        <v>估价师知悉的法定优先受偿款</v>
      </c>
      <c r="B6" s="2983"/>
      <c r="C6" s="2983"/>
      <c r="D6" s="2983">
        <f>结果表!D120</f>
        <v>0</v>
      </c>
      <c r="E6" s="2983"/>
      <c r="F6" s="2983"/>
      <c r="G6" s="2983"/>
      <c r="H6" s="2983"/>
      <c r="I6" s="2983"/>
    </row>
    <row r="7" spans="1:9" ht="15">
      <c r="A7" s="2981" t="s">
        <v>1635</v>
      </c>
      <c r="B7" s="2981"/>
      <c r="C7" s="2981"/>
      <c r="D7" s="2984" t="str">
        <f>结果表!D121</f>
        <v>零元整</v>
      </c>
      <c r="E7" s="2985"/>
      <c r="F7" s="2985"/>
      <c r="G7" s="2985"/>
      <c r="H7" s="2985"/>
      <c r="I7" s="2986"/>
    </row>
    <row r="8" spans="1:9" ht="15.6">
      <c r="A8" s="2983" t="str">
        <f>结果表!A122</f>
        <v>房地产抵押价值</v>
      </c>
      <c r="B8" s="2983"/>
      <c r="C8" s="2983"/>
      <c r="D8" s="2983">
        <f ca="1">结果表!D122</f>
        <v>1085</v>
      </c>
      <c r="E8" s="2983"/>
      <c r="F8" s="2983"/>
      <c r="G8" s="2983"/>
      <c r="H8" s="2983"/>
      <c r="I8" s="2983"/>
    </row>
    <row r="9" spans="1:9" ht="15">
      <c r="A9" s="2981" t="s">
        <v>1635</v>
      </c>
      <c r="B9" s="2981"/>
      <c r="C9" s="2981"/>
      <c r="D9" s="2982" t="str">
        <f ca="1">结果表!D123</f>
        <v>壹仟零捌拾伍万元整</v>
      </c>
      <c r="E9" s="2982"/>
      <c r="F9" s="2982"/>
      <c r="G9" s="2982"/>
      <c r="H9" s="2982"/>
      <c r="I9" s="2982"/>
    </row>
    <row r="10" spans="1:9" ht="15.6">
      <c r="A10" s="2983" t="str">
        <f>结果表!A124</f>
        <v/>
      </c>
      <c r="B10" s="2983"/>
      <c r="C10" s="2983"/>
      <c r="D10" s="2983" t="str">
        <f>结果表!D124</f>
        <v>——</v>
      </c>
      <c r="E10" s="2983"/>
      <c r="F10" s="2983"/>
      <c r="G10" s="2983"/>
      <c r="H10" s="2983"/>
      <c r="I10" s="2983"/>
    </row>
    <row r="11" spans="1:9" ht="15">
      <c r="A11" s="2981" t="s">
        <v>1635</v>
      </c>
      <c r="B11" s="2981"/>
      <c r="C11" s="2981"/>
      <c r="D11" s="2982" t="e">
        <f>结果表!D125</f>
        <v>#VALUE!</v>
      </c>
      <c r="E11" s="2982"/>
      <c r="F11" s="2982"/>
      <c r="G11" s="2982"/>
      <c r="H11" s="2982"/>
      <c r="I11" s="2982"/>
    </row>
    <row r="12" spans="1:9" ht="15.6">
      <c r="A12" s="2983" t="str">
        <f>结果表!A126</f>
        <v>抵押净值</v>
      </c>
      <c r="B12" s="2983"/>
      <c r="C12" s="2983"/>
      <c r="D12" s="2983">
        <f ca="1">结果表!D126</f>
        <v>1015</v>
      </c>
      <c r="E12" s="2983"/>
      <c r="F12" s="2983"/>
      <c r="G12" s="2983"/>
      <c r="H12" s="2983"/>
      <c r="I12" s="2983"/>
    </row>
    <row r="13" spans="1:9" ht="15.6" thickBot="1">
      <c r="A13" s="2987" t="s">
        <v>1635</v>
      </c>
      <c r="B13" s="2987"/>
      <c r="C13" s="2987"/>
      <c r="D13" s="2988" t="str">
        <f ca="1">结果表!D127</f>
        <v>壹仟零壹拾伍万元整</v>
      </c>
      <c r="E13" s="2988"/>
      <c r="F13" s="2988"/>
      <c r="G13" s="2988"/>
      <c r="H13" s="2988"/>
      <c r="I13" s="2988"/>
    </row>
    <row r="14" spans="1:9" ht="14.4" thickTop="1">
      <c r="A14" s="2989" t="s">
        <v>1640</v>
      </c>
      <c r="B14" s="2989"/>
      <c r="C14" s="2989"/>
      <c r="D14" s="2989"/>
      <c r="E14" s="2989"/>
      <c r="F14" s="2989"/>
      <c r="G14" s="2989"/>
      <c r="H14" s="2989"/>
      <c r="I14" s="2989"/>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0" t="s">
        <v>1657</v>
      </c>
      <c r="B1" s="2990"/>
      <c r="C1" s="2990"/>
      <c r="D1" s="2990"/>
    </row>
    <row r="2" spans="1:4" ht="17.399999999999999">
      <c r="A2" s="2991" t="s">
        <v>1641</v>
      </c>
      <c r="B2" s="2991"/>
      <c r="C2" s="2991"/>
      <c r="D2" s="2991"/>
    </row>
    <row r="3" spans="1:4" ht="17.399999999999999">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7.399999999999999">
      <c r="A6" s="2991" t="s">
        <v>1647</v>
      </c>
      <c r="B6" s="2991"/>
      <c r="C6" s="2991"/>
      <c r="D6" s="2991"/>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7"/>
      <c r="B9" s="727"/>
      <c r="C9" s="727"/>
      <c r="D9" s="727"/>
    </row>
    <row r="10" spans="1:4" ht="17.399999999999999">
      <c r="A10" s="1983" t="s">
        <v>1649</v>
      </c>
      <c r="B10" s="727"/>
      <c r="C10" s="727"/>
      <c r="D10" s="727"/>
    </row>
    <row r="11" spans="1:4" ht="30" customHeight="1">
      <c r="A11" s="2992" t="s">
        <v>1650</v>
      </c>
      <c r="B11" s="2993"/>
      <c r="C11" s="2993"/>
      <c r="D11" s="2993"/>
    </row>
    <row r="12" spans="1:4" ht="15.6">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3"/>
      <c r="C15" s="2993"/>
      <c r="D15" s="2993"/>
    </row>
    <row r="16" spans="1:4" ht="30" customHeight="1">
      <c r="A16" s="2996" t="s">
        <v>1651</v>
      </c>
      <c r="B16" s="2996"/>
      <c r="C16" s="2996"/>
      <c r="D16" s="2996"/>
    </row>
    <row r="17" spans="1:4" ht="144" customHeight="1">
      <c r="A17" s="2996" t="s">
        <v>1652</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1653</v>
      </c>
      <c r="B22" s="2998"/>
      <c r="C22" s="2998"/>
      <c r="D22" s="2998"/>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3004" t="s">
        <v>1664</v>
      </c>
      <c r="B15" s="2999" t="s">
        <v>136</v>
      </c>
      <c r="C15" s="3000"/>
    </row>
    <row r="16" spans="1:7" ht="14.4">
      <c r="A16" s="3005"/>
      <c r="B16" s="2999" t="s">
        <v>69</v>
      </c>
      <c r="C16" s="3000"/>
    </row>
    <row r="17" spans="1:3" ht="14.4">
      <c r="A17" s="3005"/>
      <c r="B17" s="3002" t="s">
        <v>1665</v>
      </c>
      <c r="C17" s="1999" t="s">
        <v>1664</v>
      </c>
    </row>
    <row r="18" spans="1:3" ht="14.4">
      <c r="A18" s="3005"/>
      <c r="B18" s="3002"/>
      <c r="C18" s="1999" t="s">
        <v>1666</v>
      </c>
    </row>
    <row r="19" spans="1:3" ht="14.4">
      <c r="A19" s="3005"/>
      <c r="B19" s="3002"/>
      <c r="C19" s="1999" t="s">
        <v>1667</v>
      </c>
    </row>
    <row r="20" spans="1:3" ht="14.4">
      <c r="A20" s="3006"/>
      <c r="B20" s="3001" t="s">
        <v>1668</v>
      </c>
      <c r="C20" s="3000"/>
    </row>
    <row r="21" spans="1:3" ht="14.4">
      <c r="A21" s="2000" t="s">
        <v>1669</v>
      </c>
      <c r="B21" s="2001"/>
      <c r="C21" s="2002"/>
    </row>
    <row r="22" spans="1:3" ht="14.4">
      <c r="A22" s="3003" t="s">
        <v>1670</v>
      </c>
      <c r="B22" s="3001" t="s">
        <v>1671</v>
      </c>
      <c r="C22" s="3000"/>
    </row>
    <row r="23" spans="1:3" ht="14.4">
      <c r="A23" s="3003"/>
      <c r="B23" s="3001" t="s">
        <v>1672</v>
      </c>
      <c r="C23" s="3000"/>
    </row>
    <row r="24" spans="1:3" ht="14.4">
      <c r="A24" s="3003"/>
      <c r="B24" s="3001" t="s">
        <v>1673</v>
      </c>
      <c r="C24" s="3000"/>
    </row>
    <row r="25" spans="1:3" ht="14.4">
      <c r="A25" s="3003"/>
      <c r="B25" s="3002" t="s">
        <v>1674</v>
      </c>
      <c r="C25" s="1999" t="s">
        <v>1675</v>
      </c>
    </row>
    <row r="26" spans="1:3" ht="14.4">
      <c r="A26" s="3003"/>
      <c r="B26" s="3002"/>
      <c r="C26" s="1999" t="s">
        <v>1676</v>
      </c>
    </row>
    <row r="27" spans="1:3" ht="14.4">
      <c r="A27" s="3003"/>
      <c r="B27" s="3002"/>
      <c r="C27" s="1999" t="s">
        <v>1677</v>
      </c>
    </row>
    <row r="28" spans="1:3" ht="14.4">
      <c r="A28" s="3003"/>
      <c r="B28" s="3002"/>
      <c r="C28" s="1999" t="s">
        <v>1678</v>
      </c>
    </row>
    <row r="29" spans="1:3" ht="14.4">
      <c r="A29" s="3003"/>
      <c r="B29" s="3002"/>
      <c r="C29" s="1999" t="s">
        <v>1679</v>
      </c>
    </row>
    <row r="30" spans="1:3" ht="14.4">
      <c r="A30" s="3003"/>
      <c r="B30" s="3002"/>
      <c r="C30" s="1999" t="s">
        <v>1680</v>
      </c>
    </row>
    <row r="31" spans="1:3" ht="14.4">
      <c r="A31" s="3003"/>
      <c r="B31" s="3002"/>
      <c r="C31" s="1999" t="s">
        <v>1681</v>
      </c>
    </row>
    <row r="32" spans="1:3" ht="14.4">
      <c r="A32" s="3003"/>
      <c r="B32" s="3002"/>
      <c r="C32" s="1999" t="s">
        <v>1682</v>
      </c>
    </row>
    <row r="33" spans="1:3" ht="14.4">
      <c r="A33" s="3003"/>
      <c r="B33" s="3002"/>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43643</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3038</v>
      </c>
      <c r="B14" s="1021">
        <f ca="1">IF(C14&lt;B2,"已过期",1120040230)</f>
        <v>1120040230</v>
      </c>
      <c r="C14" s="2344">
        <v>43835</v>
      </c>
      <c r="D14" s="2347" t="s">
        <v>3038</v>
      </c>
      <c r="E14" s="1021">
        <f ca="1">IF(F14&lt;B2,"已过期",98030020)</f>
        <v>98030020</v>
      </c>
      <c r="F14" s="1029">
        <v>47118</v>
      </c>
    </row>
    <row r="15" spans="1:6" ht="24" customHeight="1">
      <c r="A15" s="1702" t="s">
        <v>3039</v>
      </c>
      <c r="B15" s="1021">
        <f ca="1">IF(C15&lt;B2,"已过期",1120070085)</f>
        <v>1120070085</v>
      </c>
      <c r="C15" s="2344">
        <v>43814</v>
      </c>
      <c r="D15" s="2348" t="s">
        <v>3039</v>
      </c>
      <c r="E15" s="1021">
        <f ca="1">IF(F15&lt;B2,"已过期",2004110128)</f>
        <v>2004110128</v>
      </c>
      <c r="F15" s="1022">
        <v>47118</v>
      </c>
    </row>
    <row r="16" spans="1:6" ht="24" customHeight="1">
      <c r="A16" s="1701" t="s">
        <v>3040</v>
      </c>
      <c r="B16" s="1021">
        <f ca="1">IF(C16&lt;B2,"已过期",1120140022)</f>
        <v>1120140022</v>
      </c>
      <c r="C16" s="2927">
        <v>44029</v>
      </c>
      <c r="D16" s="2347" t="s">
        <v>3040</v>
      </c>
      <c r="E16" s="1021">
        <f ca="1">IF(F16&lt;B2,"已过期",2008110059)</f>
        <v>2008110059</v>
      </c>
      <c r="F16" s="1029">
        <v>47177</v>
      </c>
    </row>
    <row r="17" spans="1:7" ht="24" customHeight="1">
      <c r="A17" s="1701"/>
      <c r="B17" s="1021"/>
      <c r="C17" s="2344"/>
      <c r="D17" s="2347" t="s">
        <v>3041</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07" t="s">
        <v>843</v>
      </c>
      <c r="B25" s="3007"/>
      <c r="C25" s="3007"/>
      <c r="D25" s="3007"/>
      <c r="E25" s="3007"/>
      <c r="F25" s="3007"/>
      <c r="G25" s="3007"/>
    </row>
    <row r="26" spans="1:7" s="1024" customFormat="1" ht="24" customHeight="1">
      <c r="A26" s="3008" t="s">
        <v>844</v>
      </c>
      <c r="B26" s="3008"/>
      <c r="C26" s="3009"/>
      <c r="D26" s="3010" t="s">
        <v>845</v>
      </c>
      <c r="E26" s="3008"/>
      <c r="F26" s="3008"/>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2019-06-27T07:28:07Z</dcterms:modified>
</cp:coreProperties>
</file>