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C5" i="21" l="1"/>
  <c r="G5" i="21"/>
  <c r="I5" i="21" s="1"/>
  <c r="H19" i="1" l="1"/>
  <c r="E20" i="1"/>
  <c r="I37" i="21" l="1"/>
  <c r="G37" i="21"/>
  <c r="E37" i="21"/>
  <c r="D104" i="21"/>
  <c r="E104" i="21" s="1"/>
  <c r="F104" i="21" s="1"/>
  <c r="G104" i="21" s="1"/>
  <c r="I47" i="21"/>
  <c r="G47" i="21"/>
  <c r="E47" i="21"/>
  <c r="C37"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E19" i="1" s="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A16" i="55" s="1"/>
  <c r="B46" i="60" s="1"/>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C32" i="21"/>
  <c r="AC28" i="21"/>
  <c r="U27" i="21"/>
  <c r="AB23" i="21"/>
  <c r="U19" i="21"/>
  <c r="U43" i="21"/>
  <c r="U26" i="21"/>
  <c r="AB44" i="21"/>
  <c r="U30" i="21"/>
  <c r="AA36" i="21"/>
  <c r="S28" i="21"/>
  <c r="AB21" i="21"/>
  <c r="U21" i="21"/>
  <c r="AC19" i="21"/>
  <c r="S13"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19" i="57"/>
  <c r="D6" i="61"/>
  <c r="E2" i="34"/>
  <c r="F4" i="61"/>
  <c r="C19" i="57"/>
  <c r="C20" i="57"/>
  <c r="E2" i="33"/>
  <c r="D20" i="57"/>
  <c r="E2" i="37"/>
  <c r="D3" i="61"/>
  <c r="D5" i="61"/>
  <c r="E2" i="35"/>
  <c r="F5" i="61"/>
  <c r="F6" i="61"/>
  <c r="D7" i="61"/>
  <c r="E2" i="36"/>
  <c r="F3" i="61"/>
  <c r="E2" i="11"/>
  <c r="H23" i="31"/>
  <c r="E2" i="21"/>
  <c r="D4" i="61"/>
  <c r="F7" i="61"/>
  <c r="W34" i="21" l="1"/>
  <c r="U40" i="21"/>
  <c r="S21" i="21"/>
  <c r="F17" i="21"/>
  <c r="H17" i="21"/>
  <c r="AB17" i="21" s="1"/>
  <c r="F79" i="21"/>
  <c r="G79" i="21" s="1"/>
  <c r="J17" i="21"/>
  <c r="W42" i="21"/>
  <c r="G113" i="21"/>
  <c r="H113" i="21" s="1"/>
  <c r="F37" i="21"/>
  <c r="J37" i="21"/>
  <c r="W37" i="21" s="1"/>
  <c r="H37" i="21"/>
  <c r="S38" i="21"/>
  <c r="S42" i="21"/>
  <c r="AB32" i="21"/>
  <c r="AC9" i="21"/>
  <c r="S8" i="21"/>
  <c r="W40" i="21"/>
  <c r="AB39" i="21"/>
  <c r="U42" i="21"/>
  <c r="S35" i="21"/>
  <c r="AA43" i="21"/>
  <c r="S40" i="21"/>
  <c r="AB36" i="21"/>
  <c r="AC37" i="21"/>
  <c r="AC33" i="21"/>
  <c r="S33" i="21"/>
  <c r="S27" i="21"/>
  <c r="AC27" i="21"/>
  <c r="W21" i="21"/>
  <c r="U17" i="21"/>
  <c r="AC15" i="21"/>
  <c r="W10" i="21"/>
  <c r="U9" i="21"/>
  <c r="C13" i="12"/>
  <c r="D42" i="50"/>
  <c r="D43" i="50" s="1"/>
  <c r="M60" i="15"/>
  <c r="D19" i="1"/>
  <c r="F19" i="1"/>
  <c r="D18" i="1"/>
  <c r="A132" i="9"/>
  <c r="D32" i="9"/>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17" i="21" l="1"/>
  <c r="W17" i="21"/>
  <c r="AA17" i="21"/>
  <c r="S17" i="21"/>
  <c r="U37" i="21"/>
  <c r="AB37" i="21"/>
  <c r="AA37" i="21"/>
  <c r="S37"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W7" i="21" l="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D107" i="9" l="1"/>
  <c r="I4" i="52"/>
  <c r="D121" i="9"/>
  <c r="E4" i="52"/>
  <c r="B38" i="60" s="1"/>
  <c r="F121" i="9"/>
  <c r="G4" i="52"/>
  <c r="B41" i="60" s="1"/>
  <c r="H121" i="9"/>
  <c r="I103" i="9"/>
  <c r="C104" i="9"/>
  <c r="H4" i="52" l="1"/>
  <c r="D14" i="62"/>
  <c r="D9" i="50"/>
  <c r="B21" i="60" s="1"/>
  <c r="D30" i="50"/>
  <c r="F122" i="9"/>
  <c r="F5" i="52" s="1"/>
  <c r="B42" i="60" s="1"/>
  <c r="F4" i="52"/>
  <c r="B40" i="60" s="1"/>
  <c r="D122" i="9"/>
  <c r="D5" i="52" s="1"/>
  <c r="B39" i="60" s="1"/>
  <c r="D4" i="52"/>
  <c r="B37" i="60" s="1"/>
  <c r="C103" i="9"/>
  <c r="H122" i="9"/>
  <c r="H5" i="52" s="1"/>
  <c r="D106" i="9"/>
  <c r="D112" i="9" s="1"/>
  <c r="I102" i="9"/>
  <c r="F14" i="62" l="1"/>
  <c r="E14" i="62"/>
  <c r="B5" i="62"/>
  <c r="D28" i="50"/>
  <c r="D29" i="50" s="1"/>
  <c r="D7" i="50"/>
  <c r="N48" i="9"/>
  <c r="D45" i="9"/>
  <c r="I110" i="9"/>
  <c r="D113" i="9"/>
  <c r="D117" i="9"/>
  <c r="C5" i="62" l="1"/>
  <c r="D5" i="62"/>
  <c r="D36" i="50"/>
  <c r="D37" i="50" s="1"/>
  <c r="D15" i="50"/>
  <c r="I111" i="9"/>
  <c r="D38" i="50"/>
  <c r="B62" i="60" s="1"/>
  <c r="B19" i="60"/>
  <c r="D8" i="50"/>
  <c r="B22" i="60" s="1"/>
  <c r="I115" i="9"/>
  <c r="D23" i="50" s="1"/>
  <c r="B34" i="60" s="1"/>
  <c r="D44" i="50"/>
  <c r="C93" i="9"/>
  <c r="C86" i="9" s="1"/>
  <c r="C78" i="9"/>
  <c r="C73" i="9" s="1"/>
  <c r="D52" i="9"/>
  <c r="D53" i="9"/>
  <c r="D48" i="9" s="1"/>
  <c r="N52" i="9" s="1"/>
  <c r="O57" i="9" s="1"/>
  <c r="C72" i="9"/>
  <c r="C64" i="9"/>
  <c r="C63" i="9" s="1"/>
  <c r="C67" i="9" s="1"/>
  <c r="C68" i="9" s="1"/>
  <c r="D54" i="9" s="1"/>
  <c r="C85" i="9"/>
  <c r="C95" i="9" s="1"/>
  <c r="D125" i="9"/>
  <c r="N49" i="9"/>
  <c r="D8" i="52" l="1"/>
  <c r="G14" i="62"/>
  <c r="B6" i="62" s="1"/>
  <c r="B29" i="60"/>
  <c r="D16" i="50"/>
  <c r="B30" i="60" s="1"/>
  <c r="D126" i="9"/>
  <c r="D9" i="52" s="1"/>
  <c r="D17" i="50"/>
  <c r="C79" i="9"/>
  <c r="C80" i="9" s="1"/>
  <c r="E80" i="9" s="1"/>
  <c r="E81" i="9" s="1"/>
  <c r="Q57" i="9"/>
  <c r="O58" i="9"/>
  <c r="M65" i="9"/>
  <c r="N65" i="9" s="1"/>
  <c r="M68" i="9"/>
  <c r="N68" i="9" s="1"/>
  <c r="M67" i="9"/>
  <c r="N67" i="9" s="1"/>
  <c r="M64" i="9"/>
  <c r="N64" i="9" s="1"/>
  <c r="O59" i="9"/>
  <c r="M66" i="9"/>
  <c r="N66" i="9" s="1"/>
  <c r="M63" i="9"/>
  <c r="N63" i="9" s="1"/>
  <c r="C96" i="9"/>
  <c r="E96" i="9" s="1"/>
  <c r="E97" i="9" s="1"/>
  <c r="C81" i="9" l="1"/>
  <c r="C97" i="9"/>
  <c r="D58" i="9" s="1"/>
  <c r="N69" i="9"/>
  <c r="O69"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<sst xmlns="http://schemas.openxmlformats.org/spreadsheetml/2006/main" count="6876" uniqueCount="2931">
  <si>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</si>
  <si>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</si>
  <si>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</si>
  <si>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</si>
  <si>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</si>
  <si>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</si>
  <si>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</si>
  <si>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</si>
  <si>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</si>
  <si>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</si>
  <si>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</si>
  <si>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</si>
  <si>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</si>
  <si>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</si>
  <si>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</si>
  <si>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</si>
  <si>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</si>
  <si>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</si>
  <si>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</si>
  <si>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</si>
  <si>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</si>
  <si>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</si>
  <si>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</si>
  <si>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</si>
  <si>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</si>
  <si>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</si>
  <si>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</si>
  <si>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</si>
  <si>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</si>
  <si>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</si>
  <si>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</si>
  <si>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</si>
  <si>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</si>
  <si>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</si>
  <si>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</si>
  <si>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</si>
  <si>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</si>
  <si>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</si>
  <si>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</si>
  <si>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</si>
  <si>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</si>
  <si>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</si>
  <si>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</si>
  <si>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</si>
  <si>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</si>
  <si>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</si>
  <si>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</si>
  <si>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</si>
  <si>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</si>
  <si>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</si>
  <si>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</si>
  <si>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</si>
  <si>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</si>
  <si>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</si>
  <si>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</si>
  <si>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</si>
  <si>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</si>
  <si>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</si>
  <si>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</si>
  <si>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</si>
  <si>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</si>
  <si>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</si>
  <si>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</si>
  <si>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</si>
  <si>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</si>
  <si>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</si>
  <si>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</si>
  <si>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</si>
  <si>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</si>
  <si>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</si>
  <si>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</si>
  <si>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</si>
  <si>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</si>
  <si>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</si>
  <si>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</si>
  <si>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</si>
  <si>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</si>
  <si>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</si>
  <si>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</si>
  <si>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</si>
  <si>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</si>
  <si>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</si>
  <si>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</si>
  <si>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</si>
  <si>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</si>
  <si>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</si>
  <si>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</si>
  <si>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</si>
  <si>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</si>
  <si>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</si>
  <si>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</si>
  <si>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</si>
  <si>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</si>
  <si>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</si>
  <si>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</si>
  <si>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</si>
  <si>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</si>
  <si>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</si>
  <si>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</si>
  <si>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</si>
  <si>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</si>
  <si>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</si>
  <si>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</si>
  <si>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</si>
  <si>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</si>
  <si>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</si>
  <si>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</si>
  <si>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</si>
  <si>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</si>
  <si>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</si>
  <si>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</si>
  <si>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</si>
  <si>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</si>
  <si>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</si>
  <si>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</si>
  <si>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</si>
  <si>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</si>
  <si>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</si>
  <si>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</si>
  <si>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</si>
  <si>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</si>
  <si>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</si>
  <si>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</si>
  <si>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</si>
  <si>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</si>
  <si>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</si>
  <si>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</si>
  <si>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</si>
  <si>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</si>
  <si>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</si>
  <si>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</si>
  <si>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</si>
  <si>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</si>
  <si>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</si>
  <si>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</si>
  <si>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</si>
  <si>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</si>
  <si>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</si>
  <si>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</si>
  <si>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</si>
  <si>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</si>
  <si>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</si>
  <si>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</si>
  <si>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</si>
  <si>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</si>
  <si>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</si>
  <si>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</si>
  <si>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</si>
  <si>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</si>
  <si>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</si>
  <si>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</si>
  <si>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</si>
  <si>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</si>
  <si>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</si>
  <si>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</si>
  <si>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</si>
  <si>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</si>
  <si>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</si>
  <si>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</si>
  <si>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</si>
  <si>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</si>
  <si>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</si>
  <si>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</si>
  <si>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</si>
  <si>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</si>
  <si>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</si>
  <si>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</si>
  <si>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</si>
  <si>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</si>
  <si>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</si>
  <si>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</si>
  <si>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</si>
  <si>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</si>
  <si>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</si>
  <si>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</si>
  <si>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</si>
  <si>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</si>
  <si>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</si>
  <si>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</si>
  <si>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</si>
  <si>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</si>
  <si>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</si>
  <si>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</si>
  <si>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</si>
  <si>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</si>
  <si>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</si>
  <si>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</si>
  <si>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</si>
  <si>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</si>
  <si>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</si>
  <si>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</si>
  <si>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</si>
  <si>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</si>
  <si>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</si>
  <si>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</si>
  <si>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</si>
  <si>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</si>
  <si>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</si>
  <si>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</si>
  <si>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</si>
  <si>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</si>
  <si>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</si>
  <si>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</si>
  <si>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</si>
  <si>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</si>
  <si>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</si>
  <si>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</si>
  <si>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</si>
  <si>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</si>
  <si>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</si>
  <si>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</si>
  <si>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</si>
  <si>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</si>
  <si>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</si>
  <si>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</si>
  <si>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</si>
  <si>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</si>
  <si>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</si>
  <si>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</si>
  <si>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</si>
  <si>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</si>
  <si>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</si>
  <si>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</si>
  <si>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</si>
  <si>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</si>
  <si>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</si>
  <si>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</si>
  <si>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</si>
  <si>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</si>
  <si>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</si>
  <si>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</si>
  <si>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</si>
  <si>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</si>
  <si>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</si>
  <si>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</si>
  <si>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</si>
  <si>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</si>
  <si>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</si>
  <si>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</si>
  <si>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</si>
  <si>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</si>
  <si>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</si>
  <si>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</si>
  <si>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</si>
  <si>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</si>
  <si>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</si>
  <si>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</si>
  <si>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</si>
  <si>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</si>
  <si>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</si>
  <si>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</si>
  <si>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</si>
  <si>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</si>
  <si>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</si>
  <si>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</si>
  <si>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</si>
  <si>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</si>
  <si>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</si>
  <si>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</si>
  <si>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</si>
  <si>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</si>
  <si>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</si>
  <si>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</si>
  <si>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</si>
  <si>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</si>
  <si>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</si>
  <si>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</si>
  <si>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</si>
  <si>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</si>
  <si>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</si>
  <si>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</si>
  <si>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</si>
  <si>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</si>
  <si>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</si>
  <si>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</si>
  <si>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</si>
  <si>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</si>
  <si>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</si>
  <si>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</si>
  <si>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</si>
  <si>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</si>
  <si>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</si>
  <si>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</si>
  <si>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</si>
  <si>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</si>
  <si>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</si>
  <si>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</si>
  <si>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</si>
  <si>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</si>
  <si>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</si>
  <si>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</si>
  <si>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</si>
  <si>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</si>
  <si>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</si>
  <si>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</si>
  <si>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</si>
  <si>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</si>
  <si>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</si>
  <si>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</si>
  <si>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</si>
  <si>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</si>
  <si>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</si>
  <si>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</si>
  <si>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</si>
  <si>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</si>
  <si>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</si>
  <si>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</si>
  <si>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</si>
  <si>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</si>
  <si>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</si>
  <si>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</si>
  <si>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</si>
  <si>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</si>
  <si>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</si>
  <si>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</si>
  <si>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</si>
  <si>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</si>
  <si>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</si>
  <si>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</si>
  <si>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</si>
  <si>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</si>
  <si>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</si>
  <si>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</si>
  <si>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</si>
  <si>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</si>
  <si>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</si>
  <si>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</si>
  <si>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</si>
  <si>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</si>
  <si>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</si>
  <si>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</si>
  <si>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</si>
  <si>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</si>
  <si>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</si>
  <si>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</si>
  <si>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</si>
  <si>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</si>
  <si>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</si>
  <si>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</si>
  <si>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</si>
  <si>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</si>
  <si>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</si>
  <si>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</si>
  <si>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</si>
  <si>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</si>
  <si>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</si>
  <si>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</si>
  <si>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</si>
  <si>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</si>
  <si>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</si>
  <si>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</si>
  <si>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</si>
  <si>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</si>
  <si>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</si>
  <si>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</si>
  <si>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</si>
  <si>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</si>
  <si>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</si>
  <si>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</si>
  <si>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</si>
  <si>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</si>
  <si>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</si>
  <si>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</si>
  <si>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</si>
  <si>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</si>
  <si>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</si>
  <si>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</si>
  <si>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</si>
  <si>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</si>
  <si>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</si>
  <si>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</si>
  <si>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</si>
  <si>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</si>
  <si>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</si>
  <si>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</si>
  <si>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</si>
  <si>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</si>
  <si>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</si>
  <si>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</si>
  <si>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</si>
  <si>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</si>
  <si>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</si>
  <si>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</si>
  <si>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</si>
  <si>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</si>
  <si>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</si>
  <si>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</si>
  <si>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</si>
  <si>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</si>
  <si>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</si>
  <si>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</si>
  <si>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</si>
  <si>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</si>
  <si>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</si>
  <si>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</si>
  <si>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</si>
  <si>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</si>
  <si>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</si>
  <si>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</si>
  <si>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</si>
  <si>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</si>
  <si>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</si>
  <si>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</si>
  <si>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</si>
  <si>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</si>
  <si>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</si>
  <si>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</si>
  <si>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</si>
  <si>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</si>
  <si>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</si>
  <si>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</si>
  <si>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</si>
  <si>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</si>
  <si>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</si>
  <si>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</si>
  <si>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</si>
  <si>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</si>
  <si>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</si>
  <si>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</si>
  <si>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</si>
  <si>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</si>
  <si>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</si>
  <si>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</si>
  <si>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</si>
  <si>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</si>
  <si>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</si>
  <si>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</si>
  <si>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</si>
  <si>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</si>
  <si>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</si>
  <si>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</si>
  <si>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</si>
  <si>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</si>
  <si>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</si>
  <si>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</si>
  <si>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</si>
  <si>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</si>
  <si>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</si>
  <si>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</si>
  <si>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</si>
  <si>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</si>
  <si>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</si>
  <si>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</si>
  <si>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</si>
  <si>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</si>
  <si>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</si>
  <si>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</si>
  <si>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</si>
  <si>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</si>
  <si>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</si>
  <si>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</si>
  <si>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</si>
  <si>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</si>
  <si>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</si>
  <si>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</si>
  <si>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</si>
  <si>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</si>
  <si>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</si>
  <si>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</si>
  <si>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</si>
  <si>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</si>
  <si>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</si>
  <si>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</si>
  <si>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</si>
  <si>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</si>
  <si>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</si>
  <si>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</si>
  <si>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</si>
  <si>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</si>
  <si>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</si>
  <si>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</si>
  <si>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</si>
  <si>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</si>
  <si>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</si>
  <si>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</si>
  <si>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</si>
  <si>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</si>
  <si>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</si>
  <si>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</si>
  <si>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</si>
  <si>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</si>
  <si>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</si>
  <si>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</si>
  <si>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</si>
  <si>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</si>
  <si>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</si>
  <si>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</si>
  <si>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</si>
  <si>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</si>
  <si>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</si>
  <si>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</si>
  <si>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</si>
  <si>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</si>
  <si>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</si>
  <si>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</si>
  <si>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</si>
  <si>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</si>
  <si>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</si>
  <si>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</si>
  <si>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</si>
  <si>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</si>
  <si>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</si>
  <si>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</si>
  <si>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</si>
  <si>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</si>
  <si>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</si>
  <si>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</si>
  <si>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</si>
  <si>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</si>
  <si>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</si>
  <si>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</si>
  <si>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</si>
  <si>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</si>
  <si>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</si>
  <si>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</si>
  <si>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</si>
  <si>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</si>
  <si>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</si>
  <si>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</si>
  <si>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</si>
  <si>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</si>
  <si>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</si>
  <si>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</si>
  <si>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</si>
  <si>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</si>
  <si>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</si>
  <si>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</si>
  <si>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</si>
  <si>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</si>
  <si>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</si>
  <si>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</si>
  <si>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</si>
  <si>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</si>
  <si>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</si>
  <si>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</si>
  <si>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</si>
  <si>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</si>
  <si>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</si>
  <si>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</si>
  <si>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</si>
  <si>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</si>
  <si>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</si>
  <si>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</si>
  <si>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</si>
  <si>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</si>
  <si>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</si>
  <si>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</si>
  <si>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</si>
  <si>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</si>
  <si>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</si>
  <si>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</si>
  <si>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</si>
  <si>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</si>
  <si>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</si>
  <si>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</si>
  <si>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</si>
  <si>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</si>
  <si>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</si>
  <si>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</si>
  <si>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</si>
  <si>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</si>
  <si>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</si>
  <si>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</si>
  <si>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</si>
  <si>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</si>
  <si>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</si>
  <si>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</si>
  <si>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</si>
  <si>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</si>
  <si>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</si>
  <si>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</si>
  <si>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</si>
  <si>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</si>
  <si>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</si>
  <si>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</si>
  <si>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</si>
  <si>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</si>
  <si>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</si>
  <si>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</si>
  <si>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</si>
  <si>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</si>
  <si>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</si>
  <si>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</si>
  <si>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</si>
  <si>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</si>
  <si>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</si>
  <si>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</si>
  <si>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</si>
  <si>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</si>
  <si>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</si>
  <si>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</si>
  <si>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</si>
  <si>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</si>
  <si>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</si>
  <si>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</si>
  <si>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</si>
  <si>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</si>
  <si>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</si>
  <si>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</si>
  <si>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</si>
  <si>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</si>
  <si>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</si>
  <si>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</si>
  <si>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</si>
  <si>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</si>
  <si>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</si>
  <si>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</si>
  <si>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</si>
  <si>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</si>
  <si>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</si>
  <si>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</si>
  <si>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</si>
  <si>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</si>
  <si>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</si>
  <si>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</si>
  <si>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</si>
  <si>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</si>
  <si>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</si>
  <si>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</si>
  <si>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</si>
  <si>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</si>
  <si>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</si>
  <si>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</si>
  <si>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</si>
  <si>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</si>
  <si>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</si>
  <si>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</si>
  <si>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</si>
  <si>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</si>
  <si>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</si>
  <si>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</si>
  <si>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</si>
  <si>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</si>
  <si>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</si>
  <si>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</si>
  <si>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</si>
  <si>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</si>
  <si>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</si>
  <si>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</si>
  <si>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</si>
  <si>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</si>
  <si>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</si>
  <si>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</si>
  <si>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</si>
  <si>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</si>
  <si>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</si>
  <si>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</si>
  <si>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</si>
  <si>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</si>
  <si>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</si>
  <si>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</si>
  <si>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</si>
  <si>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</si>
  <si>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</si>
  <si>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</si>
  <si>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</si>
  <si>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</si>
  <si>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</si>
  <si>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</si>
  <si>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</si>
  <si>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</si>
  <si>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</si>
  <si>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</si>
  <si>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</si>
  <si>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</si>
  <si>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</si>
  <si>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</si>
  <si>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</si>
  <si>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</si>
  <si>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</si>
  <si>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</si>
  <si>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</si>
  <si>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</si>
  <si>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</si>
  <si>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</si>
  <si>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</si>
  <si>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</si>
  <si>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</si>
  <si>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</si>
  <si>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</si>
  <si>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</si>
  <si>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</si>
  <si>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</si>
  <si>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</si>
  <si>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</si>
  <si>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</si>
  <si>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</si>
  <si>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</si>
  <si>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</si>
  <si>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</si>
  <si>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</si>
  <si>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</si>
  <si>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</si>
  <si>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</si>
  <si>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</si>
  <si>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</si>
  <si>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</si>
  <si>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</si>
  <si>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</si>
  <si>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</si>
  <si>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</si>
  <si>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</si>
  <si>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</si>
  <si>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</si>
  <si>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</si>
  <si>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</si>
  <si>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</si>
  <si>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</si>
  <si>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</si>
  <si>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</si>
  <si>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</si>
  <si>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</si>
  <si>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</si>
  <si>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</si>
  <si>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</si>
  <si>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</si>
  <si>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</si>
  <si>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</si>
  <si>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</si>
  <si>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</si>
  <si>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</si>
  <si>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</si>
  <si>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</si>
  <si>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</si>
  <si>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</si>
  <si>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</si>
  <si>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</si>
  <si>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</si>
  <si>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</si>
  <si>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</si>
  <si>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</si>
  <si>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</si>
  <si>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</si>
  <si>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</si>
  <si>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</si>
  <si>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</si>
  <si>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</si>
  <si>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</si>
  <si>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</si>
  <si>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</si>
  <si>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</si>
  <si>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</si>
  <si>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</si>
  <si>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</si>
  <si>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</si>
  <si>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</si>
  <si>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</si>
  <si>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</si>
  <si>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</si>
  <si>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</si>
  <si>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</si>
  <si>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</si>
  <si>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</si>
  <si>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</si>
  <si>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</si>
  <si>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</si>
  <si>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</si>
  <si>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</si>
  <si>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</si>
  <si>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</si>
  <si>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</si>
  <si>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</si>
  <si>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</si>
  <si>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</si>
  <si>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</si>
  <si>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</si>
  <si>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</si>
  <si>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</si>
  <si>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</si>
  <si>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</si>
  <si>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</si>
  <si>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</si>
  <si>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</si>
  <si>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</si>
  <si>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</si>
  <si>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</si>
  <si>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</si>
  <si>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</si>
  <si>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</si>
  <si>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</si>
  <si>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</si>
  <si>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</si>
  <si>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</si>
  <si>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</si>
  <si>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</si>
  <si>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</si>
  <si>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</si>
  <si>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</si>
  <si>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</si>
  <si>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</si>
  <si>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</si>
  <si>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</si>
  <si>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</si>
  <si>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</si>
  <si>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</si>
  <si>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</si>
  <si>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</si>
  <si>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</si>
  <si>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</si>
  <si>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</si>
  <si>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</si>
  <si>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</si>
  <si>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</si>
  <si>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</si>
  <si>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</si>
  <si>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</si>
  <si>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</si>
  <si>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</si>
  <si>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</si>
  <si>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</si>
  <si>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</si>
  <si>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</si>
  <si>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</si>
  <si>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</si>
  <si>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</si>
  <si>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</si>
  <si>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</si>
  <si>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</si>
  <si>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</si>
  <si>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</si>
  <si>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</si>
  <si>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</si>
  <si>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</si>
  <si>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</si>
  <si>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</si>
  <si>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</si>
  <si>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</si>
  <si>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</si>
  <si>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</si>
  <si>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</si>
  <si>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</si>
  <si>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</si>
  <si>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</si>
  <si>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</si>
  <si>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</si>
  <si>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</si>
  <si>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</si>
  <si>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</si>
  <si>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</si>
  <si>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</si>
  <si>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</si>
  <si>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</si>
  <si>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</si>
  <si>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</si>
  <si>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</si>
  <si>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</si>
  <si>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</si>
  <si>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</si>
  <si>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</si>
  <si>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</si>
  <si>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</si>
  <si>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</si>
  <si>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</si>
  <si>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</si>
  <si>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</si>
  <si>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</si>
  <si>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</si>
  <si>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</si>
  <si>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</si>
  <si>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</si>
  <si>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</si>
  <si>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</si>
  <si>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</si>
  <si>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</si>
  <si>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</si>
  <si>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</si>
  <si>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</si>
  <si>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</si>
  <si>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</si>
  <si>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</si>
  <si>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</si>
  <si>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</si>
  <si>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</si>
  <si>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</si>
  <si>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</si>
  <si>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</si>
  <si>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</si>
  <si>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</si>
  <si>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</si>
  <si>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</si>
  <si>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</si>
  <si>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</si>
  <si>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</si>
  <si>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</si>
  <si>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</si>
  <si>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</si>
  <si>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</si>
  <si>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</si>
  <si>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</si>
  <si>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</si>
  <si>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</si>
  <si>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</si>
  <si>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</si>
  <si>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</si>
  <si>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</si>
  <si>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</si>
  <si>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</si>
  <si>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</si>
  <si>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</si>
  <si>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</si>
  <si>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</si>
  <si>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</si>
  <si>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</si>
  <si>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</si>
  <si>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</si>
  <si>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</si>
  <si>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</si>
  <si>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</si>
  <si>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</si>
  <si>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</si>
  <si>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</si>
  <si>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</si>
  <si>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</si>
  <si>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</si>
  <si>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</si>
  <si>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</si>
  <si>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</si>
  <si>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</si>
  <si>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</si>
  <si>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</si>
  <si>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</si>
  <si>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</si>
  <si>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</si>
  <si>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</si>
  <si>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</si>
  <si>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</si>
  <si>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</si>
  <si>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</si>
  <si>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</si>
  <si>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</si>
  <si>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</si>
  <si>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</si>
  <si>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</si>
  <si>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</si>
  <si>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</si>
  <si>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</si>
  <si>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</si>
  <si>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</si>
  <si>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</si>
  <si>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</si>
  <si>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</si>
  <si>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</si>
  <si>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</si>
  <si>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</si>
  <si>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</si>
  <si>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</si>
  <si>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</si>
  <si>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</si>
  <si>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</si>
  <si>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</si>
  <si>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</si>
  <si>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</si>
  <si>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</si>
  <si>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</si>
  <si>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</si>
  <si>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</si>
  <si>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</si>
  <si>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</si>
  <si>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</si>
  <si>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</si>
  <si>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</si>
  <si>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</si>
  <si>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</si>
  <si>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</si>
  <si>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</si>
  <si>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</si>
  <si>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</si>
  <si>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</si>
  <si>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</si>
  <si>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</si>
  <si>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</si>
  <si>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</si>
  <si>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</si>
  <si>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</si>
  <si>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</si>
  <si>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</si>
  <si>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</si>
  <si>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</si>
  <si>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</si>
  <si>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</si>
  <si>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</si>
  <si>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</si>
  <si>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</si>
  <si>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</si>
  <si>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</si>
  <si>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</si>
  <si>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</si>
  <si>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</si>
  <si>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</si>
  <si>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</si>
  <si>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</si>
  <si>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</si>
  <si>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</si>
  <si>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</si>
  <si>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</si>
  <si>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</si>
  <si>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</si>
  <si>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</si>
  <si>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</si>
  <si>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</si>
  <si>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</si>
  <si>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</si>
  <si>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</si>
  <si>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</si>
  <si>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</si>
  <si>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</si>
  <si>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</si>
  <si>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</si>
  <si>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</si>
  <si>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</si>
  <si>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</si>
  <si>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</si>
  <si>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</si>
  <si>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</si>
  <si>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</si>
  <si>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</si>
  <si>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</si>
  <si>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</si>
  <si>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</si>
  <si>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</si>
  <si>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</si>
  <si>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</si>
  <si>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</si>
  <si>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</si>
  <si>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</si>
  <si>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</si>
  <si>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</si>
  <si>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</si>
  <si>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</si>
  <si>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</si>
  <si>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</si>
  <si>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</si>
  <si>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</si>
  <si>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</si>
  <si>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</si>
  <si>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</si>
  <si>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</si>
  <si>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</si>
  <si>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</si>
  <si>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</si>
  <si>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</si>
  <si>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</si>
  <si>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</si>
  <si>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</si>
  <si>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</si>
  <si>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</si>
  <si>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</si>
  <si>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</si>
  <si>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</si>
  <si>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</si>
  <si>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</si>
  <si>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</si>
  <si>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</si>
  <si>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</si>
  <si>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</si>
  <si>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</si>
  <si>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</si>
  <si>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</si>
  <si>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</si>
  <si>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</si>
  <si>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</si>
  <si>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</si>
  <si>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</si>
  <si>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</si>
  <si>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</si>
  <si>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</si>
  <si>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</si>
  <si>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</si>
  <si>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</si>
  <si>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</si>
  <si>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</si>
  <si>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</si>
  <si>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</si>
  <si>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</si>
  <si>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</si>
  <si>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</si>
  <si>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</si>
  <si>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</si>
  <si>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</si>
  <si>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</si>
  <si>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</si>
  <si>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</si>
  <si>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</si>
  <si>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</si>
  <si>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</si>
  <si>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</si>
  <si>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</si>
  <si>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</si>
  <si>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</si>
  <si>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</si>
  <si>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</si>
  <si>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</si>
  <si>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</si>
  <si>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</si>
  <si>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</si>
  <si>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</si>
  <si>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</si>
  <si>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</si>
  <si>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</si>
  <si>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</si>
  <si>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</si>
  <si>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</si>
  <si>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</si>
  <si>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</si>
  <si>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</si>
  <si>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</si>
  <si>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</si>
  <si>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</si>
  <si>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</si>
  <si>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</si>
  <si>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</si>
  <si>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</si>
  <si>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</si>
  <si>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</si>
  <si>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</si>
  <si>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</si>
  <si>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</si>
  <si>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</si>
  <si>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</si>
  <si>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</si>
  <si>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</si>
  <si>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</si>
  <si>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</si>
  <si>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</si>
  <si>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</si>
  <si>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</si>
  <si>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</si>
  <si>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</si>
  <si>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</si>
  <si>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</si>
  <si>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</si>
  <si>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</si>
  <si>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</si>
  <si>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</si>
  <si>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</si>
  <si>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</si>
  <si>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</si>
  <si>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</si>
  <si>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</si>
  <si>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</si>
  <si>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</si>
  <si>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</si>
  <si>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</si>
  <si>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</si>
  <si>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</si>
  <si>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</si>
  <si>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</si>
  <si>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</si>
  <si>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</si>
  <si>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</si>
  <si>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</si>
  <si>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</si>
  <si>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</si>
  <si>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</si>
  <si>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</si>
  <si>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</si>
  <si>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</si>
  <si>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</si>
  <si>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</si>
  <si>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</si>
  <si>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</si>
  <si>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</si>
  <si>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</si>
  <si>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</si>
  <si>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</si>
  <si>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</si>
  <si>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</si>
  <si>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</si>
  <si>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</si>
  <si>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</si>
  <si>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</si>
  <si>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</si>
  <si>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</si>
  <si>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</si>
  <si>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</si>
  <si>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</si>
  <si>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</si>
  <si>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</si>
  <si>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</si>
  <si>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</si>
  <si>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</si>
  <si>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</si>
  <si>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</si>
  <si>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</si>
  <si>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</si>
  <si>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</si>
  <si>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</si>
  <si>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</si>
  <si>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</si>
  <si>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</si>
  <si>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</si>
  <si>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</si>
  <si>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</si>
  <si>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</si>
  <si>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</si>
  <si>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</si>
  <si>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</si>
  <si>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</si>
  <si>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</si>
  <si>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</si>
  <si>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</si>
  <si>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</si>
  <si>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</si>
  <si>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</si>
  <si>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</si>
  <si>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</si>
  <si>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</si>
  <si>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</si>
  <si>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</si>
  <si>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</si>
  <si>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</si>
  <si>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</si>
  <si>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</si>
  <si>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</si>
  <si>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</si>
  <si>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</si>
  <si>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</si>
  <si>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</si>
  <si>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</si>
  <si>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</si>
  <si>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</si>
  <si>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</si>
  <si>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</si>
  <si>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</si>
  <si>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</si>
  <si>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</si>
  <si>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</si>
  <si>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</si>
  <si>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</si>
  <si>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</si>
  <si>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</si>
  <si>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</si>
  <si>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</si>
  <si>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</si>
  <si>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</si>
  <si>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</si>
  <si>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</si>
  <si>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</si>
  <si>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</si>
  <si>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</si>
  <si>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</si>
  <si>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</si>
  <si>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</si>
  <si>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</si>
  <si>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</si>
  <si>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</si>
  <si>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</si>
  <si>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</si>
  <si>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</si>
  <si>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</si>
  <si>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</si>
  <si>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</si>
  <si>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</si>
  <si>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</si>
  <si>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</si>
  <si>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</si>
  <si>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</si>
  <si>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</si>
  <si>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</si>
  <si>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</si>
  <si>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</si>
  <si>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</si>
  <si>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</si>
  <si>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</si>
  <si>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</si>
  <si>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</si>
  <si>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</si>
  <si>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</si>
  <si>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</si>
  <si>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</si>
  <si>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</si>
  <si>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</si>
  <si>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</si>
  <si>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</si>
  <si>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</si>
  <si>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</si>
  <si>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</si>
  <si>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</si>
  <si>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</si>
  <si>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</si>
  <si>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</si>
  <si>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</si>
  <si>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</si>
  <si>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</si>
  <si>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</si>
  <si>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</si>
  <si>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</si>
  <si>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</si>
  <si>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</si>
  <si>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</si>
  <si>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</si>
  <si>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</si>
  <si>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</si>
  <si>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</si>
  <si>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</si>
  <si>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</si>
  <si>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</si>
  <si>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</si>
  <si>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</si>
  <si>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</si>
  <si>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</si>
  <si>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</si>
  <si>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</si>
  <si>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</si>
  <si>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</si>
  <si>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</si>
  <si>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</si>
  <si>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</si>
  <si>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</si>
  <si>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</si>
  <si>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</si>
  <si>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</si>
  <si>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</si>
  <si>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</si>
  <si>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</si>
  <si>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</si>
  <si>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</si>
  <si>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</si>
  <si>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</si>
  <si>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</si>
  <si>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</si>
  <si>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</si>
  <si>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</si>
  <si>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</si>
  <si>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</si>
  <si>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</si>
  <si>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</si>
  <si>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</si>
  <si>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</si>
  <si>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</si>
  <si>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</si>
  <si>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</si>
  <si>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</si>
  <si>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</si>
  <si>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</si>
  <si>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</si>
  <si>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</si>
  <si>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</si>
  <si>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</si>
  <si>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</si>
  <si>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</si>
  <si>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</si>
  <si>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</si>
  <si>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</si>
  <si>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</si>
  <si>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</si>
  <si>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</si>
  <si>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</si>
  <si>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</si>
  <si>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</si>
  <si>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</si>
  <si>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</si>
  <si>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</si>
  <si>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</si>
  <si>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</si>
  <si>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</si>
  <si>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</si>
  <si>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</si>
  <si>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</si>
  <si>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</si>
  <si>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</si>
  <si>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</si>
  <si>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</si>
  <si>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</si>
  <si>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</si>
  <si>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</si>
  <si>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</si>
  <si>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</si>
  <si>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</si>
  <si>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</si>
  <si>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</si>
  <si>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</si>
  <si>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</si>
  <si>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</si>
  <si>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</si>
  <si>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</si>
  <si>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</si>
  <si>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</si>
  <si>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</si>
  <si>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</si>
  <si>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</si>
  <si>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</si>
  <si>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</si>
  <si>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</si>
  <si>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</si>
  <si>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</si>
  <si>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</si>
  <si>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</si>
  <si>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</si>
  <si>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</si>
  <si>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</si>
  <si>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</si>
  <si>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</si>
  <si>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</si>
  <si>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</si>
  <si>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</si>
  <si>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</si>
  <si>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</si>
  <si>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</si>
  <si>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</si>
  <si>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</si>
  <si>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</si>
  <si>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</si>
  <si>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</si>
  <si>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</si>
  <si>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</si>
  <si>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</si>
  <si>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</si>
  <si>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</si>
  <si>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</si>
  <si>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</si>
  <si>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</si>
  <si>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</si>
  <si>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</si>
  <si>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</si>
  <si>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</si>
  <si>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</si>
  <si>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</si>
  <si>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</si>
  <si>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</si>
  <si>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</si>
  <si>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</si>
  <si>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</si>
  <si>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</si>
  <si>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</si>
  <si>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</si>
  <si>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</si>
  <si>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</si>
  <si>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</si>
  <si>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</si>
  <si>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</si>
  <si>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</si>
  <si>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</si>
  <si>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</si>
  <si>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</si>
  <si>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</si>
  <si>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</si>
  <si>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</si>
  <si>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</si>
  <si>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</si>
  <si>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</si>
  <si>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</si>
  <si>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</si>
  <si>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</si>
  <si>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</si>
  <si>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</si>
  <si>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</si>
  <si>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</si>
  <si>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</si>
  <si>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</si>
  <si>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</si>
  <si>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</si>
  <si>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</si>
  <si>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</si>
  <si>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</si>
  <si>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</si>
  <si>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</si>
  <si>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</si>
  <si>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</si>
  <si>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</si>
  <si>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</si>
  <si>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</si>
  <si>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</si>
  <si>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</si>
  <si>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</si>
  <si>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</si>
  <si>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</si>
  <si>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</si>
  <si>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</si>
  <si>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</si>
  <si>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</si>
  <si>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</si>
  <si>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</si>
  <si>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</si>
  <si>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</si>
  <si>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</si>
  <si>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</si>
  <si>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</si>
  <si>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</si>
  <si>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</si>
  <si>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</si>
  <si>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</si>
  <si>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</si>
  <si>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</si>
  <si>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</si>
  <si>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</si>
  <si>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</si>
  <si>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</si>
  <si>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</si>
  <si>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</si>
  <si>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</si>
  <si>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</si>
  <si>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</si>
  <si>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</si>
  <si>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</si>
  <si>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</si>
  <si>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</si>
  <si>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</si>
  <si>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</si>
  <si>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</si>
  <si>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</si>
  <si>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</si>
  <si>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</si>
  <si>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</si>
  <si>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</si>
  <si>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</si>
  <si>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</si>
  <si>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</si>
  <si>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</si>
  <si>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</si>
  <si>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</si>
  <si>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</si>
  <si>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</si>
  <si>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</si>
  <si>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</si>
  <si>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</si>
  <si>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</si>
  <si>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</si>
  <si>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</si>
  <si>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</si>
  <si>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</si>
  <si>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</si>
  <si>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</si>
  <si>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</si>
  <si>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</si>
  <si>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</si>
  <si>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</si>
  <si>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</si>
  <si>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</si>
  <si>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</si>
  <si>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</si>
  <si>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</si>
  <si>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</si>
  <si>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</si>
  <si>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</si>
  <si>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</si>
  <si>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</si>
  <si>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</si>
  <si>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</si>
  <si>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</si>
  <si>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</si>
  <si>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</si>
  <si>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</si>
  <si>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</si>
  <si>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</si>
  <si>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</si>
  <si>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</si>
  <si>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</si>
  <si>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</si>
  <si>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</si>
  <si>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</si>
  <si>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</si>
  <si>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</si>
  <si>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</si>
  <si>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</si>
  <si>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</si>
  <si>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</si>
  <si>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</si>
  <si>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</si>
  <si>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</si>
  <si>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</si>
  <si>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</si>
  <si>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</si>
  <si>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</si>
  <si>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</si>
  <si>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</si>
  <si>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</si>
  <si>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</si>
  <si>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</si>
  <si>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</si>
  <si>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</si>
  <si>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</si>
  <si>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</si>
  <si>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</si>
  <si>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</si>
  <si>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</si>
  <si>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</si>
  <si>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</si>
  <si>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</si>
  <si>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</si>
  <si>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</si>
  <si>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</si>
  <si>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</si>
  <si>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</si>
  <si>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</si>
  <si>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</si>
  <si>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</si>
  <si>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</si>
  <si>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</si>
  <si>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</si>
  <si>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</si>
  <si>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</si>
  <si>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</si>
  <si>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</si>
  <si>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</si>
  <si>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</si>
  <si>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</si>
  <si>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</si>
  <si>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</si>
  <si>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</si>
  <si>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</si>
  <si>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</si>
  <si>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</si>
  <si>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</si>
  <si>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</si>
  <si>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</si>
  <si>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</si>
  <si>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</si>
  <si>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</si>
  <si>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</si>
  <si>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</si>
  <si>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</si>
  <si>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</si>
  <si>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</si>
  <si>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</si>
  <si>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</si>
  <si>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</si>
  <si>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</si>
  <si>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</si>
  <si>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</si>
  <si>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</si>
  <si>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</si>
  <si>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</si>
  <si>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</si>
  <si>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</si>
  <si>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</si>
  <si>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</si>
  <si>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</si>
  <si>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</si>
  <si>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</si>
  <si>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</si>
  <si>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</si>
  <si>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</si>
  <si>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</si>
  <si>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</si>
  <si>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</si>
  <si>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</si>
  <si>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</si>
  <si>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</si>
  <si>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</si>
  <si>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</si>
  <si>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</si>
  <si>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</si>
  <si>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</si>
  <si>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</si>
  <si>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</si>
  <si>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</si>
  <si>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</si>
  <si>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</si>
  <si>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</si>
  <si>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</si>
  <si>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</si>
  <si>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</si>
  <si>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</si>
  <si>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</si>
  <si>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</si>
  <si>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</si>
  <si>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</si>
  <si>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</si>
  <si>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</si>
  <si>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</si>
  <si>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</si>
  <si>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</si>
  <si>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</si>
  <si>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</si>
  <si>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</si>
  <si>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</si>
  <si>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</si>
  <si>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</si>
  <si>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</si>
  <si>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</si>
  <si>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</si>
  <si>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</si>
  <si>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</si>
  <si>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</si>
  <si>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</si>
  <si>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</si>
  <si>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</si>
  <si>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</si>
  <si>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</si>
  <si>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</si>
  <si>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</si>
  <si>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</si>
  <si>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</si>
  <si>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</si>
  <si>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</si>
  <si>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</si>
  <si>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</si>
  <si>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</si>
  <si>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</si>
  <si>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</si>
  <si>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</si>
  <si>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</si>
  <si>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</si>
  <si>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</si>
  <si>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</si>
  <si>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</si>
  <si>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</si>
  <si>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</si>
  <si>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</si>
  <si>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</si>
  <si>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</si>
  <si>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</si>
  <si>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</si>
  <si>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</si>
  <si>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</si>
  <si>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</si>
  <si>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</si>
  <si>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</si>
  <si>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</si>
  <si>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</si>
  <si>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</si>
  <si>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</si>
  <si>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</si>
  <si>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</si>
  <si>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</si>
  <si>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</si>
  <si>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</si>
  <si>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</si>
  <si>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</si>
  <si>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</si>
  <si>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</si>
  <si>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</si>
  <si>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</si>
  <si>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</si>
  <si>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</si>
  <si>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</si>
  <si>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</si>
  <si>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</si>
  <si>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</si>
  <si>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</si>
  <si>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</si>
  <si>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</si>
  <si>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</si>
  <si>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</si>
  <si>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</si>
  <si>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</si>
  <si>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</si>
  <si>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</si>
  <si>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</si>
  <si>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</si>
  <si>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</si>
  <si>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</si>
  <si>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</si>
  <si>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</si>
  <si>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</si>
  <si>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</si>
  <si>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</si>
  <si>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</si>
  <si>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</si>
  <si>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</si>
  <si>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</si>
  <si>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</si>
  <si>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</si>
  <si>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</si>
  <si>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</si>
  <si>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</si>
  <si>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</si>
  <si>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</si>
  <si>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</si>
  <si>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</si>
  <si>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</si>
  <si>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</si>
  <si>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</si>
  <si>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</si>
  <si>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</si>
  <si>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</si>
  <si>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</si>
  <si>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</si>
  <si>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</si>
  <si>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</si>
  <si>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</si>
  <si>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</si>
  <si>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</si>
  <si>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</si>
  <si>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</si>
  <si>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</si>
  <si>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</si>
  <si>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</si>
  <si>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</si>
  <si>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</si>
  <si>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</si>
  <si>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</si>
  <si>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</si>
  <si>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</si>
  <si>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</si>
  <si>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</si>
  <si>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</si>
  <si>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</si>
  <si>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</si>
  <si>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</si>
  <si>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</si>
  <si>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</si>
  <si>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</si>
  <si>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</si>
  <si>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</si>
  <si>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</si>
  <si>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</si>
  <si>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</si>
  <si>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</si>
  <si>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</si>
  <si>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</si>
  <si>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</si>
  <si>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</si>
  <si>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</si>
  <si>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</si>
  <si>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</si>
  <si>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</si>
  <si>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</si>
  <si>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</si>
  <si>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</si>
  <si>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</si>
  <si>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</si>
  <si>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</si>
  <si>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</si>
  <si>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</si>
  <si>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</si>
  <si>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</si>
  <si>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</si>
  <si>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</si>
  <si>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</si>
  <si>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</si>
  <si>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</si>
  <si>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</si>
  <si>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</si>
  <si>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</si>
  <si>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</si>
  <si>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</si>
  <si>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</si>
  <si>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</si>
  <si>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</si>
  <si>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</si>
  <si>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</si>
  <si>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</si>
  <si>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</si>
  <si>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</si>
  <si>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</si>
  <si>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</si>
  <si>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</si>
  <si>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</si>
  <si>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</si>
  <si>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</si>
  <si>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</si>
  <si>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</si>
  <si>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</si>
  <si>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</si>
  <si>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</si>
  <si>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</si>
  <si>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</si>
  <si>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</si>
  <si>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</si>
  <si>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</si>
  <si>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</si>
  <si>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</si>
  <si>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</si>
  <si>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</si>
  <si>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</si>
  <si>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</si>
  <si>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</si>
  <si>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</si>
  <si>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</si>
  <si>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</si>
  <si>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</si>
  <si>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</si>
  <si>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</si>
  <si>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</si>
  <si>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</si>
  <si>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</si>
  <si>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</si>
  <si>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</si>
  <si>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</si>
  <si>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</si>
  <si>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</si>
  <si>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</si>
  <si>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</si>
  <si>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</si>
  <si>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</si>
  <si>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</si>
  <si>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</si>
  <si>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</si>
  <si>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</si>
  <si>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</si>
  <si>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</si>
  <si>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</si>
  <si>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</si>
  <si>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</si>
  <si>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</si>
  <si>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</si>
  <si>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</si>
  <si>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</si>
  <si>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</si>
  <si>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</si>
  <si>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</si>
  <si>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</si>
  <si>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</si>
  <si>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</si>
  <si>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</si>
  <si>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</si>
  <si>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</si>
  <si>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</si>
  <si>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</si>
  <si>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</si>
  <si>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</si>
  <si>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</si>
  <si>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</si>
  <si>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</si>
  <si>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</si>
  <si>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</si>
  <si>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</si>
  <si>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</si>
  <si>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</si>
  <si>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</si>
  <si>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</si>
  <si>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</si>
  <si>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</si>
  <si>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</si>
  <si>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</si>
  <si>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</si>
  <si>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</si>
  <si>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</si>
  <si>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</si>
  <si>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</si>
  <si>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</si>
  <si>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</si>
  <si>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</si>
  <si>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</si>
  <si>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</si>
  <si>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</si>
  <si>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</si>
  <si>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</si>
  <si>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</si>
  <si>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</si>
  <si>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</si>
  <si>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</si>
  <si>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</si>
  <si>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</si>
  <si>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</si>
  <si>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</si>
  <si>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</si>
  <si>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</si>
  <si>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</si>
  <si>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</si>
  <si>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</si>
  <si>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</si>
  <si>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</si>
  <si>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</si>
  <si>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</si>
  <si>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</si>
  <si>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</si>
  <si>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</si>
  <si>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</si>
  <si>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</si>
  <si>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</si>
  <si>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</si>
  <si>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</si>
  <si>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</si>
  <si>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</si>
  <si>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</si>
  <si>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</si>
  <si>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</si>
  <si>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</si>
  <si>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</si>
  <si>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</si>
  <si>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</si>
  <si>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</si>
  <si>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</si>
  <si>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</si>
  <si>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</si>
  <si>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</si>
  <si>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</si>
  <si>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</si>
  <si>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</si>
  <si>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</si>
  <si>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</si>
  <si>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</si>
  <si>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</si>
  <si>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</si>
  <si>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</si>
  <si>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</si>
  <si>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</si>
  <si>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</si>
  <si>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</si>
  <si>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</si>
  <si>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</si>
  <si>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</si>
  <si>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</si>
  <si>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</si>
  <si>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</si>
  <si>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</si>
  <si>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</si>
  <si>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</si>
  <si>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</si>
  <si>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</si>
  <si>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</si>
  <si>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</si>
  <si>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</si>
  <si>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</si>
  <si>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</si>
  <si>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</si>
  <si>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</si>
  <si>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</si>
  <si>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</si>
  <si>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</si>
  <si>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</si>
  <si>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</si>
  <si>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</si>
  <si>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</si>
  <si>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</si>
  <si>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</si>
  <si>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</si>
  <si>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</si>
  <si>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</si>
  <si>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</si>
  <si>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</si>
  <si>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</si>
  <si>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</si>
  <si>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</si>
  <si>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</si>
  <si>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</si>
  <si>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</si>
  <si>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</si>
  <si>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</si>
  <si>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</si>
  <si>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</si>
  <si>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</si>
  <si>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</si>
  <si>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</si>
  <si>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</si>
  <si>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</si>
  <si>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</si>
  <si>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</si>
  <si>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</si>
  <si>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</si>
  <si>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</si>
  <si>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</si>
  <si>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</si>
  <si>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</si>
  <si>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</si>
  <si>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</si>
  <si>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</si>
  <si>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</si>
  <si>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</si>
  <si>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</si>
  <si>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</si>
  <si>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</si>
  <si>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</si>
  <si>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</si>
  <si>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</si>
  <si>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</si>
  <si>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</si>
  <si>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</si>
  <si>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</si>
  <si>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</si>
  <si>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</si>
  <si>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</si>
  <si>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</si>
  <si>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</si>
  <si>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</si>
  <si>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</si>
  <si>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</si>
  <si>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</si>
  <si>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</si>
  <si>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</si>
  <si>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</si>
  <si>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</si>
  <si>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</si>
  <si>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</si>
  <si>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</si>
  <si>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</si>
  <si>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</si>
  <si>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</si>
  <si>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</si>
  <si>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</si>
  <si>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</si>
  <si>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</si>
  <si>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</si>
  <si>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</si>
  <si>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</si>
  <si>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</si>
  <si>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</si>
  <si>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</si>
  <si>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</si>
  <si>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</si>
  <si>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</si>
  <si>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</si>
  <si>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</si>
  <si>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</si>
  <si>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</si>
  <si>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</si>
  <si>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</si>
  <si>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</si>
  <si>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</si>
  <si>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</si>
  <si>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</si>
  <si>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</si>
  <si>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</si>
  <si>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</si>
  <si>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</si>
  <si>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</si>
  <si>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</si>
  <si>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</si>
  <si>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</si>
  <si>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</si>
  <si>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</si>
  <si>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</si>
  <si>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</si>
  <si>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</si>
  <si>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</si>
  <si>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</si>
  <si>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</si>
  <si>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</si>
  <si>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</si>
  <si>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</si>
  <si>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</si>
  <si>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</si>
  <si>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</si>
  <si>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</si>
  <si>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</si>
  <si>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</si>
  <si>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</si>
  <si>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</si>
  <si>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</si>
  <si>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</si>
  <si>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</si>
  <si>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</si>
  <si>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</si>
  <si>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</si>
  <si>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</si>
  <si>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</si>
  <si>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</si>
  <si>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</si>
  <si>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</si>
  <si>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</si>
  <si>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</si>
  <si>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</si>
  <si>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</si>
  <si>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</si>
  <si>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</si>
  <si>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</si>
  <si>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</si>
  <si>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</si>
  <si>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</si>
  <si>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</si>
  <si>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</si>
  <si>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</si>
  <si>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</si>
  <si>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</si>
  <si>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</si>
  <si>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</si>
  <si>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</si>
  <si>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</si>
  <si>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</si>
  <si>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</si>
  <si>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</si>
  <si>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</si>
  <si>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</si>
  <si>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</si>
  <si>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</si>
  <si>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</si>
  <si>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</si>
  <si>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</si>
  <si>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</si>
  <si>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</si>
  <si>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</si>
  <si>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</si>
  <si>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</si>
  <si>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</si>
  <si>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</si>
  <si>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</si>
  <si>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</si>
  <si>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</si>
  <si>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</si>
  <si>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</si>
  <si>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</si>
  <si>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</si>
  <si>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</si>
  <si>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</si>
  <si>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</si>
  <si>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</si>
  <si>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</si>
  <si>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</si>
  <si>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</si>
  <si>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</si>
  <si>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</si>
  <si>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</si>
  <si>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</si>
  <si>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</si>
  <si>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</si>
  <si>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</si>
  <si>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</si>
  <si>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</si>
  <si>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</si>
  <si>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</si>
  <si>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</si>
  <si>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</si>
  <si>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</si>
  <si>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</si>
  <si>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</si>
  <si>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</si>
  <si>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</si>
  <si>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</si>
  <si>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</si>
  <si>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</si>
  <si>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</si>
  <si>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</si>
  <si>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</si>
  <si>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</si>
  <si>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</si>
  <si>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</si>
  <si>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</si>
  <si>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</si>
  <si>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</si>
  <si>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</si>
  <si>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</si>
  <si>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</si>
  <si>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</si>
  <si>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</si>
  <si>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</si>
  <si>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</si>
  <si>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</si>
  <si>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</si>
  <si>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</si>
  <si>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</si>
  <si>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</si>
  <si>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</si>
  <si>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</si>
  <si>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</si>
  <si>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</si>
  <si>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</si>
  <si>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</si>
  <si>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</si>
  <si>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</si>
  <si>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</si>
  <si>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</si>
  <si>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</si>
  <si>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</si>
  <si>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</si>
  <si>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</si>
  <si>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</si>
  <si>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</si>
  <si>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</si>
  <si>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</si>
  <si>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</si>
  <si>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</si>
  <si>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</si>
  <si>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</si>
  <si>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</si>
  <si>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</si>
  <si>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</si>
  <si>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</si>
  <si>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</si>
  <si>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</si>
  <si>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</si>
  <si>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</si>
  <si>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</si>
  <si>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</si>
  <si>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</si>
  <si>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</si>
  <si>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</si>
  <si>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</si>
  <si>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</si>
  <si>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</si>
  <si>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</si>
  <si>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</si>
  <si>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</si>
  <si>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</si>
  <si>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</si>
  <si>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</si>
  <si>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</si>
  <si>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</si>
  <si>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</si>
  <si>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</si>
  <si>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</si>
  <si>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</si>
  <si>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</si>
  <si>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</si>
  <si>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</si>
  <si>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</si>
  <si>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</si>
  <si>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</si>
  <si>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</si>
  <si>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</si>
  <si>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</si>
  <si>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</si>
  <si>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</si>
  <si>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</si>
  <si>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</si>
  <si>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</si>
  <si>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</si>
  <si>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</si>
  <si>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</si>
  <si>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</si>
  <si>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</si>
  <si>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</si>
  <si>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</si>
  <si>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</si>
  <si>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</si>
  <si>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</si>
  <si>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</si>
  <si>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</si>
  <si>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</si>
  <si>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</si>
  <si>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</si>
  <si>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</si>
  <si>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</si>
  <si>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</si>
  <si>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</si>
  <si>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</si>
  <si>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</si>
  <si>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</si>
  <si>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</si>
  <si>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</si>
  <si>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</si>
  <si>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</si>
  <si>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</si>
  <si>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</si>
  <si>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</si>
  <si>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</si>
  <si>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</si>
  <si>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</si>
  <si>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</si>
  <si>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</si>
  <si>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</si>
  <si>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</si>
  <si>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</si>
  <si>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</si>
  <si>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</si>
  <si>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</si>
  <si>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</si>
  <si>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</si>
  <si>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</si>
  <si>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</si>
  <si>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</si>
  <si>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</si>
  <si>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</si>
  <si>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</si>
  <si>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</si>
  <si>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</si>
  <si>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</si>
  <si>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</si>
  <si>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</si>
  <si>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</si>
  <si>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</si>
  <si>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</si>
  <si>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</si>
  <si>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</si>
  <si>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</si>
  <si>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</si>
  <si>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</si>
  <si>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</si>
  <si>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</si>
  <si>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</si>
  <si>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</si>
  <si>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</si>
  <si>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</si>
  <si>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</si>
  <si>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</si>
  <si>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</si>
  <si>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</si>
  <si>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</si>
  <si>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</si>
  <si>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</si>
  <si>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</si>
  <si>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</si>
  <si>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</si>
  <si>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</si>
  <si>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</si>
  <si>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</si>
  <si>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</si>
  <si>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</si>
  <si>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</si>
  <si>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</si>
  <si>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</si>
  <si>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</si>
  <si>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</si>
  <si>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</si>
  <si>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</si>
  <si>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</si>
  <si>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</si>
  <si>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</si>
  <si>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</si>
  <si>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</si>
  <si>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</si>
  <si>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</si>
  <si>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</si>
  <si>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</si>
  <si>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</si>
  <si>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</si>
  <si>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</si>
  <si>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</si>
  <si>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</si>
  <si>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</si>
  <si>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</si>
  <si>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</si>
  <si>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</si>
  <si>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</si>
  <si>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</si>
  <si>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</si>
  <si>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</si>
  <si>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</si>
  <si>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</si>
  <si>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</si>
  <si>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</si>
  <si>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</si>
  <si>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</si>
  <si>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</si>
  <si>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</si>
  <si>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</si>
  <si>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</si>
  <si>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</si>
  <si>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</si>
  <si>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</si>
  <si>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</si>
  <si>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</si>
  <si>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</si>
  <si>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</si>
  <si>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</si>
  <si>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</si>
  <si>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</si>
  <si>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</si>
  <si>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</si>
  <si>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</si>
  <si>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</si>
  <si>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</si>
  <si>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</si>
  <si>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</si>
  <si>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</si>
  <si>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</si>
  <si>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</si>
  <si>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</si>
  <si>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</si>
  <si>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</si>
  <si>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</si>
  <si>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</si>
  <si>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</si>
  <si>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</si>
  <si>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</si>
  <si>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</si>
  <si>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</si>
  <si>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</si>
  <si>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</si>
  <si>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</si>
  <si>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</si>
  <si>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</si>
  <si>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</si>
  <si>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</si>
  <si>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</si>
  <si>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</si>
  <si>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</si>
  <si>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</si>
  <si>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</si>
  <si>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</si>
  <si>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</si>
  <si>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</si>
  <si>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</si>
  <si>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</si>
  <si>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</si>
  <si>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</si>
  <si>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</si>
  <si>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</si>
  <si>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</si>
  <si>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</si>
  <si>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</si>
  <si>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</si>
  <si>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</si>
  <si>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</si>
  <si>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</si>
  <si>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</si>
  <si>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</si>
  <si>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</si>
  <si>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</si>
  <si>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</si>
  <si>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</si>
  <si>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</si>
  <si>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</si>
  <si>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</si>
  <si>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</si>
  <si>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</si>
  <si>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</si>
  <si>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</si>
  <si>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</si>
  <si>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</si>
  <si>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</si>
  <si>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</si>
  <si>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</si>
  <si>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</si>
  <si>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</si>
  <si>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</si>
  <si>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</si>
  <si>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</si>
  <si>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</si>
  <si>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</si>
  <si>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</si>
  <si>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</si>
  <si>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</si>
  <si>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</si>
  <si>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</si>
  <si>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</si>
  <si>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</si>
  <si>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</si>
  <si>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</si>
  <si>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</si>
  <si>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</si>
  <si>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</si>
  <si>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</si>
  <si>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</si>
  <si>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</si>
  <si>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</si>
  <si>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</si>
  <si>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</si>
  <si>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</si>
  <si>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</si>
  <si>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</si>
  <si>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</si>
  <si>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</si>
  <si>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</si>
  <si>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</si>
  <si>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</si>
  <si>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</si>
  <si>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</si>
  <si>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</si>
  <si>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</si>
  <si>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</si>
  <si>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</si>
  <si>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</si>
  <si>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</si>
  <si>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</si>
  <si>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</si>
  <si>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</si>
  <si>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</si>
  <si>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</si>
  <si>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</si>
  <si>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</si>
  <si>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</si>
  <si>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</si>
  <si>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</si>
  <si>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</si>
  <si>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</si>
  <si>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</si>
  <si>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</si>
  <si>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</si>
  <si>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</si>
  <si>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</si>
  <si>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</si>
  <si>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</si>
  <si>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</si>
  <si>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</si>
  <si>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</si>
  <si>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</si>
  <si>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</si>
  <si>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</si>
  <si>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</si>
  <si>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</si>
  <si>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</si>
  <si>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</si>
  <si>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</si>
  <si>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</si>
  <si>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</si>
  <si>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</si>
  <si>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</si>
  <si>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</si>
  <si>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</si>
  <si>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</si>
  <si>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</si>
  <si>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</si>
  <si>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</si>
  <si>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</si>
  <si>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</si>
  <si>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</si>
  <si>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</si>
  <si>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</si>
  <si>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</si>
  <si>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</si>
  <si>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</si>
  <si>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</si>
  <si>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</si>
  <si>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</si>
  <si>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</si>
  <si>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</si>
  <si>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</si>
  <si>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</si>
  <si>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</si>
  <si>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</si>
  <si>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</si>
  <si>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</si>
  <si>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</si>
  <si>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</si>
  <si>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</si>
  <si>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</si>
  <si>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</si>
  <si>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</si>
  <si>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</si>
  <si>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</si>
  <si>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</si>
  <si>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</si>
  <si>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</si>
  <si>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</si>
  <si>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</si>
  <si>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</si>
  <si>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</si>
  <si>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</si>
  <si>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</si>
  <si>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</si>
  <si>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</si>
  <si>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</si>
  <si>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</si>
  <si>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</si>
  <si>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</si>
  <si>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</si>
  <si>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</si>
  <si>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</si>
  <si>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</si>
  <si>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</si>
  <si>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</si>
  <si>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</si>
  <si>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</si>
  <si>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</si>
  <si>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</si>
  <si>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</si>
  <si>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</si>
  <si>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</si>
  <si>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</si>
  <si>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</si>
  <si>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</si>
  <si>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</si>
  <si>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</si>
  <si>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</si>
  <si>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</si>
  <si>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</si>
  <si>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</si>
  <si>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</si>
  <si>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</si>
  <si>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</si>
  <si>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</si>
  <si>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</si>
  <si>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</si>
  <si>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</si>
  <si>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</si>
  <si>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</si>
  <si>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</si>
  <si>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</si>
  <si>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</si>
  <si>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</si>
  <si>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</si>
  <si>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</si>
  <si>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</si>
  <si>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</si>
  <si>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</si>
  <si>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</si>
  <si>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</si>
  <si>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</si>
  <si>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</si>
  <si>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</si>
  <si>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</si>
  <si>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</si>
  <si>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</si>
  <si>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</si>
  <si>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</si>
  <si>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</si>
  <si>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</si>
  <si>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</si>
  <si>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</si>
  <si>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</si>
  <si>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</si>
  <si>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</si>
  <si>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</si>
  <si>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</si>
  <si>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</si>
  <si>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</si>
  <si>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</si>
  <si>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</si>
  <si>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</si>
  <si>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</si>
  <si>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</si>
  <si>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</si>
  <si>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</si>
  <si>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</si>
  <si>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</si>
  <si>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</si>
  <si>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</si>
  <si>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</si>
  <si>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</si>
  <si>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</si>
  <si>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</si>
  <si>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</si>
  <si>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</si>
  <si>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</si>
  <si>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</si>
  <si>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</si>
  <si>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</si>
  <si>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</si>
  <si>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</si>
  <si>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</si>
  <si>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</si>
  <si>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</si>
  <si>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</si>
  <si>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</si>
  <si>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</si>
  <si>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</si>
  <si>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</si>
  <si>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</si>
  <si>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</si>
  <si>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</si>
  <si>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</si>
  <si>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</si>
  <si>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</si>
  <si>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</si>
  <si>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</si>
  <si>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</si>
  <si>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</si>
  <si>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</si>
  <si>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</si>
  <si>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</si>
  <si>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</si>
  <si>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</si>
  <si>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</si>
  <si>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</si>
  <si>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</si>
  <si>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</si>
  <si>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</si>
  <si>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</si>
  <si>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</si>
  <si>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</si>
  <si>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</si>
  <si>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</si>
  <si>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</si>
  <si>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</si>
  <si>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</si>
  <si>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</si>
  <si>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</si>
  <si>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</si>
  <si>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</si>
  <si>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</si>
  <si>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</si>
  <si>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</si>
  <si>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</si>
  <si>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</si>
  <si>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</si>
  <si>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</si>
  <si>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</si>
  <si>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</si>
  <si>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</si>
  <si>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</si>
  <si>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</si>
  <si>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</si>
  <si>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</si>
  <si>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</si>
  <si>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</si>
  <si>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</si>
  <si>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</si>
  <si>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</si>
  <si>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</si>
  <si>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</si>
  <si>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</si>
  <si>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</si>
  <si>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</si>
  <si>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</si>
  <si>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</si>
  <si>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</si>
  <si>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</si>
  <si>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</si>
  <si>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</si>
  <si>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</si>
  <si>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</si>
  <si>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</si>
  <si>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</si>
  <si>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</si>
  <si>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</si>
  <si>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</si>
  <si>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</si>
  <si>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</si>
  <si>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</si>
  <si>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</si>
  <si>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</si>
  <si>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</si>
  <si>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</si>
  <si>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</si>
  <si>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</si>
  <si>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</si>
  <si>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</si>
  <si>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</si>
  <si>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</si>
  <si>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</si>
  <si>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</si>
  <si>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</si>
  <si>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</si>
  <si>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</si>
  <si>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</si>
  <si>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</si>
  <si>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</si>
  <si>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</si>
  <si>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</si>
  <si>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</si>
  <si>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</si>
  <si>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</si>
  <si>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</si>
  <si>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</si>
  <si>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</si>
  <si>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</si>
  <si>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</si>
  <si>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</si>
  <si>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</si>
  <si>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</si>
  <si>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</si>
  <si>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</si>
  <si>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</si>
  <si>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</si>
  <si>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</si>
  <si>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</si>
  <si>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</si>
  <si>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</si>
  <si>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</si>
  <si>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</si>
  <si>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</si>
  <si>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</si>
  <si>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</si>
  <si>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</si>
  <si>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</si>
  <si>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</si>
  <si>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</si>
  <si>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</si>
  <si>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</si>
  <si>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</si>
  <si>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</si>
  <si>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</si>
  <si>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</si>
  <si>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</si>
  <si>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</si>
  <si>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</si>
  <si>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</si>
  <si>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</si>
  <si>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</si>
  <si>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</si>
  <si>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</si>
  <si>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</si>
  <si>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</si>
  <si>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</si>
  <si>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</si>
  <si>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</si>
  <si>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</si>
  <si>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</si>
  <si>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</si>
  <si>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</si>
  <si>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</si>
  <si>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</si>
  <si>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</si>
  <si>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</si>
  <si>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</si>
  <si>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</si>
  <si>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</si>
  <si>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</si>
  <si>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</si>
  <si>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</si>
  <si>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</si>
  <si>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</si>
  <si>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</si>
  <si>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</si>
  <si>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</si>
  <si>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</si>
  <si>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</si>
  <si>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</si>
  <si>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</si>
  <si>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</si>
  <si>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</si>
  <si>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</si>
  <si>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</si>
  <si>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</si>
  <si>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</si>
  <si>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</si>
  <si>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</si>
  <si>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</si>
  <si>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</si>
  <si>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</si>
  <si>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</si>
  <si>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</si>
  <si>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</si>
  <si>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</si>
  <si>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</si>
  <si>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</si>
  <si>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</si>
  <si>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</si>
  <si>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</si>
  <si>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</si>
  <si>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</si>
  <si>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</si>
  <si>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</si>
  <si>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</si>
  <si>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</si>
  <si>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</si>
  <si>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</si>
  <si>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</si>
  <si>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</si>
  <si>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</si>
  <si>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</si>
  <si>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抵押</t>
  </si>
  <si>
    <t>房地产抵押价值</t>
  </si>
  <si>
    <t>北京市</t>
  </si>
  <si>
    <t>企业</t>
  </si>
  <si>
    <t>与房产证证载一致</t>
  </si>
  <si>
    <t>不动产权证书</t>
  </si>
  <si>
    <t>否</t>
  </si>
  <si>
    <t>《不动产权证书》</t>
  </si>
  <si>
    <t>原件</t>
  </si>
  <si>
    <t>元</t>
  </si>
  <si>
    <t>楼面单价</t>
  </si>
  <si>
    <t>建筑与土地面积依据相同</t>
  </si>
  <si>
    <t>无租约</t>
  </si>
  <si>
    <t>利息：取LPR加浮动点数</t>
  </si>
  <si>
    <t>估价对象1（结果表）</t>
  </si>
  <si>
    <t>钢混</t>
  </si>
  <si>
    <t>非生产用房</t>
  </si>
  <si>
    <t>收益还原</t>
  </si>
  <si>
    <t>住宅</t>
    <phoneticPr fontId="20" type="noConversion"/>
  </si>
  <si>
    <t>60-70（含）</t>
  </si>
  <si>
    <t>主干道</t>
  </si>
  <si>
    <t>独栋</t>
  </si>
  <si>
    <t>精装修</t>
  </si>
  <si>
    <t>专业</t>
  </si>
  <si>
    <t>六通</t>
  </si>
  <si>
    <t>联排</t>
  </si>
  <si>
    <t>砖混</t>
  </si>
  <si>
    <t>简单装修</t>
  </si>
  <si>
    <t>毛坯</t>
  </si>
  <si>
    <t>居委会</t>
  </si>
  <si>
    <t>七通</t>
  </si>
  <si>
    <t>五通</t>
  </si>
  <si>
    <t>四通</t>
  </si>
  <si>
    <t>三通</t>
  </si>
  <si>
    <t>比较法-住宅</t>
  </si>
  <si>
    <t>收益法</t>
  </si>
  <si>
    <t>橘郡（水印长滩）</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</si>
</sst>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2"/>
      <charset val="134"/>
    </font>
    <font>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54" fillId="0" borderId="23" xfId="8" applyNumberFormat="1" applyFont="1" applyFill="1" applyBorder="1" applyAlignment="1" applyProtection="1">
      <alignment horizontal="center" vertical="center" wrapText="1"/>
      <protection locked="0"/>
    </xf>
    <xf numFmtId="0" fontId="46" fillId="2" borderId="4" xfId="8" applyFont="1" applyFill="1" applyBorder="1" applyAlignment="1" applyProtection="1">
      <alignment horizontal="center" vertical="center" wrapText="1"/>
      <protection locked="0"/>
    </xf>
    <xf numFmtId="0" fontId="39" fillId="0" borderId="19" xfId="8" applyFont="1" applyBorder="1" applyAlignment="1" applyProtection="1">
      <alignment horizontal="center" vertical="center" wrapText="1"/>
      <protection locked="0"/>
    </xf>
    <xf numFmtId="0" fontId="46" fillId="2" borderId="7" xfId="8" applyFont="1" applyFill="1" applyBorder="1" applyAlignment="1" applyProtection="1">
      <alignment horizontal="center" vertical="center" wrapText="1"/>
      <protection locked="0"/>
    </xf>
    <xf numFmtId="10" fontId="39" fillId="0" borderId="19" xfId="8" applyNumberFormat="1" applyFont="1" applyBorder="1" applyAlignment="1" applyProtection="1">
      <alignment horizontal="center" vertical="center" wrapText="1"/>
      <protection locked="0"/>
    </xf>
    <xf numFmtId="0" fontId="46" fillId="6" borderId="7" xfId="8"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92" fillId="0" borderId="11" xfId="8" applyFont="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255"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254" fillId="0" borderId="32" xfId="8"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23</xdr:row>
      <xdr:rowOff>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77025" cy="3943701"/>
        </a:xfrm>
        <a:prstGeom prst="rect">
          <a:avLst/>
        </a:prstGeom>
      </xdr:spPr>
    </xdr:pic>
    <xdr:clientData/>
  </xdr:twoCellAnchor>
  <xdr:twoCellAnchor editAs="oneCell">
    <xdr:from>
      <xdr:col>11</xdr:col>
      <xdr:colOff>123826</xdr:colOff>
      <xdr:row>0</xdr:row>
      <xdr:rowOff>0</xdr:rowOff>
    </xdr:from>
    <xdr:to>
      <xdr:col>21</xdr:col>
      <xdr:colOff>267278</xdr:colOff>
      <xdr:row>24</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667626" y="0"/>
          <a:ext cx="7001452" cy="4248150"/>
        </a:xfrm>
        <a:prstGeom prst="rect">
          <a:avLst/>
        </a:prstGeom>
      </xdr:spPr>
    </xdr:pic>
    <xdr:clientData/>
  </xdr:twoCellAnchor>
  <xdr:twoCellAnchor editAs="oneCell">
    <xdr:from>
      <xdr:col>0</xdr:col>
      <xdr:colOff>0</xdr:colOff>
      <xdr:row>27</xdr:row>
      <xdr:rowOff>0</xdr:rowOff>
    </xdr:from>
    <xdr:to>
      <xdr:col>14</xdr:col>
      <xdr:colOff>294039</xdr:colOff>
      <xdr:row>39</xdr:row>
      <xdr:rowOff>85457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95239" cy="2142857"/>
        </a:xfrm>
        <a:prstGeom prst="rect">
          <a:avLst/>
        </a:prstGeom>
      </xdr:spPr>
    </xdr:pic>
    <xdr:clientData/>
  </xdr:twoCellAnchor>
  <xdr:twoCellAnchor editAs="oneCell">
    <xdr:from>
      <xdr:col>15</xdr:col>
      <xdr:colOff>0</xdr:colOff>
      <xdr:row>28</xdr:row>
      <xdr:rowOff>0</xdr:rowOff>
    </xdr:from>
    <xdr:to>
      <xdr:col>28</xdr:col>
      <xdr:colOff>665553</xdr:colOff>
      <xdr:row>56</xdr:row>
      <xdr:rowOff>94638</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4800600"/>
          <a:ext cx="95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估价对象为北京市房地产，为XX所有。根据《不动产权证书》[]，估价对象建筑面积为353.61平方米，（分摊）出让国有建设用地使用权面积为平方米。估价对象用途为。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2021年5月26日</v>
      </c>
    </row>
    <row r="10" spans="1:2">
      <c r="A10" s="1210" t="s">
        <v>1103</v>
      </c>
      <c r="B10" s="1197" t="str">
        <f>'预评函-1'!A13</f>
        <v>本次估价的“房地产价值”是指在正常市场情况下，在价值时点2021年5月26日，估价对象规划用途为，假定未设立法定优先受偿款下的房地产市场价值。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353.61</v>
      </c>
    </row>
    <row r="19" spans="1:2">
      <c r="A19" s="1210" t="s">
        <v>1112</v>
      </c>
      <c r="B19" s="1197">
        <f ca="1">'预评函-2（1）'!D7</f>
        <v>16412455</v>
      </c>
    </row>
    <row r="20" spans="1:2">
      <c r="A20" s="1210" t="s">
        <v>1150</v>
      </c>
      <c r="B20" s="1197" t="str">
        <f>'预评函-2（1）'!C7</f>
        <v>总价（元）</v>
      </c>
    </row>
    <row r="21" spans="1:2">
      <c r="A21" s="1210" t="s">
        <v>1113</v>
      </c>
      <c r="B21" s="1197">
        <f ca="1">'预评函-2（1）'!D9</f>
        <v>46414</v>
      </c>
    </row>
    <row r="22" spans="1:2">
      <c r="A22" s="1210" t="s">
        <v>1114</v>
      </c>
      <c r="B22" s="1197" t="str">
        <f ca="1">'预评函-2（1）'!D8</f>
        <v>壹仟陆佰肆拾壹万贰仟肆佰伍拾伍元整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16412455</v>
      </c>
    </row>
    <row r="30" spans="1:2">
      <c r="A30" s="1210" t="s">
        <v>1120</v>
      </c>
      <c r="B30" s="1197" t="str">
        <f ca="1">'预评函-2（1）'!D16</f>
        <v>壹仟陆佰肆拾壹万贰仟肆佰伍拾伍元整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10192101</v>
      </c>
    </row>
    <row r="38" spans="1:2">
      <c r="A38" s="1210" t="s">
        <v>1128</v>
      </c>
      <c r="B38" s="1197">
        <f ca="1">'预评函-2（2）'!E4</f>
        <v>28823</v>
      </c>
    </row>
    <row r="39" spans="1:2">
      <c r="A39" s="1210" t="s">
        <v>1129</v>
      </c>
      <c r="B39" s="1197" t="str">
        <f ca="1">'预评函-2（2）'!D5</f>
        <v>壹仟零壹拾玖万贰仟壹佰零壹元整</v>
      </c>
    </row>
    <row r="40" spans="1:2">
      <c r="A40" s="1210" t="s">
        <v>1130</v>
      </c>
      <c r="B40" s="1197">
        <f ca="1">'预评函-2（2）'!F4</f>
        <v>6220354</v>
      </c>
    </row>
    <row r="41" spans="1:2">
      <c r="A41" s="1210" t="s">
        <v>1131</v>
      </c>
      <c r="B41" s="1197">
        <f ca="1">'预评函-2（2）'!G4</f>
        <v>17591</v>
      </c>
    </row>
    <row r="42" spans="1:2" s="1207" customFormat="1" ht="15.75" thickBot="1">
      <c r="A42" s="1211" t="s">
        <v>1132</v>
      </c>
      <c r="B42" s="1199" t="str">
        <f ca="1">'预评函-2（2）'!F5</f>
        <v>陆佰贰拾贰万零叁佰伍拾肆元整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46414</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J14" sqref="J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7" t="s">
        <v>1527</v>
      </c>
      <c r="B1" s="2588" t="str">
        <f>IF(B6="北京市","北京市",C6)&amp;IF(E12="房屋所有权证",B29,E29)&amp;D5&amp;"预评估"</f>
        <v>北京市房地产抵押价值预评估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2589"/>
      <c r="C2" s="2888" t="s">
        <v>1530</v>
      </c>
      <c r="D2" s="2589">
        <v>44342</v>
      </c>
      <c r="E2" s="824"/>
      <c r="F2" s="824"/>
      <c r="G2" s="1192"/>
      <c r="H2" s="2900"/>
    </row>
    <row r="3" spans="1:17" ht="13.5" thickBot="1">
      <c r="A3" s="2590" t="s">
        <v>1531</v>
      </c>
      <c r="B3" s="2591"/>
      <c r="C3" s="2592">
        <f>SUMIF(注册房地产估价师,B3,估价师及机构信息!B3:B16)</f>
        <v>0</v>
      </c>
      <c r="D3" s="2591"/>
      <c r="E3" s="2593">
        <f>SUMIF(注册房地产估价师,D3,估价师及机构信息!B3:B16)</f>
        <v>0</v>
      </c>
      <c r="F3" s="825"/>
      <c r="G3" s="1193"/>
      <c r="H3" s="2900"/>
    </row>
    <row r="4" spans="1:17" ht="13.5" customHeight="1" thickTop="1">
      <c r="A4" s="1427" t="s">
        <v>1532</v>
      </c>
      <c r="B4" s="1428" t="s">
        <v>2720</v>
      </c>
      <c r="C4" s="2889" t="s">
        <v>1533</v>
      </c>
      <c r="D4" s="1429" t="s">
        <v>2894</v>
      </c>
      <c r="E4" s="824"/>
      <c r="F4" s="824"/>
      <c r="G4" s="1192"/>
    </row>
    <row r="5" spans="1:17">
      <c r="A5" s="1430" t="s">
        <v>1534</v>
      </c>
      <c r="B5" s="1431" t="s">
        <v>2721</v>
      </c>
      <c r="C5" s="2890" t="s">
        <v>1535</v>
      </c>
      <c r="D5" s="1433" t="s">
        <v>2895</v>
      </c>
      <c r="E5" s="2891" t="s">
        <v>1536</v>
      </c>
      <c r="F5" s="1433" t="s">
        <v>2895</v>
      </c>
      <c r="G5" s="1434"/>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c r="A6" s="2892" t="s">
        <v>1537</v>
      </c>
      <c r="B6" s="2594" t="s">
        <v>2896</v>
      </c>
      <c r="C6" s="2595" t="s">
        <v>2722</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2897</v>
      </c>
      <c r="C7" s="1525" t="str">
        <f>IF(B7="自然人","姓名","名称")</f>
        <v>名称</v>
      </c>
      <c r="D7" s="1438" t="s">
        <v>2721</v>
      </c>
      <c r="E7" s="825"/>
      <c r="F7" s="825"/>
      <c r="G7" s="1193"/>
    </row>
    <row r="8" spans="1:17" ht="13.5" thickTop="1">
      <c r="A8" s="3229" t="s">
        <v>1540</v>
      </c>
      <c r="B8" s="1439" t="s">
        <v>1541</v>
      </c>
      <c r="C8" s="3242"/>
      <c r="D8" s="3243"/>
      <c r="E8" s="2598" t="s">
        <v>1542</v>
      </c>
      <c r="F8" s="2599" t="s">
        <v>1543</v>
      </c>
      <c r="G8" s="2600" t="str">
        <f>C6</f>
        <v>XX</v>
      </c>
    </row>
    <row r="9" spans="1:17" ht="25.5">
      <c r="A9" s="3229"/>
      <c r="B9" s="259" t="s">
        <v>1544</v>
      </c>
      <c r="C9" s="1431"/>
      <c r="D9" s="1440" t="s">
        <v>2898</v>
      </c>
      <c r="E9" s="2894" t="s">
        <v>1545</v>
      </c>
      <c r="F9" s="2601" t="s">
        <v>485</v>
      </c>
      <c r="G9" s="2602"/>
    </row>
    <row r="10" spans="1:17" ht="13.5" thickBot="1">
      <c r="A10" s="3229"/>
      <c r="B10" s="259" t="s">
        <v>1546</v>
      </c>
      <c r="C10" s="3244"/>
      <c r="D10" s="3245"/>
      <c r="E10" s="2895" t="s">
        <v>1547</v>
      </c>
      <c r="F10" s="2603" t="s">
        <v>376</v>
      </c>
      <c r="G10" s="2604"/>
    </row>
    <row r="11" spans="1:17" ht="13.5" thickBot="1">
      <c r="A11" s="3229"/>
      <c r="B11" s="1442" t="s">
        <v>1548</v>
      </c>
      <c r="C11" s="3246"/>
      <c r="D11" s="3247"/>
      <c r="E11" s="811"/>
      <c r="F11" s="811"/>
      <c r="G11" s="830"/>
    </row>
    <row r="12" spans="1:17" ht="26.25" thickBot="1">
      <c r="A12" s="3233" t="s">
        <v>2829</v>
      </c>
      <c r="B12" s="2896" t="s">
        <v>1549</v>
      </c>
      <c r="C12" s="808">
        <v>353.61</v>
      </c>
      <c r="D12" s="1443" t="s">
        <v>1550</v>
      </c>
      <c r="E12" s="1444" t="s">
        <v>2899</v>
      </c>
      <c r="F12" s="1445" t="s">
        <v>2905</v>
      </c>
      <c r="G12" s="830"/>
    </row>
    <row r="13" spans="1:17" ht="21" customHeight="1" thickBot="1">
      <c r="A13" s="3234"/>
      <c r="B13" s="2897" t="s">
        <v>1551</v>
      </c>
      <c r="C13" s="809"/>
      <c r="D13" s="1446" t="s">
        <v>1552</v>
      </c>
      <c r="E13" s="1447"/>
      <c r="F13" s="811"/>
      <c r="G13" s="830"/>
      <c r="I13" s="3252" t="s">
        <v>1553</v>
      </c>
      <c r="J13" s="2917"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8"/>
      <c r="L13" s="2918"/>
      <c r="M13" s="2918"/>
      <c r="N13" s="800"/>
      <c r="O13" s="800"/>
      <c r="P13" s="800"/>
      <c r="Q13" s="800"/>
    </row>
    <row r="14" spans="1:17" ht="13.5" thickBot="1">
      <c r="A14" s="2605"/>
      <c r="B14" s="2911" t="s">
        <v>2830</v>
      </c>
      <c r="C14" s="2606"/>
      <c r="D14" s="811"/>
      <c r="E14" s="811"/>
      <c r="F14" s="811"/>
      <c r="G14" s="830"/>
      <c r="I14" s="3252"/>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5" thickBot="1">
      <c r="A15" s="2607"/>
      <c r="B15" s="2898" t="s">
        <v>1554</v>
      </c>
      <c r="C15" s="826"/>
      <c r="D15" s="825"/>
      <c r="E15" s="825"/>
      <c r="F15" s="825"/>
      <c r="G15" s="1193"/>
      <c r="I15" s="3252"/>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8" t="s">
        <v>1556</v>
      </c>
      <c r="C16" s="2608" t="s">
        <v>2900</v>
      </c>
      <c r="D16" s="1441" t="s">
        <v>1557</v>
      </c>
      <c r="E16" s="2609" t="s">
        <v>1240</v>
      </c>
      <c r="F16" s="1449" t="str">
        <f>IF(AND(C16="是",E16="否"),"是否提供他项权证或相关说明","")</f>
        <v/>
      </c>
      <c r="G16" s="2609"/>
      <c r="J16" s="2900"/>
    </row>
    <row r="17" spans="1:66" ht="13.5" customHeight="1">
      <c r="A17" s="1455" t="s">
        <v>1558</v>
      </c>
      <c r="B17" s="3248" t="s">
        <v>1559</v>
      </c>
      <c r="C17" s="3249"/>
      <c r="D17" s="3250" t="s">
        <v>1560</v>
      </c>
      <c r="E17" s="3251"/>
      <c r="F17" s="1450" t="s">
        <v>1561</v>
      </c>
      <c r="G17" s="1451"/>
      <c r="J17" s="2900"/>
    </row>
    <row r="18" spans="1:66" ht="24">
      <c r="A18" s="1455"/>
      <c r="B18" s="2610" t="s">
        <v>2901</v>
      </c>
      <c r="C18" s="1434" t="s">
        <v>2902</v>
      </c>
      <c r="D18" s="1452" t="s">
        <v>1562</v>
      </c>
      <c r="E18" s="1453"/>
      <c r="F18" s="1454"/>
      <c r="G18" s="1317"/>
      <c r="H18" s="2900"/>
      <c r="J18" s="2900"/>
    </row>
    <row r="19" spans="1:66" ht="21.75" customHeight="1" thickBot="1">
      <c r="A19" s="1455"/>
      <c r="B19" s="2611" t="s">
        <v>1240</v>
      </c>
      <c r="C19" s="1447" t="s">
        <v>1240</v>
      </c>
      <c r="D19" s="1455"/>
      <c r="E19" s="811"/>
      <c r="F19" s="811"/>
      <c r="G19" s="1317"/>
    </row>
    <row r="20" spans="1:66">
      <c r="A20" s="1451" t="s">
        <v>1563</v>
      </c>
      <c r="B20" s="2612" t="s">
        <v>1564</v>
      </c>
      <c r="C20" s="2613"/>
      <c r="D20" s="2614" t="s">
        <v>1564</v>
      </c>
      <c r="E20" s="2613"/>
      <c r="F20" s="811"/>
      <c r="G20" s="1317"/>
    </row>
    <row r="21" spans="1:66">
      <c r="A21" s="1317"/>
      <c r="B21" s="2615" t="s">
        <v>1565</v>
      </c>
      <c r="C21" s="2883"/>
      <c r="D21" s="1455"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61" t="s">
        <v>2828</v>
      </c>
      <c r="B24" s="3261"/>
      <c r="C24" s="3261"/>
      <c r="D24" s="3261"/>
      <c r="E24" s="3261"/>
      <c r="F24" s="3261"/>
      <c r="G24" s="3261"/>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36" t="s">
        <v>1573</v>
      </c>
      <c r="D28" s="3237"/>
      <c r="E28" s="801"/>
      <c r="F28" s="803" t="s">
        <v>1573</v>
      </c>
      <c r="G28" s="801"/>
      <c r="K28" s="2901"/>
    </row>
    <row r="29" spans="1:66">
      <c r="A29" s="804" t="s">
        <v>1574</v>
      </c>
      <c r="B29" s="798"/>
      <c r="C29" s="3238" t="s">
        <v>1575</v>
      </c>
      <c r="D29" s="3239"/>
      <c r="E29" s="798"/>
      <c r="F29" s="804" t="s">
        <v>1575</v>
      </c>
      <c r="G29" s="798"/>
      <c r="K29" s="2901"/>
    </row>
    <row r="30" spans="1:66">
      <c r="A30" s="804" t="s">
        <v>1576</v>
      </c>
      <c r="B30" s="798"/>
      <c r="C30" s="3238" t="s">
        <v>1576</v>
      </c>
      <c r="D30" s="3239"/>
      <c r="E30" s="798"/>
      <c r="F30" s="804" t="s">
        <v>1577</v>
      </c>
      <c r="G30" s="798"/>
      <c r="K30" s="2901"/>
    </row>
    <row r="31" spans="1:66">
      <c r="A31" s="804" t="s">
        <v>1578</v>
      </c>
      <c r="B31" s="798"/>
      <c r="C31" s="3258" t="s">
        <v>1579</v>
      </c>
      <c r="D31" s="811"/>
      <c r="E31" s="2624" t="str">
        <f>E32&amp;" "&amp;E33&amp;" "&amp;E34&amp;" "&amp;E35</f>
        <v xml:space="preserve">   </v>
      </c>
      <c r="F31" s="804" t="s">
        <v>1580</v>
      </c>
      <c r="G31" s="798"/>
    </row>
    <row r="32" spans="1:66">
      <c r="A32" s="804" t="s">
        <v>1581</v>
      </c>
      <c r="B32" s="798"/>
      <c r="C32" s="3259"/>
      <c r="D32" s="259" t="s">
        <v>1582</v>
      </c>
      <c r="E32" s="798"/>
      <c r="F32" s="804" t="s">
        <v>1583</v>
      </c>
      <c r="G32" s="798"/>
    </row>
    <row r="33" spans="1:7" ht="24.75" thickBot="1">
      <c r="A33" s="805" t="s">
        <v>1584</v>
      </c>
      <c r="B33" s="802"/>
      <c r="C33" s="3259"/>
      <c r="D33" s="259" t="s">
        <v>1585</v>
      </c>
      <c r="E33" s="798"/>
      <c r="F33" s="804" t="s">
        <v>1586</v>
      </c>
      <c r="G33" s="798"/>
    </row>
    <row r="34" spans="1:7">
      <c r="A34" s="803" t="s">
        <v>1587</v>
      </c>
      <c r="B34" s="801"/>
      <c r="C34" s="3259"/>
      <c r="D34" s="259" t="s">
        <v>1588</v>
      </c>
      <c r="E34" s="798"/>
      <c r="F34" s="804" t="s">
        <v>1589</v>
      </c>
      <c r="G34" s="798"/>
    </row>
    <row r="35" spans="1:7" ht="13.5" thickBot="1">
      <c r="A35" s="804" t="s">
        <v>1590</v>
      </c>
      <c r="B35" s="798"/>
      <c r="C35" s="3260"/>
      <c r="D35" s="259" t="s">
        <v>1591</v>
      </c>
      <c r="E35" s="798"/>
      <c r="F35" s="805" t="s">
        <v>1592</v>
      </c>
      <c r="G35" s="2625"/>
    </row>
    <row r="36" spans="1:7">
      <c r="A36" s="804" t="s">
        <v>1549</v>
      </c>
      <c r="B36" s="798"/>
      <c r="C36" s="3238" t="s">
        <v>1593</v>
      </c>
      <c r="D36" s="3239"/>
      <c r="E36" s="798"/>
      <c r="F36" s="2626" t="s">
        <v>1594</v>
      </c>
      <c r="G36" s="801"/>
    </row>
    <row r="37" spans="1:7" ht="13.5" thickBot="1">
      <c r="A37" s="804" t="s">
        <v>1595</v>
      </c>
      <c r="B37" s="798"/>
      <c r="C37" s="3240" t="s">
        <v>1596</v>
      </c>
      <c r="D37" s="3241"/>
      <c r="E37" s="802"/>
      <c r="F37" s="1463" t="s">
        <v>1597</v>
      </c>
      <c r="G37" s="798"/>
    </row>
    <row r="38" spans="1:7" ht="13.5" thickBot="1">
      <c r="A38" s="804" t="s">
        <v>1598</v>
      </c>
      <c r="B38" s="798"/>
      <c r="C38" s="3230" t="s">
        <v>1599</v>
      </c>
      <c r="D38" s="1443" t="s">
        <v>1583</v>
      </c>
      <c r="E38" s="801"/>
      <c r="F38" s="805" t="s">
        <v>1600</v>
      </c>
      <c r="G38" s="802"/>
    </row>
    <row r="39" spans="1:7">
      <c r="A39" s="804" t="s">
        <v>1601</v>
      </c>
      <c r="B39" s="798"/>
      <c r="C39" s="3231"/>
      <c r="D39" s="259" t="s">
        <v>1590</v>
      </c>
      <c r="E39" s="798"/>
      <c r="F39" s="803" t="s">
        <v>1602</v>
      </c>
      <c r="G39" s="801"/>
    </row>
    <row r="40" spans="1:7">
      <c r="A40" s="804" t="s">
        <v>1603</v>
      </c>
      <c r="B40" s="798"/>
      <c r="C40" s="3231" t="s">
        <v>1604</v>
      </c>
      <c r="D40" s="259" t="s">
        <v>1549</v>
      </c>
      <c r="E40" s="798"/>
      <c r="F40" s="804" t="s">
        <v>1605</v>
      </c>
      <c r="G40" s="798"/>
    </row>
    <row r="41" spans="1:7" ht="24.75" customHeight="1" thickBot="1">
      <c r="A41" s="805" t="s">
        <v>1606</v>
      </c>
      <c r="B41" s="802"/>
      <c r="C41" s="3232"/>
      <c r="D41" s="1446" t="s">
        <v>1551</v>
      </c>
      <c r="E41" s="802"/>
      <c r="F41" s="805" t="s">
        <v>1607</v>
      </c>
      <c r="G41" s="802"/>
    </row>
    <row r="42" spans="1:7">
      <c r="A42" s="806" t="s">
        <v>1608</v>
      </c>
      <c r="B42" s="2627"/>
      <c r="C42" s="3253" t="s">
        <v>1608</v>
      </c>
      <c r="D42" s="3254"/>
      <c r="E42" s="2627"/>
      <c r="F42" s="803" t="s">
        <v>1609</v>
      </c>
      <c r="G42" s="2627"/>
    </row>
    <row r="43" spans="1:7">
      <c r="A43" s="821" t="s">
        <v>1610</v>
      </c>
      <c r="B43" s="2628"/>
      <c r="C43" s="1455"/>
      <c r="D43" s="2615"/>
      <c r="E43" s="2628"/>
      <c r="F43" s="821"/>
      <c r="G43" s="2628"/>
    </row>
    <row r="44" spans="1:7">
      <c r="A44" s="821" t="s">
        <v>1564</v>
      </c>
      <c r="B44" s="822"/>
      <c r="C44" s="1455"/>
      <c r="D44" s="1521" t="s">
        <v>1564</v>
      </c>
      <c r="E44" s="822"/>
      <c r="F44" s="821" t="s">
        <v>1564</v>
      </c>
      <c r="G44" s="822"/>
    </row>
    <row r="45" spans="1:7">
      <c r="A45" s="821" t="s">
        <v>1565</v>
      </c>
      <c r="B45" s="822"/>
      <c r="C45" s="1455"/>
      <c r="D45" s="2615" t="s">
        <v>1565</v>
      </c>
      <c r="E45" s="822"/>
      <c r="F45" s="821" t="s">
        <v>1565</v>
      </c>
      <c r="G45" s="822"/>
    </row>
    <row r="46" spans="1:7">
      <c r="A46" s="821" t="s">
        <v>1566</v>
      </c>
      <c r="B46" s="822"/>
      <c r="C46" s="1455"/>
      <c r="D46" s="2615" t="s">
        <v>1566</v>
      </c>
      <c r="E46" s="822"/>
      <c r="F46" s="821" t="s">
        <v>1566</v>
      </c>
      <c r="G46" s="822"/>
    </row>
    <row r="47" spans="1:7">
      <c r="A47" s="821" t="s">
        <v>1567</v>
      </c>
      <c r="B47" s="822"/>
      <c r="C47" s="1455"/>
      <c r="D47" s="2615" t="s">
        <v>1567</v>
      </c>
      <c r="E47" s="822"/>
      <c r="F47" s="821" t="s">
        <v>1567</v>
      </c>
      <c r="G47" s="822"/>
    </row>
    <row r="48" spans="1:7">
      <c r="A48" s="821"/>
      <c r="B48" s="822"/>
      <c r="C48" s="1455"/>
      <c r="D48" s="2615"/>
      <c r="E48" s="822"/>
      <c r="F48" s="821"/>
      <c r="G48" s="822"/>
    </row>
    <row r="49" spans="1:66" ht="13.5" thickBot="1">
      <c r="A49" s="805" t="s">
        <v>1611</v>
      </c>
      <c r="B49" s="802"/>
      <c r="C49" s="3255" t="s">
        <v>1611</v>
      </c>
      <c r="D49" s="3256"/>
      <c r="E49" s="820"/>
      <c r="F49" s="805" t="s">
        <v>1612</v>
      </c>
      <c r="G49" s="802"/>
    </row>
    <row r="50" spans="1:66">
      <c r="A50" s="804" t="s">
        <v>1613</v>
      </c>
      <c r="B50" s="819"/>
      <c r="C50" s="3230" t="s">
        <v>1614</v>
      </c>
      <c r="D50" s="3257"/>
      <c r="E50" s="2629"/>
      <c r="F50" s="837"/>
      <c r="G50" s="838"/>
    </row>
    <row r="51" spans="1:66" ht="13.5" thickBot="1">
      <c r="A51" s="804" t="s">
        <v>1615</v>
      </c>
      <c r="B51" s="819"/>
      <c r="C51" s="3232" t="s">
        <v>1616</v>
      </c>
      <c r="D51" s="3235"/>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44342</v>
      </c>
      <c r="C2" s="1685"/>
      <c r="D2" s="3264" t="s">
        <v>1620</v>
      </c>
      <c r="E2" s="2632"/>
      <c r="F2" s="2633"/>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4" customFormat="1" ht="15" customHeight="1" thickBot="1">
      <c r="A3" s="2637" t="s">
        <v>1621</v>
      </c>
      <c r="B3" s="2635" t="s">
        <v>2903</v>
      </c>
      <c r="C3" s="1685"/>
      <c r="D3" s="3265"/>
      <c r="E3" s="2636" t="s">
        <v>2900</v>
      </c>
      <c r="F3" s="2633"/>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4" customFormat="1" ht="15" thickBot="1">
      <c r="A4" s="2640" t="s">
        <v>1622</v>
      </c>
      <c r="B4" s="2635" t="s">
        <v>2904</v>
      </c>
      <c r="C4" s="1685"/>
      <c r="D4" s="3265"/>
      <c r="E4" s="2636"/>
      <c r="F4" s="2633"/>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4" customFormat="1" ht="15.75" thickBot="1">
      <c r="A5" s="2637" t="s">
        <v>1623</v>
      </c>
      <c r="B5" s="2638">
        <f>项目基本情况!C12</f>
        <v>353.61</v>
      </c>
      <c r="C5" s="1685"/>
      <c r="D5" s="2922" t="s">
        <v>1624</v>
      </c>
      <c r="E5" s="2639"/>
      <c r="F5" s="2633"/>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4" customFormat="1" ht="15.75" thickBot="1">
      <c r="A6" s="2640" t="s">
        <v>1625</v>
      </c>
      <c r="B6" s="2641">
        <f>项目基本情况!C13</f>
        <v>0</v>
      </c>
      <c r="C6" s="1685"/>
      <c r="D6" s="2922" t="s">
        <v>1626</v>
      </c>
      <c r="E6" s="2639"/>
      <c r="F6" s="2633"/>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4" customFormat="1" ht="15" thickBot="1">
      <c r="A10" s="2923" t="s">
        <v>1627</v>
      </c>
      <c r="B10" s="2643" t="s">
        <v>2888</v>
      </c>
      <c r="C10" s="1685"/>
      <c r="D10" s="2920" t="s">
        <v>1628</v>
      </c>
      <c r="E10" s="2924" t="s">
        <v>1629</v>
      </c>
      <c r="F10" s="3089"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7" customFormat="1" ht="14.25">
      <c r="A11" s="2925" t="s">
        <v>1630</v>
      </c>
      <c r="B11" s="2645">
        <v>70</v>
      </c>
      <c r="C11" s="1685"/>
      <c r="D11" s="2926" t="s">
        <v>1631</v>
      </c>
      <c r="E11" s="2646">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4" customFormat="1" ht="15">
      <c r="A12" s="2927" t="s">
        <v>1633</v>
      </c>
      <c r="B12" s="2648"/>
      <c r="C12" s="1685"/>
      <c r="D12" s="2927" t="s">
        <v>1634</v>
      </c>
      <c r="E12" s="2649">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4" customFormat="1" ht="15" thickBot="1">
      <c r="A13" s="2928" t="s">
        <v>1635</v>
      </c>
      <c r="B13" s="2929">
        <f>IF(B12="",B11-(YEAR($B$2)-B27+B24),ROUNDDOWN(MIN((B12-$B$2)/365,B11),2))</f>
        <v>52</v>
      </c>
      <c r="C13" s="2964"/>
      <c r="D13" s="2930" t="s">
        <v>1636</v>
      </c>
      <c r="E13" s="2650"/>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4" customFormat="1" ht="14.25">
      <c r="A14" s="2927" t="s">
        <v>1638</v>
      </c>
      <c r="B14" s="2931">
        <f>IF(ISERROR(ROUND(POWER(1+B15,B11-B13)*(POWER(1+B15,B13)-1)/(POWER(1+B15,B11)-1),3)),0,ROUND(POWER(1+B15,B11-B13)*(POWER(1+B15,B13)-1)/(POWER(1+B15,B11)-1),3))</f>
        <v>0.94199999999999995</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4" customFormat="1" ht="14.25">
      <c r="A15" s="2927" t="s">
        <v>1640</v>
      </c>
      <c r="B15" s="2652">
        <v>4.4999999999999998E-2</v>
      </c>
      <c r="C15" s="2560" t="s">
        <v>2840</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4" customFormat="1" ht="15" thickBot="1">
      <c r="A16" s="2927" t="s">
        <v>1642</v>
      </c>
      <c r="B16" s="2652">
        <v>0.05</v>
      </c>
      <c r="C16" s="2560" t="s">
        <v>2841</v>
      </c>
      <c r="D16" s="2934" t="s">
        <v>1643</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4" customFormat="1" ht="15" thickBot="1">
      <c r="A17" s="2934" t="s">
        <v>2838</v>
      </c>
      <c r="B17" s="3087">
        <v>7.4999999999999997E-2</v>
      </c>
      <c r="C17" s="2560" t="s">
        <v>2842</v>
      </c>
      <c r="D17" s="2923" t="s">
        <v>1645</v>
      </c>
      <c r="E17" s="2654">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4" customFormat="1" ht="15" thickBot="1">
      <c r="A18" s="2935" t="s">
        <v>1644</v>
      </c>
      <c r="B18" s="3095">
        <v>8.5000000000000006E-2</v>
      </c>
      <c r="C18" s="1685"/>
      <c r="D18" s="2936" t="str">
        <f>IF(B26=0,"建安总额","在建建安")</f>
        <v>建安总额</v>
      </c>
      <c r="E18" s="2937">
        <f>ROUND(B5*E17*IF(B26=0,1,E20),0)</f>
        <v>1237635</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4" customFormat="1" ht="15" thickBot="1">
      <c r="A19" s="1311"/>
      <c r="B19" s="1311"/>
      <c r="C19" s="1685"/>
      <c r="D19" s="2936" t="str">
        <f>IF(B26=0,"——","续建建安")</f>
        <v>——</v>
      </c>
      <c r="E19" s="2937" t="str">
        <f>IF(B26=0,"——",ROUND(B5*E17*(1-E20),0))</f>
        <v>——</v>
      </c>
      <c r="F19" s="2655" t="str">
        <f>IF(B26=0,"——",ROUND(E5*E17*(1-E20),0))</f>
        <v>——</v>
      </c>
      <c r="G19" s="1685"/>
      <c r="H19" s="3166">
        <f>ROUND(1-(1-0)*(2021-B27)/60,2)</f>
        <v>0.72</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4" customFormat="1" ht="15" thickBot="1">
      <c r="A20" s="2938" t="s">
        <v>1646</v>
      </c>
      <c r="B20" s="1311"/>
      <c r="C20" s="1685"/>
      <c r="D20" s="2940" t="str">
        <f>IF(B26=0,"成新率","工程进度")</f>
        <v>成新率</v>
      </c>
      <c r="E20" s="2657">
        <f>ROUND((H19+H20)/2,2)</f>
        <v>0.81</v>
      </c>
      <c r="F20" s="947"/>
      <c r="G20" s="1685"/>
      <c r="H20" s="3166">
        <v>0.9</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4" customFormat="1" ht="14.25">
      <c r="A21" s="2939" t="s">
        <v>1647</v>
      </c>
      <c r="B21" s="2656"/>
      <c r="C21" s="1685"/>
      <c r="D21" s="2927" t="s">
        <v>1649</v>
      </c>
      <c r="E21" s="2659">
        <v>0.03</v>
      </c>
      <c r="F21" s="2670"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4" customFormat="1" ht="14.25">
      <c r="A22" s="2941" t="s">
        <v>1648</v>
      </c>
      <c r="B22" s="2658">
        <v>1</v>
      </c>
      <c r="C22" s="1685"/>
      <c r="D22" s="2927" t="s">
        <v>1651</v>
      </c>
      <c r="E22" s="2662">
        <v>0.05</v>
      </c>
      <c r="F22" s="2670"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4" customFormat="1" ht="14.25">
      <c r="A23" s="2942" t="s">
        <v>1650</v>
      </c>
      <c r="B23" s="2661">
        <v>1</v>
      </c>
      <c r="C23" s="1685"/>
      <c r="D23" s="2927" t="s">
        <v>1653</v>
      </c>
      <c r="E23" s="2649"/>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4" customFormat="1" ht="15" thickBot="1">
      <c r="A24" s="2943" t="s">
        <v>1652</v>
      </c>
      <c r="B24" s="2944">
        <f>B21+B22</f>
        <v>1</v>
      </c>
      <c r="C24" s="1685"/>
      <c r="D24" s="2934" t="s">
        <v>1655</v>
      </c>
      <c r="E24" s="2663">
        <v>1.4999999999999999E-2</v>
      </c>
      <c r="F24" s="2670"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1654</v>
      </c>
      <c r="B25" s="2946">
        <f>B21+B23</f>
        <v>1</v>
      </c>
      <c r="C25" s="1685"/>
      <c r="D25" s="2926" t="s">
        <v>1657</v>
      </c>
      <c r="E25" s="2659">
        <v>0.03</v>
      </c>
      <c r="F25" s="2670" t="s">
        <v>2847</v>
      </c>
      <c r="I25" s="2965"/>
    </row>
    <row r="26" spans="1:41" ht="15" thickBot="1">
      <c r="A26" s="2943" t="s">
        <v>1656</v>
      </c>
      <c r="B26" s="2947">
        <f>B22-B23</f>
        <v>0</v>
      </c>
      <c r="D26" s="2927" t="s">
        <v>1659</v>
      </c>
      <c r="E26" s="2662">
        <v>0.02</v>
      </c>
      <c r="F26" s="2670" t="s">
        <v>2847</v>
      </c>
      <c r="G26" s="2966"/>
      <c r="H26" s="2966"/>
      <c r="I26" s="1685"/>
      <c r="J26" s="1685"/>
      <c r="K26" s="1685"/>
      <c r="L26" s="1685"/>
      <c r="M26" s="1685"/>
      <c r="N26" s="1685"/>
    </row>
    <row r="27" spans="1:41" ht="15.75" thickBot="1">
      <c r="A27" s="2948" t="s">
        <v>1658</v>
      </c>
      <c r="B27" s="2664">
        <v>2004</v>
      </c>
      <c r="C27" s="1685"/>
      <c r="D27" s="3154" t="s">
        <v>2907</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0.2</v>
      </c>
      <c r="G28" s="2966"/>
      <c r="H28" s="2966"/>
      <c r="K28" s="1685"/>
      <c r="N28" s="1685"/>
    </row>
    <row r="29" spans="1:41" ht="14.25">
      <c r="A29" s="2950" t="s">
        <v>1660</v>
      </c>
      <c r="B29" s="2665" t="s">
        <v>2906</v>
      </c>
      <c r="D29" s="2932" t="s">
        <v>1662</v>
      </c>
      <c r="E29" s="2951">
        <f>E30+E31</f>
        <v>5.5000000000000007E-2</v>
      </c>
      <c r="F29" s="1310"/>
      <c r="G29" s="2966"/>
      <c r="H29" s="2966"/>
      <c r="K29" s="1685"/>
      <c r="N29" s="1685"/>
    </row>
    <row r="30" spans="1:41" ht="14.25">
      <c r="A30" s="2927" t="str">
        <f>IF(B29="租赁期内按合同租金","合同租金","市场租金")</f>
        <v>市场租金</v>
      </c>
      <c r="B30" s="2667">
        <v>20000</v>
      </c>
      <c r="D30" s="2934" t="s">
        <v>1664</v>
      </c>
      <c r="E30" s="2668">
        <v>0.05</v>
      </c>
      <c r="F30" s="2953">
        <f>IF(B2&lt;DATE(2016,5,1),0,E30)</f>
        <v>0.05</v>
      </c>
      <c r="G30" s="2966"/>
      <c r="H30" s="2966"/>
      <c r="K30" s="1685"/>
      <c r="N30" s="1685"/>
    </row>
    <row r="31" spans="1:41" ht="14.25">
      <c r="A31" s="2927" t="s">
        <v>1663</v>
      </c>
      <c r="B31" s="2952">
        <f ca="1">存贷款利率!I1</f>
        <v>1.4999999999999999E-2</v>
      </c>
      <c r="D31" s="2934" t="s">
        <v>1666</v>
      </c>
      <c r="E31" s="2954">
        <f>E30*(E32+E33+E34)+E35</f>
        <v>5.000000000000001E-3</v>
      </c>
      <c r="F31" s="1310"/>
      <c r="G31" s="2966"/>
      <c r="H31" s="2966"/>
      <c r="K31" s="1685"/>
      <c r="N31" s="1685"/>
    </row>
    <row r="32" spans="1:41" ht="14.25">
      <c r="A32" s="2927" t="s">
        <v>1665</v>
      </c>
      <c r="B32" s="2652">
        <v>2.5000000000000001E-2</v>
      </c>
      <c r="D32" s="2934" t="s">
        <v>1668</v>
      </c>
      <c r="E32" s="2669">
        <v>0.05</v>
      </c>
      <c r="F32" s="2670" t="s">
        <v>2733</v>
      </c>
      <c r="G32" s="2966"/>
      <c r="H32" s="2966"/>
      <c r="K32" s="1685"/>
      <c r="L32" s="1685"/>
      <c r="M32" s="1685"/>
      <c r="N32" s="1685"/>
    </row>
    <row r="33" spans="1:14" ht="14.25">
      <c r="A33" s="2927" t="s">
        <v>1667</v>
      </c>
      <c r="B33" s="2652">
        <v>0.15</v>
      </c>
      <c r="D33" s="2934" t="s">
        <v>1670</v>
      </c>
      <c r="E33" s="2668">
        <v>0.03</v>
      </c>
      <c r="F33" s="1309" t="s">
        <v>1671</v>
      </c>
      <c r="G33" s="2966"/>
      <c r="H33" s="2966"/>
      <c r="K33" s="1685"/>
      <c r="L33" s="1685"/>
      <c r="M33" s="1685"/>
      <c r="N33" s="1685"/>
    </row>
    <row r="34" spans="1:14" s="2672" customFormat="1" ht="14.25">
      <c r="A34" s="2927" t="s">
        <v>1669</v>
      </c>
      <c r="B34" s="2955">
        <f>收益法!J54</f>
        <v>52</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5">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25">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25">
      <c r="A40" s="2927" t="str">
        <f>IF(B29="租赁期内按合同租金","成新率","——")</f>
        <v>——</v>
      </c>
      <c r="B40" s="2652"/>
      <c r="D40" s="2959" t="s">
        <v>1683</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c r="F41" s="1311" t="s">
        <v>1686</v>
      </c>
      <c r="G41" s="1771" t="s">
        <v>1687</v>
      </c>
      <c r="H41" s="2966"/>
      <c r="I41" s="1685"/>
      <c r="J41" s="1685"/>
      <c r="K41" s="1685"/>
      <c r="L41" s="1685"/>
      <c r="M41" s="1685"/>
      <c r="N41" s="1685"/>
    </row>
    <row r="42" spans="1:14" ht="14.25">
      <c r="A42" s="2926" t="s">
        <v>1684</v>
      </c>
      <c r="B42" s="2677">
        <v>1</v>
      </c>
      <c r="D42" s="2680" t="s">
        <v>1689</v>
      </c>
      <c r="E42" s="2667"/>
      <c r="F42" s="1311">
        <v>30</v>
      </c>
      <c r="G42" s="2966"/>
      <c r="H42" s="2966"/>
      <c r="I42" s="1685"/>
      <c r="J42" s="1685"/>
      <c r="K42" s="1685"/>
      <c r="L42" s="1685"/>
      <c r="M42" s="1685"/>
      <c r="N42" s="1685"/>
    </row>
    <row r="43" spans="1:14" ht="14.25">
      <c r="A43" s="2927" t="s">
        <v>1688</v>
      </c>
      <c r="B43" s="2679">
        <v>12</v>
      </c>
      <c r="D43" s="2680" t="s">
        <v>1691</v>
      </c>
      <c r="E43" s="2667"/>
      <c r="F43" s="1311">
        <v>24</v>
      </c>
      <c r="G43" s="2966"/>
      <c r="H43" s="2966"/>
      <c r="I43" s="1685"/>
      <c r="J43" s="1685"/>
      <c r="K43" s="1685"/>
      <c r="L43" s="1685"/>
      <c r="M43" s="1685"/>
      <c r="N43" s="1685"/>
    </row>
    <row r="44" spans="1:14" ht="14.25">
      <c r="A44" s="2927" t="s">
        <v>1690</v>
      </c>
      <c r="B44" s="2667"/>
      <c r="D44" s="2680" t="s">
        <v>1693</v>
      </c>
      <c r="E44" s="2667"/>
      <c r="F44" s="1311">
        <v>18</v>
      </c>
      <c r="G44" s="2672"/>
      <c r="H44" s="2672"/>
      <c r="I44" s="2966"/>
      <c r="J44" s="1685"/>
      <c r="K44" s="1685"/>
      <c r="L44" s="1685"/>
      <c r="M44" s="1685"/>
      <c r="N44" s="1685"/>
    </row>
    <row r="45" spans="1:14" ht="14.25">
      <c r="A45" s="2927" t="s">
        <v>1692</v>
      </c>
      <c r="B45" s="2681">
        <v>1.4999999999999999E-2</v>
      </c>
      <c r="C45" s="2560" t="s">
        <v>2845</v>
      </c>
      <c r="D45" s="2680" t="s">
        <v>1695</v>
      </c>
      <c r="E45" s="2667"/>
      <c r="F45" s="1311">
        <v>12</v>
      </c>
      <c r="G45" s="2672"/>
      <c r="H45" s="2672"/>
      <c r="M45" s="1685"/>
      <c r="N45" s="1685"/>
    </row>
    <row r="46" spans="1:14" ht="14.25">
      <c r="A46" s="2927" t="s">
        <v>1694</v>
      </c>
      <c r="B46" s="2682">
        <v>1.5E-3</v>
      </c>
      <c r="C46" s="2560" t="s">
        <v>2843</v>
      </c>
      <c r="D46" s="2680" t="s">
        <v>1457</v>
      </c>
      <c r="E46" s="2667"/>
      <c r="F46" s="1311">
        <v>3</v>
      </c>
      <c r="G46" s="2672"/>
      <c r="H46" s="2672"/>
      <c r="M46" s="1685"/>
      <c r="N46" s="1685"/>
    </row>
    <row r="47" spans="1:14" ht="15" thickBot="1">
      <c r="A47" s="2930" t="s">
        <v>1696</v>
      </c>
      <c r="B47" s="2683">
        <v>0.01</v>
      </c>
      <c r="C47" s="2560" t="s">
        <v>2844</v>
      </c>
      <c r="D47" s="2680" t="s">
        <v>1697</v>
      </c>
      <c r="E47" s="2667"/>
      <c r="F47" s="1311">
        <v>1.5</v>
      </c>
      <c r="G47" s="2672"/>
      <c r="H47" s="2672"/>
      <c r="M47" s="1685"/>
      <c r="N47" s="1685"/>
    </row>
    <row r="48" spans="1:14" ht="14.25">
      <c r="A48" s="2672"/>
      <c r="B48" s="2672"/>
      <c r="D48" s="2680" t="s">
        <v>1698</v>
      </c>
      <c r="E48" s="2667"/>
      <c r="F48" s="1311"/>
      <c r="G48" s="2672"/>
      <c r="H48" s="2672"/>
      <c r="M48" s="1685"/>
      <c r="N48" s="1685"/>
    </row>
    <row r="49" spans="1:41" ht="14.25">
      <c r="A49" s="2672"/>
      <c r="B49" s="2672"/>
      <c r="D49" s="2680" t="s">
        <v>1699</v>
      </c>
      <c r="E49" s="2667"/>
      <c r="F49" s="1311"/>
      <c r="G49" s="2672"/>
      <c r="H49" s="2672"/>
      <c r="M49" s="1685"/>
      <c r="N49" s="1685"/>
    </row>
    <row r="50" spans="1:41" ht="14.25">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66" t="s">
        <v>1702</v>
      </c>
      <c r="B1" s="3267"/>
      <c r="C1" s="3267"/>
      <c r="D1" s="3267"/>
      <c r="E1" s="3267"/>
      <c r="F1" s="3267"/>
      <c r="G1" s="3267"/>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2850</v>
      </c>
      <c r="D2" s="3099"/>
      <c r="E2" s="3096"/>
      <c r="F2" s="3100"/>
      <c r="G2" s="3098" t="s">
        <v>2851</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36">
      <c r="A3" s="3102" t="s">
        <v>2852</v>
      </c>
      <c r="B3" s="3103" t="s">
        <v>2853</v>
      </c>
      <c r="C3" s="3104" t="s">
        <v>2854</v>
      </c>
      <c r="D3" s="3105"/>
      <c r="E3" s="3106" t="s">
        <v>2852</v>
      </c>
      <c r="F3" s="3107" t="s">
        <v>2855</v>
      </c>
      <c r="G3" s="3108" t="s">
        <v>2856</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75">
      <c r="A4" s="3106"/>
      <c r="B4" s="3090" t="s">
        <v>2857</v>
      </c>
      <c r="C4" s="3109" t="s">
        <v>2858</v>
      </c>
      <c r="D4" s="3105"/>
      <c r="E4" s="3110"/>
      <c r="F4" s="3092" t="s">
        <v>2859</v>
      </c>
      <c r="G4" s="3111" t="s">
        <v>2860</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24.75">
      <c r="A5" s="3106"/>
      <c r="B5" s="3090" t="s">
        <v>2861</v>
      </c>
      <c r="C5" s="3109" t="s">
        <v>2862</v>
      </c>
      <c r="D5" s="3105"/>
      <c r="E5" s="3110"/>
      <c r="F5" s="3090" t="s">
        <v>2863</v>
      </c>
      <c r="G5" s="3111" t="s">
        <v>2864</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2865</v>
      </c>
      <c r="C6" s="3111" t="s">
        <v>2860</v>
      </c>
      <c r="D6" s="3105"/>
      <c r="E6" s="3110"/>
      <c r="F6" s="3090" t="s">
        <v>2866</v>
      </c>
      <c r="G6" s="3111" t="s">
        <v>2867</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6"/>
      <c r="B7" s="3090" t="s">
        <v>2863</v>
      </c>
      <c r="C7" s="3111" t="s">
        <v>2864</v>
      </c>
      <c r="D7" s="2979"/>
      <c r="E7" s="3112"/>
      <c r="F7" s="3113" t="s">
        <v>2868</v>
      </c>
      <c r="G7" s="3114" t="s">
        <v>2869</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6"/>
      <c r="B8" s="3090" t="s">
        <v>2866</v>
      </c>
      <c r="C8" s="3111" t="s">
        <v>2867</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2870</v>
      </c>
      <c r="C9" s="3109" t="s">
        <v>2871</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2872</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21"/>
      <c r="B14" s="3121"/>
      <c r="C14" s="3122" t="s">
        <v>2873</v>
      </c>
      <c r="D14" s="3105"/>
      <c r="E14" s="3123"/>
      <c r="F14" s="3123"/>
      <c r="G14" s="3098" t="s">
        <v>2874</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38.25">
      <c r="A15" s="3127" t="s">
        <v>2875</v>
      </c>
      <c r="B15" s="3128" t="s">
        <v>2853</v>
      </c>
      <c r="C15" s="3129" t="str">
        <f>C3</f>
        <v>估价对象周边居住用地比例、居住小区规模和社区发展完善程度，综合评价居住社区成熟度一般</v>
      </c>
      <c r="D15" s="3105"/>
      <c r="E15" s="3130" t="s">
        <v>2876</v>
      </c>
      <c r="F15" s="3128" t="s">
        <v>2877</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25.5">
      <c r="A16" s="3132"/>
      <c r="B16" s="2571" t="s">
        <v>2857</v>
      </c>
      <c r="C16" s="3133" t="str">
        <f>C4</f>
        <v>估价对象位于XX商圈，周边商业氛围成熟，人流量大，商业繁华度好</v>
      </c>
      <c r="D16" s="3105"/>
      <c r="E16" s="3134"/>
      <c r="F16" s="3091" t="s">
        <v>2859</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25.5">
      <c r="A17" s="3132"/>
      <c r="B17" s="2571" t="s">
        <v>2861</v>
      </c>
      <c r="C17" s="3133" t="str">
        <f>C5</f>
        <v>估价对象位于XX商圈，周边办公楼项目较多，入驻率高，办公集聚程度较好</v>
      </c>
      <c r="D17" s="2979"/>
      <c r="E17" s="3134"/>
      <c r="F17" s="3091" t="s">
        <v>2878</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8.25">
      <c r="A18" s="3132"/>
      <c r="B18" s="3091" t="s">
        <v>2865</v>
      </c>
      <c r="C18" s="3135" t="str">
        <f>C6</f>
        <v>估价对象周边道路状况、公共交通通达情况、停车便捷程度，综合评价交通便捷度较好</v>
      </c>
      <c r="D18" s="2979"/>
      <c r="E18" s="3134"/>
      <c r="F18" s="3091" t="s">
        <v>2868</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12.75">
      <c r="A19" s="3132"/>
      <c r="B19" s="3091" t="s">
        <v>2879</v>
      </c>
      <c r="C19" s="3136"/>
      <c r="D19" s="3105"/>
      <c r="E19" s="3134"/>
      <c r="F19" s="3090" t="s">
        <v>2863</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5.5">
      <c r="A20" s="3132"/>
      <c r="B20" s="3091" t="s">
        <v>2880</v>
      </c>
      <c r="C20" s="3133" t="str">
        <f>C9</f>
        <v>区域自然环境：；人文环境；综合评价环境状况一般</v>
      </c>
      <c r="D20" s="2979"/>
      <c r="E20" s="3134"/>
      <c r="F20" s="3090" t="s">
        <v>2866</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5.5">
      <c r="A21" s="3132"/>
      <c r="B21" s="3090" t="s">
        <v>2863</v>
      </c>
      <c r="C21" s="3135" t="str">
        <f>C7</f>
        <v>估价对象所在区域公共配套设施齐备情况</v>
      </c>
      <c r="D21" s="3105"/>
      <c r="E21" s="3134"/>
      <c r="F21" s="3091" t="s">
        <v>2881</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2.75">
      <c r="A22" s="3132"/>
      <c r="B22" s="3090" t="s">
        <v>2866</v>
      </c>
      <c r="C22" s="3135" t="str">
        <f>C8</f>
        <v>估价对象所在区域基础设施水平</v>
      </c>
      <c r="D22" s="3105"/>
      <c r="E22" s="3134"/>
      <c r="F22" s="3091" t="s">
        <v>2872</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2881</v>
      </c>
      <c r="C23" s="3137"/>
      <c r="D23" s="3124"/>
      <c r="E23" s="3139"/>
      <c r="F23" s="3093" t="s">
        <v>2882</v>
      </c>
      <c r="G23" s="3140"/>
      <c r="H23" s="3124"/>
      <c r="I23" s="3125"/>
      <c r="J23" s="3124"/>
      <c r="K23" s="3124"/>
      <c r="L23" s="3125"/>
      <c r="M23" s="3124"/>
      <c r="N23" s="3124"/>
      <c r="O23" s="3125"/>
      <c r="P23" s="3124"/>
      <c r="Q23" s="3124"/>
      <c r="R23" s="3126"/>
    </row>
    <row r="24" spans="1:29" s="3101" customFormat="1" ht="13.5" thickBot="1">
      <c r="A24" s="3141"/>
      <c r="B24" s="3093" t="s">
        <v>2883</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0" customWidth="1"/>
    <col min="2" max="16384" width="14.625" style="2580"/>
  </cols>
  <sheetData>
    <row r="1" spans="1:9" ht="16.5">
      <c r="A1" s="2578" t="s">
        <v>1212</v>
      </c>
      <c r="B1" s="2578">
        <f>SUM(B14:B23)</f>
        <v>353.61</v>
      </c>
      <c r="C1" s="1634"/>
      <c r="D1" s="1634"/>
      <c r="E1" s="1634"/>
      <c r="F1" s="1634"/>
      <c r="G1" s="2579"/>
    </row>
    <row r="2" spans="1:9" ht="16.5">
      <c r="A2" s="2578" t="s">
        <v>1213</v>
      </c>
      <c r="B2" s="2578">
        <f>SUM(C14:C23)</f>
        <v>0</v>
      </c>
      <c r="C2" s="1634"/>
      <c r="D2" s="1634"/>
      <c r="E2" s="1634"/>
      <c r="F2" s="1634"/>
      <c r="G2" s="2579"/>
    </row>
    <row r="3" spans="1:9" ht="16.5">
      <c r="A3" s="2578" t="s">
        <v>1214</v>
      </c>
      <c r="B3" s="2581">
        <f>项目基本情况!D2</f>
        <v>44342</v>
      </c>
      <c r="C3" s="1634"/>
      <c r="D3" s="1634"/>
      <c r="E3" s="1634"/>
      <c r="F3" s="1634"/>
      <c r="G3" s="2579"/>
    </row>
    <row r="4" spans="1:9" ht="33">
      <c r="A4" s="2578" t="s">
        <v>1215</v>
      </c>
      <c r="B4" s="2578" t="s">
        <v>1216</v>
      </c>
      <c r="C4" s="2578" t="s">
        <v>1217</v>
      </c>
      <c r="D4" s="2578" t="s">
        <v>1218</v>
      </c>
      <c r="E4" s="1634"/>
      <c r="F4" s="2579"/>
      <c r="G4" s="2579"/>
    </row>
    <row r="5" spans="1:9" ht="16.5">
      <c r="A5" s="2578" t="s">
        <v>1219</v>
      </c>
      <c r="B5" s="2578">
        <f ca="1">SUM(D14:D23)</f>
        <v>1641.2455</v>
      </c>
      <c r="C5" s="2578">
        <f ca="1">ROUND(B5*10000/$B$1,0)</f>
        <v>46414</v>
      </c>
      <c r="D5" s="2578" t="e">
        <f ca="1">ROUND(B5*10000/$B$2,0)</f>
        <v>#DIV/0!</v>
      </c>
      <c r="E5" s="1634"/>
      <c r="F5" s="2579"/>
      <c r="G5" s="2579"/>
    </row>
    <row r="6" spans="1:9" ht="16.5">
      <c r="A6" s="2578" t="s">
        <v>1220</v>
      </c>
      <c r="B6" s="2578">
        <f ca="1">SUM(G14:G23)</f>
        <v>1641.2455</v>
      </c>
      <c r="C6" s="2578">
        <f t="shared" ref="C6:C8" ca="1" si="0">ROUND(B6*10000/$B$1,0)</f>
        <v>46414</v>
      </c>
      <c r="D6" s="2578" t="e">
        <f t="shared" ref="D6:D8" ca="1" si="1">ROUND(B6*10000/$B$2,0)</f>
        <v>#DIV/0!</v>
      </c>
      <c r="E6" s="1634"/>
      <c r="F6" s="2579"/>
      <c r="G6" s="2579"/>
    </row>
    <row r="7" spans="1:9" ht="16.5">
      <c r="A7" s="2578" t="s">
        <v>1221</v>
      </c>
      <c r="B7" s="2578" t="e">
        <f>SUM(H14:H23)</f>
        <v>#VALUE!</v>
      </c>
      <c r="C7" s="2578" t="e">
        <f>ROUND(B7*10000/$B$1,0)</f>
        <v>#VALUE!</v>
      </c>
      <c r="D7" s="2578" t="e">
        <f t="shared" si="1"/>
        <v>#VALUE!</v>
      </c>
      <c r="E7" s="1634"/>
      <c r="F7" s="2579"/>
      <c r="G7" s="2579"/>
    </row>
    <row r="8" spans="1:9" ht="16.5">
      <c r="A8" s="2578" t="s">
        <v>1222</v>
      </c>
      <c r="B8" s="2578" t="e">
        <f>SUM(I14:I23)</f>
        <v>#VALUE!</v>
      </c>
      <c r="C8" s="2578" t="e">
        <f t="shared" si="0"/>
        <v>#VALUE!</v>
      </c>
      <c r="D8" s="2578" t="e">
        <f t="shared" si="1"/>
        <v>#VALUE!</v>
      </c>
      <c r="E8" s="1634"/>
      <c r="F8" s="2579"/>
      <c r="G8" s="2579"/>
    </row>
    <row r="9" spans="1:9" ht="16.5">
      <c r="A9" s="2578" t="s">
        <v>1223</v>
      </c>
      <c r="B9" s="2582"/>
      <c r="C9" s="1634"/>
      <c r="D9" s="1634"/>
      <c r="E9" s="1634"/>
      <c r="F9" s="2579"/>
      <c r="G9" s="2579"/>
    </row>
    <row r="10" spans="1:9" ht="16.5">
      <c r="A10" s="2578" t="s">
        <v>1224</v>
      </c>
      <c r="B10" s="2582"/>
      <c r="C10" s="1634"/>
      <c r="D10" s="1634"/>
      <c r="E10" s="1634"/>
      <c r="F10" s="2579"/>
      <c r="G10" s="2579"/>
    </row>
    <row r="11" spans="1:9" ht="16.5">
      <c r="A11" s="2578" t="s">
        <v>1239</v>
      </c>
      <c r="B11" s="2582"/>
      <c r="C11" s="1634"/>
      <c r="D11" s="1634"/>
      <c r="E11" s="1634"/>
      <c r="F11" s="2579"/>
      <c r="G11" s="2579"/>
    </row>
    <row r="12" spans="1:9" ht="16.5">
      <c r="A12" s="1634"/>
      <c r="B12" s="1634"/>
      <c r="C12" s="1634"/>
      <c r="D12" s="1634"/>
      <c r="E12" s="1634"/>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4" t="s">
        <v>2908</v>
      </c>
      <c r="B14" s="2914">
        <f>项目基本情况!C12</f>
        <v>353.61</v>
      </c>
      <c r="C14" s="2914">
        <f>项目基本情况!C13</f>
        <v>0</v>
      </c>
      <c r="D14" s="2914">
        <f ca="1">IF('数据-取费表'!B3="万元",IF(A14="估价对象1（结果表）",结果表!H121,'结果表 (1修多)'!H125),IF(A14="估价对象1（结果表）",结果表!H121,'结果表 (1修多)'!H125)/10000)</f>
        <v>1641.2455</v>
      </c>
      <c r="E14" s="2914">
        <f ca="1">ROUND(D14*10000/B14,0)</f>
        <v>46414</v>
      </c>
      <c r="F14" s="2914" t="e">
        <f ca="1">ROUND(D14*10000/C14,0)</f>
        <v>#DIV/0!</v>
      </c>
      <c r="G14" s="2914">
        <f ca="1">IF('数据-取费表'!B3="万元",IF(A14="估价对象1（结果表）",结果表!D125,'结果表 (1修多)'!D129),IF(A14="估价对象1（结果表）",结果表!D125,'结果表 (1修多)'!D129)/10000)</f>
        <v>1641.2455</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6.5">
      <c r="A15" s="2585" t="s">
        <v>1229</v>
      </c>
      <c r="B15" s="2586"/>
      <c r="C15" s="2586"/>
      <c r="D15" s="2586"/>
      <c r="E15" s="2914" t="e">
        <f t="shared" ref="E15:E23" si="2">ROUND(D15*10000/B15,0)</f>
        <v>#DIV/0!</v>
      </c>
      <c r="F15" s="2914" t="e">
        <f t="shared" ref="F15:F23" si="3">ROUND(D15*10000/C15,0)</f>
        <v>#DIV/0!</v>
      </c>
      <c r="G15" s="1305"/>
      <c r="H15" s="1305"/>
      <c r="I15" s="2586"/>
    </row>
    <row r="16" spans="1:9" ht="16.5">
      <c r="A16" s="2585" t="s">
        <v>1230</v>
      </c>
      <c r="B16" s="2586"/>
      <c r="C16" s="2586"/>
      <c r="D16" s="2586"/>
      <c r="E16" s="2914" t="e">
        <f t="shared" si="2"/>
        <v>#DIV/0!</v>
      </c>
      <c r="F16" s="2914" t="e">
        <f t="shared" si="3"/>
        <v>#DIV/0!</v>
      </c>
      <c r="G16" s="1305"/>
      <c r="H16" s="1305"/>
      <c r="I16" s="2586"/>
    </row>
    <row r="17" spans="1:9" ht="16.5">
      <c r="A17" s="2585" t="s">
        <v>1231</v>
      </c>
      <c r="B17" s="2586"/>
      <c r="C17" s="2586"/>
      <c r="D17" s="2586"/>
      <c r="E17" s="2914" t="e">
        <f t="shared" si="2"/>
        <v>#DIV/0!</v>
      </c>
      <c r="F17" s="2914" t="e">
        <f t="shared" si="3"/>
        <v>#DIV/0!</v>
      </c>
      <c r="G17" s="1305"/>
      <c r="H17" s="1305"/>
      <c r="I17" s="2586"/>
    </row>
    <row r="18" spans="1:9" ht="16.5">
      <c r="A18" s="2585" t="s">
        <v>1232</v>
      </c>
      <c r="B18" s="2586"/>
      <c r="C18" s="2586"/>
      <c r="D18" s="2586"/>
      <c r="E18" s="2914" t="e">
        <f t="shared" si="2"/>
        <v>#DIV/0!</v>
      </c>
      <c r="F18" s="2914" t="e">
        <f t="shared" si="3"/>
        <v>#DIV/0!</v>
      </c>
      <c r="G18" s="2586"/>
      <c r="H18" s="2586"/>
      <c r="I18" s="2586"/>
    </row>
    <row r="19" spans="1:9" ht="16.5">
      <c r="A19" s="2585" t="s">
        <v>1233</v>
      </c>
      <c r="B19" s="2586"/>
      <c r="C19" s="2586"/>
      <c r="D19" s="2586"/>
      <c r="E19" s="2914" t="e">
        <f t="shared" si="2"/>
        <v>#DIV/0!</v>
      </c>
      <c r="F19" s="2914" t="e">
        <f t="shared" si="3"/>
        <v>#DIV/0!</v>
      </c>
      <c r="G19" s="2586"/>
      <c r="H19" s="2586"/>
      <c r="I19" s="2586"/>
    </row>
    <row r="20" spans="1:9" ht="16.5">
      <c r="A20" s="2585" t="s">
        <v>1234</v>
      </c>
      <c r="B20" s="2586"/>
      <c r="C20" s="2586"/>
      <c r="D20" s="2586"/>
      <c r="E20" s="2914" t="e">
        <f t="shared" si="2"/>
        <v>#DIV/0!</v>
      </c>
      <c r="F20" s="2914" t="e">
        <f t="shared" si="3"/>
        <v>#DIV/0!</v>
      </c>
      <c r="G20" s="2586"/>
      <c r="H20" s="2586"/>
      <c r="I20" s="2586"/>
    </row>
    <row r="21" spans="1:9" ht="16.5">
      <c r="A21" s="2585" t="s">
        <v>1235</v>
      </c>
      <c r="B21" s="2586"/>
      <c r="C21" s="2586"/>
      <c r="D21" s="2586"/>
      <c r="E21" s="2914" t="e">
        <f t="shared" si="2"/>
        <v>#DIV/0!</v>
      </c>
      <c r="F21" s="2914" t="e">
        <f t="shared" si="3"/>
        <v>#DIV/0!</v>
      </c>
      <c r="G21" s="2586"/>
      <c r="H21" s="2586"/>
      <c r="I21" s="2586"/>
    </row>
    <row r="22" spans="1:9" ht="16.5">
      <c r="A22" s="2585" t="s">
        <v>1236</v>
      </c>
      <c r="B22" s="2586"/>
      <c r="C22" s="2586"/>
      <c r="D22" s="2586"/>
      <c r="E22" s="2914" t="e">
        <f t="shared" si="2"/>
        <v>#DIV/0!</v>
      </c>
      <c r="F22" s="2914" t="e">
        <f t="shared" si="3"/>
        <v>#DIV/0!</v>
      </c>
      <c r="G22" s="2586"/>
      <c r="H22" s="2586"/>
      <c r="I22" s="2586"/>
    </row>
    <row r="23" spans="1:9" ht="16.5">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3" zoomScale="115" zoomScaleNormal="100" zoomScaleSheetLayoutView="115" zoomScalePageLayoutView="80" workbookViewId="0">
      <selection activeCell="L131" sqref="L131"/>
    </sheetView>
  </sheetViews>
  <sheetFormatPr defaultColWidth="12.625" defaultRowHeight="21.75" customHeight="1"/>
  <cols>
    <col min="1" max="2" width="12.625" style="1462"/>
    <col min="3" max="4" width="12.625" style="1462" customWidth="1"/>
    <col min="5" max="9" width="12.625" style="1462"/>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9" t="str">
        <f>项目基本情况!B1</f>
        <v>北京市房地产抵押价值预评估</v>
      </c>
      <c r="B2" s="3339"/>
      <c r="C2" s="3339"/>
      <c r="D2" s="3339"/>
      <c r="E2" s="3339"/>
      <c r="F2" s="3339"/>
      <c r="G2" s="3339"/>
      <c r="H2" s="3339"/>
      <c r="I2" s="3339"/>
      <c r="J2" s="2841"/>
    </row>
    <row r="3" spans="1:15" ht="12.75">
      <c r="A3" s="3344" t="s">
        <v>1710</v>
      </c>
      <c r="B3" s="3345"/>
      <c r="C3" s="3345"/>
      <c r="D3" s="3345"/>
      <c r="E3" s="3345"/>
      <c r="F3" s="3345"/>
      <c r="G3" s="3345"/>
      <c r="H3" s="3345"/>
      <c r="I3" s="3345"/>
      <c r="J3" s="2842"/>
    </row>
    <row r="4" spans="1:15" ht="14.25">
      <c r="A4" s="2710" t="s">
        <v>1711</v>
      </c>
      <c r="B4" s="2710" t="s">
        <v>1712</v>
      </c>
      <c r="C4" s="2711" t="s">
        <v>2928</v>
      </c>
      <c r="D4" s="2711" t="s">
        <v>2929</v>
      </c>
      <c r="E4" s="3341" t="s">
        <v>1713</v>
      </c>
      <c r="F4" s="3329"/>
      <c r="G4" s="3329"/>
      <c r="H4" s="3329"/>
      <c r="I4" s="3330"/>
      <c r="J4" s="2843"/>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0" t="s">
        <v>1714</v>
      </c>
      <c r="B5" s="3340">
        <v>25</v>
      </c>
      <c r="C5" s="3346"/>
      <c r="D5" s="3343"/>
      <c r="E5" s="12" t="s">
        <v>1715</v>
      </c>
      <c r="F5" s="2086"/>
      <c r="G5" s="2086"/>
      <c r="H5" s="2086"/>
      <c r="I5" s="2081"/>
      <c r="J5" s="2843"/>
    </row>
    <row r="6" spans="1:15" ht="12.75">
      <c r="A6" s="3340"/>
      <c r="B6" s="3340"/>
      <c r="C6" s="3347"/>
      <c r="D6" s="3343"/>
      <c r="E6" s="12" t="s">
        <v>1716</v>
      </c>
      <c r="F6" s="2086"/>
      <c r="G6" s="2086"/>
      <c r="H6" s="2086"/>
      <c r="I6" s="2081"/>
      <c r="J6" s="2843"/>
    </row>
    <row r="7" spans="1:15" ht="12.75">
      <c r="A7" s="3340"/>
      <c r="B7" s="3340"/>
      <c r="C7" s="3348"/>
      <c r="D7" s="3343"/>
      <c r="E7" s="12" t="s">
        <v>1717</v>
      </c>
      <c r="F7" s="2086"/>
      <c r="G7" s="2086"/>
      <c r="H7" s="2086"/>
      <c r="I7" s="2081"/>
      <c r="J7" s="2843"/>
    </row>
    <row r="8" spans="1:15" ht="12.75">
      <c r="A8" s="3340" t="s">
        <v>1718</v>
      </c>
      <c r="B8" s="3340">
        <v>15</v>
      </c>
      <c r="C8" s="3346"/>
      <c r="D8" s="3343"/>
      <c r="E8" s="12" t="s">
        <v>1719</v>
      </c>
      <c r="F8" s="2086"/>
      <c r="G8" s="2086"/>
      <c r="H8" s="2086"/>
      <c r="I8" s="2081"/>
      <c r="J8" s="2843"/>
    </row>
    <row r="9" spans="1:15" ht="12.75">
      <c r="A9" s="3340"/>
      <c r="B9" s="3340"/>
      <c r="C9" s="3348"/>
      <c r="D9" s="3343"/>
      <c r="E9" s="12" t="s">
        <v>1720</v>
      </c>
      <c r="F9" s="2086"/>
      <c r="G9" s="2086"/>
      <c r="H9" s="2086"/>
      <c r="I9" s="2081"/>
      <c r="J9" s="2843"/>
    </row>
    <row r="10" spans="1:15" ht="12.75">
      <c r="A10" s="3340" t="s">
        <v>1721</v>
      </c>
      <c r="B10" s="3340">
        <v>15</v>
      </c>
      <c r="C10" s="3346"/>
      <c r="D10" s="3343"/>
      <c r="E10" s="12" t="s">
        <v>1722</v>
      </c>
      <c r="F10" s="2086"/>
      <c r="G10" s="2086"/>
      <c r="H10" s="2086"/>
      <c r="I10" s="2081"/>
      <c r="J10" s="2843"/>
    </row>
    <row r="11" spans="1:15" ht="12.75">
      <c r="A11" s="3340"/>
      <c r="B11" s="3340"/>
      <c r="C11" s="3348"/>
      <c r="D11" s="3343"/>
      <c r="E11" s="12" t="s">
        <v>1723</v>
      </c>
      <c r="F11" s="2086"/>
      <c r="G11" s="2086"/>
      <c r="H11" s="2086"/>
      <c r="I11" s="2081"/>
      <c r="J11" s="2843"/>
    </row>
    <row r="12" spans="1:15" ht="12.75">
      <c r="A12" s="3340" t="s">
        <v>1724</v>
      </c>
      <c r="B12" s="3340">
        <v>15</v>
      </c>
      <c r="C12" s="3346"/>
      <c r="D12" s="3343"/>
      <c r="E12" s="12" t="s">
        <v>1725</v>
      </c>
      <c r="F12" s="2086"/>
      <c r="G12" s="2086"/>
      <c r="H12" s="2086"/>
      <c r="I12" s="2081"/>
      <c r="J12" s="2843"/>
    </row>
    <row r="13" spans="1:15" ht="12.75">
      <c r="A13" s="3340"/>
      <c r="B13" s="3340"/>
      <c r="C13" s="3348"/>
      <c r="D13" s="3343"/>
      <c r="E13" s="12" t="s">
        <v>1726</v>
      </c>
      <c r="F13" s="2086"/>
      <c r="G13" s="2086"/>
      <c r="H13" s="2086"/>
      <c r="I13" s="2081"/>
      <c r="J13" s="2843"/>
    </row>
    <row r="14" spans="1:15" ht="12.75">
      <c r="A14" s="3340" t="s">
        <v>1727</v>
      </c>
      <c r="B14" s="3340">
        <v>30</v>
      </c>
      <c r="C14" s="3346">
        <v>8</v>
      </c>
      <c r="D14" s="3343">
        <v>2</v>
      </c>
      <c r="E14" s="12" t="s">
        <v>1728</v>
      </c>
      <c r="F14" s="2086"/>
      <c r="G14" s="2086"/>
      <c r="H14" s="2086"/>
      <c r="I14" s="2081"/>
      <c r="J14" s="2843"/>
    </row>
    <row r="15" spans="1:15" ht="12.75">
      <c r="A15" s="3340"/>
      <c r="B15" s="3340"/>
      <c r="C15" s="3347"/>
      <c r="D15" s="3343"/>
      <c r="E15" s="12" t="s">
        <v>1729</v>
      </c>
      <c r="F15" s="2086"/>
      <c r="G15" s="2086"/>
      <c r="H15" s="2086"/>
      <c r="I15" s="2081"/>
      <c r="J15" s="2843"/>
    </row>
    <row r="16" spans="1:15" ht="12.75">
      <c r="A16" s="3340"/>
      <c r="B16" s="3340"/>
      <c r="C16" s="3348"/>
      <c r="D16" s="3343"/>
      <c r="E16" s="12" t="s">
        <v>1730</v>
      </c>
      <c r="F16" s="2086"/>
      <c r="G16" s="2086"/>
      <c r="H16" s="2086"/>
      <c r="I16" s="2081"/>
      <c r="J16" s="2843"/>
    </row>
    <row r="17" spans="1:36" ht="15">
      <c r="A17" s="2712" t="s">
        <v>1731</v>
      </c>
      <c r="B17" s="2091"/>
      <c r="C17" s="2713">
        <f>SUM(C5:C16)</f>
        <v>8</v>
      </c>
      <c r="D17" s="2713">
        <f>SUM(D5:D16)</f>
        <v>2</v>
      </c>
      <c r="E17" s="2560"/>
      <c r="F17" s="2560"/>
      <c r="G17" s="2560"/>
      <c r="H17" s="2560"/>
      <c r="I17" s="2560"/>
      <c r="J17" s="2844"/>
    </row>
    <row r="18" spans="1:36" ht="30" customHeight="1" thickBot="1">
      <c r="A18" s="2714" t="s">
        <v>1732</v>
      </c>
      <c r="B18" s="2715"/>
      <c r="C18" s="2716">
        <f>ROUND(C17/SUM(C17:D17),2)</f>
        <v>0.8</v>
      </c>
      <c r="D18" s="2716">
        <f>1-C18</f>
        <v>0.19999999999999996</v>
      </c>
      <c r="E18" s="3360" t="s">
        <v>2818</v>
      </c>
      <c r="F18" s="3361"/>
      <c r="G18" s="3361"/>
      <c r="H18" s="3361"/>
      <c r="I18" s="3361"/>
      <c r="J18" s="2844"/>
    </row>
    <row r="19" spans="1:36" ht="15">
      <c r="A19" s="2717" t="s">
        <v>1733</v>
      </c>
      <c r="B19" s="2718" t="s">
        <v>1734</v>
      </c>
      <c r="C19" s="2719">
        <f ca="1">SUMIF(INDIRECT("'"&amp;C4&amp;"'"&amp;"!A:A"),结果表!B19,INDIRECT("'"&amp;C4&amp;"'"&amp;"!B:B"))</f>
        <v>19527759</v>
      </c>
      <c r="D19" s="2720">
        <f ca="1">SUMIF(INDIRECT("'"&amp;D4&amp;"'"&amp;"!A:A"),结果表!B19,INDIRECT("'"&amp;D4&amp;"'"&amp;"!B:B"))</f>
        <v>3950746</v>
      </c>
      <c r="E19" s="2717" t="s">
        <v>1735</v>
      </c>
      <c r="F19" s="2718" t="s">
        <v>1734</v>
      </c>
      <c r="G19" s="2721">
        <f ca="1">ROUND(C19*$C$18+D19*$D$18,0)</f>
        <v>16412356</v>
      </c>
      <c r="H19" s="2722" t="str">
        <f>'数据-取费表'!B3</f>
        <v>元</v>
      </c>
      <c r="I19" s="2770"/>
      <c r="J19" s="2845"/>
    </row>
    <row r="20" spans="1:36" ht="15">
      <c r="A20" s="2723"/>
      <c r="B20" s="1694" t="s">
        <v>1736</v>
      </c>
      <c r="C20" s="1916">
        <f ca="1">SUMIF(INDIRECT("'"&amp;C4&amp;"'"&amp;"!A:A"),结果表!B20,INDIRECT("'"&amp;C4&amp;"'"&amp;"!B:B"))</f>
        <v>55224</v>
      </c>
      <c r="D20" s="1919">
        <f ca="1">SUMIF(INDIRECT("'"&amp;D4&amp;"'"&amp;"!A:A"),结果表!B20,INDIRECT("'"&amp;D4&amp;"'"&amp;"!B:B"))</f>
        <v>11173</v>
      </c>
      <c r="E20" s="2723"/>
      <c r="F20" s="1694" t="s">
        <v>1736</v>
      </c>
      <c r="G20" s="2090">
        <f ca="1">ROUND(C20*$C$18+D20*$D$18,0)</f>
        <v>46414</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3.9428029541762495</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49" t="s">
        <v>1739</v>
      </c>
      <c r="B24" s="2718" t="s">
        <v>1734</v>
      </c>
      <c r="C24" s="2721">
        <f>D30</f>
        <v>0</v>
      </c>
      <c r="D24" s="2673"/>
      <c r="E24" s="947"/>
      <c r="F24" s="947"/>
      <c r="G24" s="947"/>
      <c r="H24" s="947"/>
      <c r="I24" s="947"/>
      <c r="J24" s="2844"/>
    </row>
    <row r="25" spans="1:36" ht="21.75" customHeight="1">
      <c r="A25" s="3350"/>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2822</v>
      </c>
      <c r="F30" s="2560"/>
      <c r="G30" s="2560"/>
      <c r="H30" s="2560"/>
      <c r="I30" s="2560"/>
      <c r="J30" s="2844"/>
    </row>
    <row r="31" spans="1:36" s="2837" customFormat="1" ht="26.45"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楼面单价</v>
      </c>
      <c r="C32" s="2827">
        <f ca="1">IF(B32="总价",G19-C24,G20-C25)</f>
        <v>46414</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c r="E33" s="2743" t="s">
        <v>1747</v>
      </c>
      <c r="F33" s="2744" t="str">
        <f>IF(B32="楼面单价","取值（单价）","取值（总价）")</f>
        <v>取值（单价）</v>
      </c>
      <c r="G33" s="947"/>
      <c r="H33" s="947"/>
      <c r="I33" s="947"/>
      <c r="J33" s="2844"/>
    </row>
    <row r="34" spans="1:17" ht="15">
      <c r="A34" s="1466"/>
      <c r="B34" s="2745" t="s">
        <v>1748</v>
      </c>
      <c r="C34" s="2746">
        <f ca="1">IF(D33="自定义",F34,C32-C35)</f>
        <v>28823</v>
      </c>
      <c r="D34" s="2747">
        <f ca="1">IF(D33="自定义",ROUND(C34/C32,3),1-D35)</f>
        <v>0.621</v>
      </c>
      <c r="E34" s="1435" t="s">
        <v>1749</v>
      </c>
      <c r="F34" s="2748">
        <v>2000</v>
      </c>
      <c r="G34" s="947"/>
      <c r="H34" s="947"/>
      <c r="I34" s="947"/>
      <c r="J34" s="2844"/>
    </row>
    <row r="35" spans="1:17" ht="15.75" thickBot="1">
      <c r="A35" s="1467"/>
      <c r="B35" s="2749" t="s">
        <v>1750</v>
      </c>
      <c r="C35" s="2750">
        <f ca="1">IF(D33="自定义",F35,ROUND(C32*D35,0))</f>
        <v>17591</v>
      </c>
      <c r="D35" s="2751">
        <f ca="1">IF(D33="自定义",ROUND(C35/C32,3),IF(D33="成本法成本比率",成本法!C56,IF(D33="收益法收益比率",收益法!J38,收益法!J41)))</f>
        <v>0.379</v>
      </c>
      <c r="E35" s="2752" t="s">
        <v>1751</v>
      </c>
      <c r="F35" s="2753">
        <v>4460</v>
      </c>
      <c r="G35" s="947"/>
      <c r="H35" s="947"/>
      <c r="I35" s="947"/>
      <c r="J35" s="2844"/>
    </row>
    <row r="36" spans="1:17" ht="15.75" thickBot="1">
      <c r="A36" s="3349" t="s">
        <v>1752</v>
      </c>
      <c r="B36" s="1468" t="s">
        <v>1753</v>
      </c>
      <c r="C36" s="2754">
        <v>0</v>
      </c>
      <c r="D36" s="2755"/>
      <c r="E36" s="1680"/>
      <c r="F36" s="1680"/>
      <c r="G36" s="947"/>
      <c r="H36" s="947"/>
      <c r="I36" s="947"/>
      <c r="J36" s="2844"/>
    </row>
    <row r="37" spans="1:17" ht="15.75" thickBot="1">
      <c r="A37" s="3354"/>
      <c r="B37" s="2091" t="s">
        <v>1754</v>
      </c>
      <c r="C37" s="2756">
        <v>0</v>
      </c>
      <c r="D37" s="1311"/>
      <c r="E37" s="1311"/>
      <c r="F37" s="1680"/>
      <c r="G37" s="1311"/>
      <c r="H37" s="1311"/>
      <c r="I37" s="1311"/>
      <c r="J37" s="2848"/>
    </row>
    <row r="38" spans="1:17" ht="15.75" thickBot="1">
      <c r="A38" s="3355"/>
      <c r="B38" s="1469" t="s">
        <v>1755</v>
      </c>
      <c r="C38" s="2757">
        <v>0</v>
      </c>
      <c r="D38" s="2758" t="s">
        <v>1756</v>
      </c>
      <c r="E38" s="1311"/>
      <c r="F38" s="1680"/>
      <c r="G38" s="1311"/>
      <c r="H38" s="1311"/>
      <c r="I38" s="1311"/>
      <c r="J38" s="2848"/>
    </row>
    <row r="39" spans="1:17" ht="15">
      <c r="A39" s="2723" t="s">
        <v>1757</v>
      </c>
      <c r="B39" s="2759" t="s">
        <v>1741</v>
      </c>
      <c r="C39" s="2760" t="s">
        <v>1742</v>
      </c>
      <c r="D39" s="2760" t="s">
        <v>1758</v>
      </c>
      <c r="E39" s="2761" t="s">
        <v>1743</v>
      </c>
      <c r="F39" s="1680"/>
      <c r="G39" s="1311"/>
      <c r="H39" s="1311"/>
      <c r="I39" s="1311"/>
      <c r="J39" s="2848"/>
    </row>
    <row r="40" spans="1:17" ht="14.25">
      <c r="A40" s="2762" t="s">
        <v>1759</v>
      </c>
      <c r="B40" s="2763"/>
      <c r="C40" s="2764"/>
      <c r="D40" s="2764"/>
      <c r="E40" s="2765"/>
      <c r="F40" s="1680"/>
      <c r="G40" s="1311"/>
      <c r="H40" s="1311"/>
      <c r="I40" s="1311"/>
      <c r="J40" s="2848"/>
    </row>
    <row r="41" spans="1:17" ht="14.25">
      <c r="A41" s="2762" t="s">
        <v>1760</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0"/>
      <c r="J43" s="2849"/>
    </row>
    <row r="44" spans="1:17" ht="18.75">
      <c r="A44" s="1471" t="s">
        <v>1761</v>
      </c>
      <c r="B44" s="1472"/>
      <c r="C44" s="1472"/>
      <c r="D44" s="1473"/>
      <c r="E44" s="1473"/>
      <c r="F44" s="1474"/>
      <c r="G44" s="1474"/>
      <c r="H44" s="1474"/>
      <c r="I44" s="2838" t="s">
        <v>2817</v>
      </c>
      <c r="J44" s="2850"/>
      <c r="K44" s="1475" t="s">
        <v>1762</v>
      </c>
      <c r="L44" s="1476"/>
      <c r="M44" s="1476"/>
      <c r="N44" s="1476"/>
      <c r="O44" s="1476"/>
      <c r="P44" s="1476"/>
      <c r="Q44" s="1308"/>
    </row>
    <row r="45" spans="1:17" ht="14.25" customHeight="1" thickBot="1">
      <c r="A45" s="3274" t="s">
        <v>1763</v>
      </c>
      <c r="B45" s="3275"/>
      <c r="C45" s="3285"/>
      <c r="D45" s="246">
        <f ca="1">ROUND(I102*F45,0)</f>
        <v>16412455</v>
      </c>
      <c r="E45" s="1542" t="s">
        <v>1764</v>
      </c>
      <c r="F45" s="2558">
        <v>1</v>
      </c>
      <c r="G45" s="2559" t="s">
        <v>1765</v>
      </c>
      <c r="H45" s="947"/>
      <c r="I45" s="947"/>
      <c r="J45" s="2844"/>
      <c r="K45" s="3280" t="s">
        <v>2747</v>
      </c>
      <c r="L45" s="3280"/>
      <c r="M45" s="3280"/>
      <c r="N45" s="3280"/>
      <c r="O45" s="3280"/>
      <c r="P45" s="3280"/>
      <c r="Q45" s="1308"/>
    </row>
    <row r="46" spans="1:17" ht="14.25" customHeight="1">
      <c r="A46" s="3351" t="s">
        <v>1767</v>
      </c>
      <c r="B46" s="3352"/>
      <c r="C46" s="3352"/>
      <c r="D46" s="3352"/>
      <c r="E46" s="3352"/>
      <c r="F46" s="3352"/>
      <c r="G46" s="3353"/>
      <c r="H46" s="2976"/>
      <c r="I46" s="947"/>
      <c r="J46" s="2844"/>
      <c r="K46" s="2533">
        <v>1</v>
      </c>
      <c r="L46" s="3281" t="s">
        <v>2748</v>
      </c>
      <c r="M46" s="3281"/>
      <c r="N46" s="3282" t="str">
        <f>项目基本情况!B1</f>
        <v>北京市房地产抵押价值预评估</v>
      </c>
      <c r="O46" s="3282"/>
      <c r="P46" s="3282"/>
      <c r="Q46" s="1308"/>
    </row>
    <row r="47" spans="1:17" ht="12" customHeight="1">
      <c r="A47" s="38" t="s">
        <v>1769</v>
      </c>
      <c r="B47" s="39"/>
      <c r="C47" s="40"/>
      <c r="D47" s="1099" t="s">
        <v>1770</v>
      </c>
      <c r="E47" s="235" t="s">
        <v>1771</v>
      </c>
      <c r="F47" s="41" t="s">
        <v>1772</v>
      </c>
      <c r="G47" s="2561" t="s">
        <v>1773</v>
      </c>
      <c r="H47" s="2976"/>
      <c r="I47" s="947"/>
      <c r="J47" s="2844"/>
      <c r="K47" s="2533">
        <v>2</v>
      </c>
      <c r="L47" s="3281" t="s">
        <v>2749</v>
      </c>
      <c r="M47" s="3281"/>
      <c r="N47" s="3283">
        <f>'数据-取费表'!B2</f>
        <v>44342</v>
      </c>
      <c r="O47" s="3283"/>
      <c r="P47" s="3283"/>
      <c r="Q47" s="1308"/>
    </row>
    <row r="48" spans="1:17" ht="25.5">
      <c r="A48" s="3356" t="s">
        <v>1775</v>
      </c>
      <c r="B48" s="3290"/>
      <c r="C48" s="3290"/>
      <c r="D48" s="12">
        <f ca="1">IF(H48="情况1",0,IF(H48="情况2",D52,IF(H48="情况3",D53,IF(H48="情况4",D54))))</f>
        <v>859700</v>
      </c>
      <c r="E48" s="2089" t="str">
        <f>IF(H48="情况4","(销售额-原购置价)×税（费）率","销售额×税（费）率")</f>
        <v>销售额×税（费）率</v>
      </c>
      <c r="F48" s="2562">
        <f>IF(H48="情况1","免征",'数据-取费表'!E29)</f>
        <v>5.5000000000000007E-2</v>
      </c>
      <c r="G48" s="2563" t="s">
        <v>1776</v>
      </c>
      <c r="H48" s="2564" t="s">
        <v>1777</v>
      </c>
      <c r="I48" s="2976"/>
      <c r="J48" s="2851"/>
      <c r="K48" s="2533">
        <v>3</v>
      </c>
      <c r="L48" s="3281" t="s">
        <v>2750</v>
      </c>
      <c r="M48" s="3281"/>
      <c r="N48" s="3282">
        <f ca="1">I102</f>
        <v>16412455</v>
      </c>
      <c r="O48" s="3282"/>
      <c r="P48" s="3282"/>
      <c r="Q48" s="1308"/>
    </row>
    <row r="49" spans="1:17" ht="25.5" customHeight="1">
      <c r="A49" s="2088" t="s">
        <v>1779</v>
      </c>
      <c r="B49" s="3329" t="s">
        <v>1780</v>
      </c>
      <c r="C49" s="3329"/>
      <c r="D49" s="2565">
        <v>0</v>
      </c>
      <c r="E49" s="261" t="s">
        <v>1781</v>
      </c>
      <c r="F49" s="2566" t="s">
        <v>48</v>
      </c>
      <c r="G49" s="3271"/>
      <c r="H49" s="2567" t="s">
        <v>2824</v>
      </c>
      <c r="I49" s="2568"/>
      <c r="J49" s="2852"/>
      <c r="K49" s="2533">
        <v>4</v>
      </c>
      <c r="L49" s="3281" t="str">
        <f>IF(项目基本情况!F5="房地产抵押价值","房地产抵押价值","抵押担保权已注销时的房地产抵押价值")</f>
        <v>房地产抵押价值</v>
      </c>
      <c r="M49" s="3281"/>
      <c r="N49" s="3282">
        <f ca="1">IF(项目基本情况!F5="房地产抵押价值",I110,I112)</f>
        <v>16412455</v>
      </c>
      <c r="O49" s="3282"/>
      <c r="P49" s="3282"/>
      <c r="Q49" s="1308"/>
    </row>
    <row r="50" spans="1:17" ht="25.5" customHeight="1">
      <c r="A50" s="2078"/>
      <c r="B50" s="3329" t="s">
        <v>1782</v>
      </c>
      <c r="C50" s="3329"/>
      <c r="D50" s="2569"/>
      <c r="E50" s="269"/>
      <c r="F50" s="2566"/>
      <c r="G50" s="3272"/>
      <c r="H50" s="2570" t="s">
        <v>2743</v>
      </c>
      <c r="I50" s="2568"/>
      <c r="J50" s="2852"/>
      <c r="K50" s="3281" t="s">
        <v>2751</v>
      </c>
      <c r="L50" s="3281"/>
      <c r="M50" s="3281"/>
      <c r="N50" s="3281"/>
      <c r="O50" s="3281"/>
      <c r="P50" s="3281"/>
      <c r="Q50" s="1308"/>
    </row>
    <row r="51" spans="1:17" ht="20.45" customHeight="1">
      <c r="A51" s="2571"/>
      <c r="B51" s="3329" t="s">
        <v>1784</v>
      </c>
      <c r="C51" s="3329"/>
      <c r="D51" s="1099"/>
      <c r="E51" s="264"/>
      <c r="F51" s="2566"/>
      <c r="G51" s="3273"/>
      <c r="H51" s="2570" t="s">
        <v>2744</v>
      </c>
      <c r="I51" s="2568"/>
      <c r="J51" s="2852"/>
      <c r="K51" s="2534" t="s">
        <v>2752</v>
      </c>
      <c r="L51" s="3281" t="s">
        <v>2753</v>
      </c>
      <c r="M51" s="3281"/>
      <c r="N51" s="2534" t="s">
        <v>2754</v>
      </c>
      <c r="O51" s="2534" t="s">
        <v>2755</v>
      </c>
      <c r="P51" s="2534" t="s">
        <v>2756</v>
      </c>
      <c r="Q51" s="1308"/>
    </row>
    <row r="52" spans="1:17" ht="24" customHeight="1">
      <c r="A52" s="2079" t="s">
        <v>1790</v>
      </c>
      <c r="B52" s="3329" t="s">
        <v>1791</v>
      </c>
      <c r="C52" s="3329"/>
      <c r="D52" s="1099">
        <f ca="1">ROUND(D45*'数据-取费表'!E29/(1+'数据-取费表'!F30),0)</f>
        <v>859700</v>
      </c>
      <c r="E52" s="2089" t="s">
        <v>1792</v>
      </c>
      <c r="F52" s="2572">
        <f>'数据-取费表'!E29</f>
        <v>5.5000000000000007E-2</v>
      </c>
      <c r="G52" s="2573"/>
      <c r="H52" s="947"/>
      <c r="I52" s="2977"/>
      <c r="J52" s="2852"/>
      <c r="K52" s="2533">
        <v>1</v>
      </c>
      <c r="L52" s="3270" t="s">
        <v>2757</v>
      </c>
      <c r="M52" s="3270"/>
      <c r="N52" s="2535">
        <f ca="1">D48</f>
        <v>859700</v>
      </c>
      <c r="O52" s="2533" t="str">
        <f>E48</f>
        <v>销售额×税（费）率</v>
      </c>
      <c r="P52" s="2536">
        <f>F48</f>
        <v>5.5000000000000007E-2</v>
      </c>
      <c r="Q52" s="1308"/>
    </row>
    <row r="53" spans="1:17" ht="12" customHeight="1">
      <c r="A53" s="2079" t="s">
        <v>1794</v>
      </c>
      <c r="B53" s="3341" t="s">
        <v>2836</v>
      </c>
      <c r="C53" s="3330"/>
      <c r="D53" s="1099">
        <f ca="1">ROUND(D45*'数据-取费表'!E29/(1+'数据-取费表'!F30),0)</f>
        <v>859700</v>
      </c>
      <c r="E53" s="2089" t="s">
        <v>1792</v>
      </c>
      <c r="F53" s="2572">
        <f>'数据-取费表'!E29</f>
        <v>5.5000000000000007E-2</v>
      </c>
      <c r="G53" s="2573"/>
      <c r="H53" s="947"/>
      <c r="I53" s="2977"/>
      <c r="J53" s="2852"/>
      <c r="K53" s="2533">
        <v>2</v>
      </c>
      <c r="L53" s="3270" t="s">
        <v>2758</v>
      </c>
      <c r="M53" s="3270"/>
      <c r="N53" s="2535">
        <f t="shared" ref="N53:P54" si="1">D55</f>
        <v>0</v>
      </c>
      <c r="O53" s="2533" t="str">
        <f t="shared" si="1"/>
        <v>销售额×税（费）率</v>
      </c>
      <c r="P53" s="2536" t="str">
        <f t="shared" si="1"/>
        <v>免征</v>
      </c>
      <c r="Q53" s="1308"/>
    </row>
    <row r="54" spans="1:17" ht="12" customHeight="1">
      <c r="A54" s="2079" t="s">
        <v>1796</v>
      </c>
      <c r="B54" s="3341" t="s">
        <v>2837</v>
      </c>
      <c r="C54" s="3330"/>
      <c r="D54" s="1099">
        <f ca="1">C68</f>
        <v>859700</v>
      </c>
      <c r="E54" s="264" t="s">
        <v>1797</v>
      </c>
      <c r="F54" s="2572">
        <f>'数据-取费表'!E29</f>
        <v>5.5000000000000007E-2</v>
      </c>
      <c r="G54" s="2573"/>
      <c r="H54" s="2978"/>
      <c r="I54" s="2977"/>
      <c r="J54" s="2852"/>
      <c r="K54" s="2533">
        <v>3</v>
      </c>
      <c r="L54" s="3270" t="s">
        <v>2759</v>
      </c>
      <c r="M54" s="3270"/>
      <c r="N54" s="2535">
        <f t="shared" si="1"/>
        <v>0</v>
      </c>
      <c r="O54" s="2533" t="str">
        <f t="shared" si="1"/>
        <v>增值额×税（费）率</v>
      </c>
      <c r="P54" s="2537" t="str">
        <f t="shared" si="1"/>
        <v>免征</v>
      </c>
      <c r="Q54" s="1308"/>
    </row>
    <row r="55" spans="1:17" ht="24" customHeight="1">
      <c r="A55" s="3294" t="s">
        <v>1799</v>
      </c>
      <c r="B55" s="3290"/>
      <c r="C55" s="3290"/>
      <c r="D55" s="12">
        <f>IF(H55="个人住宅",0,ROUND(D45*I55,0))</f>
        <v>0</v>
      </c>
      <c r="E55" s="2089" t="s">
        <v>1800</v>
      </c>
      <c r="F55" s="2572" t="str">
        <f>IF(H55="正常",I55,"免征")</f>
        <v>免征</v>
      </c>
      <c r="G55" s="2573"/>
      <c r="H55" s="2564" t="s">
        <v>2740</v>
      </c>
      <c r="I55" s="74">
        <f>'数据-取费表'!E37</f>
        <v>5.0000000000000001E-4</v>
      </c>
      <c r="J55" s="2852"/>
      <c r="K55" s="2533" t="str">
        <f>IF(H59="非个人房产","",4)</f>
        <v/>
      </c>
      <c r="L55" s="3270" t="str">
        <f>IF(H59="非个人房产","——","个人所得税")</f>
        <v>——</v>
      </c>
      <c r="M55" s="3270"/>
      <c r="N55" s="2538" t="str">
        <f>D59</f>
        <v>——</v>
      </c>
      <c r="O55" s="2539" t="str">
        <f>E59</f>
        <v>——</v>
      </c>
      <c r="P55" s="2540" t="str">
        <f>F59</f>
        <v>——</v>
      </c>
      <c r="Q55" s="1308"/>
    </row>
    <row r="56" spans="1:17" ht="24.75">
      <c r="A56" s="3294" t="s">
        <v>1802</v>
      </c>
      <c r="B56" s="3290"/>
      <c r="C56" s="3290"/>
      <c r="D56" s="12">
        <f>IF(H56="个人住宅",D57,D58)</f>
        <v>0</v>
      </c>
      <c r="E56" s="2089" t="s">
        <v>1803</v>
      </c>
      <c r="F56" s="2572" t="str">
        <f>IF(H56="正常",F58,"免征")</f>
        <v>免征</v>
      </c>
      <c r="G56" s="2574" t="s">
        <v>1804</v>
      </c>
      <c r="H56" s="2575" t="s">
        <v>2740</v>
      </c>
      <c r="I56" s="2979"/>
      <c r="J56" s="2852"/>
      <c r="K56" s="2533" t="str">
        <f>IF(项目基本情况!I6="上海银行",IF(K55="",4,K55+1),"")</f>
        <v/>
      </c>
      <c r="L56" s="3268" t="str">
        <f>IF(项目基本情况!I6="上海银行","其他处置费用","")</f>
        <v/>
      </c>
      <c r="M56" s="3288"/>
      <c r="N56" s="2535" t="str">
        <f>IF(项目基本情况!I6="上海银行",N69,"")</f>
        <v/>
      </c>
      <c r="O56" s="3268" t="str">
        <f>IF(项目基本情况!I6="上海银行","包含处置中涉及的律师、诉讼、拍卖、评估等费用","")</f>
        <v/>
      </c>
      <c r="P56" s="3269"/>
      <c r="Q56" s="1308"/>
    </row>
    <row r="57" spans="1:17" ht="12.75">
      <c r="A57" s="2079" t="s">
        <v>1779</v>
      </c>
      <c r="B57" s="3341" t="s">
        <v>1805</v>
      </c>
      <c r="C57" s="3330"/>
      <c r="D57" s="2565">
        <v>0</v>
      </c>
      <c r="E57" s="261" t="s">
        <v>1781</v>
      </c>
      <c r="F57" s="235"/>
      <c r="G57" s="2573"/>
      <c r="H57" s="2979"/>
      <c r="I57" s="2979"/>
      <c r="J57" s="2852"/>
      <c r="K57" s="3270">
        <f>IF(AND(K55="",K56=""),4,IF(项目基本情况!I6="上海银行",K56+1,K55+1))</f>
        <v>4</v>
      </c>
      <c r="L57" s="3270" t="s">
        <v>2760</v>
      </c>
      <c r="M57" s="2541" t="s">
        <v>2761</v>
      </c>
      <c r="N57" s="2542"/>
      <c r="O57" s="2543">
        <f ca="1">SUMIF(N52:N56,"&lt;9e307")</f>
        <v>859700</v>
      </c>
      <c r="P57" s="2544"/>
      <c r="Q57" s="1306">
        <f ca="1">O57/N49</f>
        <v>5.2380950930253883E-2</v>
      </c>
    </row>
    <row r="58" spans="1:17" ht="24.75">
      <c r="A58" s="2079" t="s">
        <v>1790</v>
      </c>
      <c r="B58" s="3341" t="s">
        <v>1808</v>
      </c>
      <c r="C58" s="3329"/>
      <c r="D58" s="12">
        <f ca="1">IF(H58="转让取得",C81,C97)</f>
        <v>9304299</v>
      </c>
      <c r="E58" s="2089" t="s">
        <v>1803</v>
      </c>
      <c r="F58" s="235" t="s">
        <v>48</v>
      </c>
      <c r="G58" s="2573"/>
      <c r="H58" s="2575" t="s">
        <v>1809</v>
      </c>
      <c r="I58" s="2979"/>
      <c r="J58" s="2852"/>
      <c r="K58" s="3270"/>
      <c r="L58" s="3270"/>
      <c r="M58" s="2541" t="s">
        <v>2762</v>
      </c>
      <c r="N58" s="2545"/>
      <c r="O58" s="2546" t="str">
        <f ca="1">IF(H19="元",NUMBERSTRING(INT(O57),2)&amp;"元整",NUMBERSTRING(INT(O57*10000),2)&amp;"元整")</f>
        <v>捌拾伍万玖仟柒佰元整</v>
      </c>
      <c r="P58" s="2547"/>
      <c r="Q58" s="1308"/>
    </row>
    <row r="59" spans="1:17" ht="24.75" thickBot="1">
      <c r="A59" s="3357" t="s">
        <v>1811</v>
      </c>
      <c r="B59" s="3358"/>
      <c r="C59" s="3358"/>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2815</v>
      </c>
      <c r="H59" s="2093" t="s">
        <v>2825</v>
      </c>
      <c r="I59" s="2881" t="s">
        <v>2826</v>
      </c>
      <c r="J59" s="2852"/>
      <c r="K59" s="3323">
        <f>K57+1</f>
        <v>5</v>
      </c>
      <c r="L59" s="3270" t="s">
        <v>2763</v>
      </c>
      <c r="M59" s="2533" t="s">
        <v>2761</v>
      </c>
      <c r="N59" s="2548"/>
      <c r="O59" s="2549">
        <f ca="1">N49-O57</f>
        <v>15552755</v>
      </c>
      <c r="P59" s="2550"/>
      <c r="Q59" s="1308"/>
    </row>
    <row r="60" spans="1:17" ht="12" customHeight="1">
      <c r="A60" s="1457"/>
      <c r="B60" s="1461"/>
      <c r="C60" s="1461"/>
      <c r="D60" s="1461"/>
      <c r="E60" s="812"/>
      <c r="F60" s="2980"/>
      <c r="G60" s="2980"/>
      <c r="H60" s="2981"/>
      <c r="I60" s="31"/>
      <c r="K60" s="3324"/>
      <c r="L60" s="3270"/>
      <c r="M60" s="2541" t="s">
        <v>2762</v>
      </c>
      <c r="N60" s="2545"/>
      <c r="O60" s="2546" t="str">
        <f ca="1">IF(H19="元",NUMBERSTRING(INT(O59),2)&amp;"元整",NUMBERSTRING(INT(O59*10000),2)&amp;"元整")</f>
        <v>壹仟伍佰伍拾伍万贰仟柒佰伍拾伍元整</v>
      </c>
      <c r="P60" s="2547"/>
      <c r="Q60" s="1308"/>
    </row>
    <row r="61" spans="1:17" ht="13.5" thickBot="1">
      <c r="A61" s="3359" t="s">
        <v>1813</v>
      </c>
      <c r="B61" s="3359"/>
      <c r="C61" s="3359"/>
      <c r="D61" s="3359"/>
      <c r="E61" s="3359"/>
      <c r="F61" s="2980"/>
      <c r="G61" s="2980"/>
      <c r="H61" s="2982"/>
      <c r="I61" s="31"/>
      <c r="K61" s="2533">
        <f>K59+1</f>
        <v>6</v>
      </c>
      <c r="L61" s="3270" t="s">
        <v>2764</v>
      </c>
      <c r="M61" s="3270"/>
      <c r="N61" s="2551"/>
      <c r="O61" s="2552">
        <f ca="1">IF(H19="元",ROUND(O59/项目基本情况!C12,0),ROUND(O59*10000/项目基本情况!C12,0))</f>
        <v>43983</v>
      </c>
      <c r="P61" s="2553"/>
      <c r="Q61" s="1308"/>
    </row>
    <row r="62" spans="1:17" ht="12.75">
      <c r="A62" s="3308" t="s">
        <v>1815</v>
      </c>
      <c r="B62" s="3309"/>
      <c r="C62" s="1607"/>
      <c r="D62" s="1607" t="s">
        <v>1816</v>
      </c>
      <c r="E62" s="45" t="s">
        <v>1817</v>
      </c>
      <c r="F62" s="2980"/>
      <c r="G62" s="2980"/>
      <c r="H62" s="2982"/>
      <c r="I62" s="31"/>
      <c r="K62" s="2554"/>
      <c r="L62" s="2554"/>
      <c r="M62" s="2554"/>
      <c r="N62" s="2554"/>
      <c r="O62" s="2554"/>
      <c r="P62" s="2554"/>
      <c r="Q62" s="1308"/>
    </row>
    <row r="63" spans="1:17" ht="12.75">
      <c r="A63" s="46">
        <v>1</v>
      </c>
      <c r="B63" s="47" t="s">
        <v>1818</v>
      </c>
      <c r="C63" s="2783">
        <f ca="1">ROUND((C64+C65)/(1+'数据-取费表'!F30),0)</f>
        <v>15630910</v>
      </c>
      <c r="D63" s="47"/>
      <c r="E63" s="48"/>
      <c r="F63" s="2980"/>
      <c r="G63" s="2980"/>
      <c r="H63" s="2982"/>
      <c r="I63" s="31"/>
      <c r="K63" s="3289" t="s">
        <v>2765</v>
      </c>
      <c r="L63" s="2555" t="s">
        <v>2766</v>
      </c>
      <c r="M63" s="2555">
        <f ca="1">IF(N49&gt;10000,N49*0.5%,IF(AND(N49&gt;1000,N49&lt;=10000),N49*1%,IF(AND(N49&gt;100,N49&lt;=1000),N49*3%,IF(AND(N49&gt;10,N49&lt;=100),N49*5%,N49*8%))))</f>
        <v>82062.275000000009</v>
      </c>
      <c r="N63" s="2556">
        <f ca="1">ROUND(M63,1)</f>
        <v>82062.3</v>
      </c>
      <c r="O63" s="2554"/>
      <c r="P63" s="2554"/>
      <c r="Q63" s="1308"/>
    </row>
    <row r="64" spans="1:17" ht="12.75">
      <c r="A64" s="49" t="s">
        <v>71</v>
      </c>
      <c r="B64" s="50" t="s">
        <v>1821</v>
      </c>
      <c r="C64" s="2784">
        <f ca="1">D45</f>
        <v>16412455</v>
      </c>
      <c r="D64" s="50" t="s">
        <v>41</v>
      </c>
      <c r="E64" s="52"/>
      <c r="F64" s="2980"/>
      <c r="G64" s="2980"/>
      <c r="H64" s="2982"/>
      <c r="I64" s="31"/>
      <c r="K64" s="3289"/>
      <c r="L64" s="2555" t="s">
        <v>2767</v>
      </c>
      <c r="M64" s="2555">
        <f ca="1">IF(N49&gt;2000,N49*0.5%,IF(AND(N49&gt;1000,N49&lt;=2000),N49*0.6%,IF(AND(N49&gt;500,N49&lt;=1000),N49*0.7%,IF(AND(N49&gt;200,N49&lt;=500),N49*0.8%,IF(AND(N49&gt;100,N49&lt;=200),N49*0.9%,IF(AND(N49&gt;50,N49&lt;=100),N49*1%,IF(AND(N49&gt;20,N49&lt;=50),N49*1.5%,IF(AND(N49&gt;10,N49&lt;=20),N49*2%,IF(AND(N49&gt;1,N49&lt;=10),N49*2.5%)))))))))</f>
        <v>82062.275000000009</v>
      </c>
      <c r="N64" s="2556">
        <f t="shared" ref="N64:N65" ca="1" si="2">ROUND(M64,1)</f>
        <v>82062.3</v>
      </c>
      <c r="O64" s="2554" t="s">
        <v>2768</v>
      </c>
      <c r="P64" s="2554"/>
      <c r="Q64" s="1308"/>
    </row>
    <row r="65" spans="1:36" ht="12.75">
      <c r="A65" s="49" t="s">
        <v>72</v>
      </c>
      <c r="B65" s="50" t="s">
        <v>1824</v>
      </c>
      <c r="C65" s="2785"/>
      <c r="D65" s="50"/>
      <c r="E65" s="52"/>
      <c r="F65" s="2980"/>
      <c r="G65" s="2980"/>
      <c r="H65" s="2982"/>
      <c r="I65" s="31"/>
      <c r="K65" s="3289"/>
      <c r="L65" s="2555" t="s">
        <v>2769</v>
      </c>
      <c r="M65" s="2555">
        <f ca="1">IF(N49&gt;1000,N49*0.1%,IF(AND(N49&gt;500,N49&lt;=1000),N49*0.5%,IF(AND(N49&gt;50,N49&lt;=500),N49*1%,IF(AND(N49&gt;1,N49&lt;=50),N49*1.5%))))</f>
        <v>16412.455000000002</v>
      </c>
      <c r="N65" s="2556">
        <f t="shared" ca="1" si="2"/>
        <v>16412.5</v>
      </c>
      <c r="O65" s="2554" t="s">
        <v>2768</v>
      </c>
      <c r="P65" s="2554"/>
      <c r="Q65" s="1308"/>
    </row>
    <row r="66" spans="1:36" ht="12.75">
      <c r="A66" s="53" t="s">
        <v>47</v>
      </c>
      <c r="B66" s="54" t="s">
        <v>1826</v>
      </c>
      <c r="C66" s="2786"/>
      <c r="D66" s="54" t="s">
        <v>41</v>
      </c>
      <c r="E66" s="1316" t="s">
        <v>1827</v>
      </c>
      <c r="F66" s="2980"/>
      <c r="G66" s="2980"/>
      <c r="H66" s="2982"/>
      <c r="I66" s="31"/>
      <c r="K66" s="3289"/>
      <c r="L66" s="2555" t="s">
        <v>2770</v>
      </c>
      <c r="M66" s="2555">
        <f ca="1">N49*0.5%</f>
        <v>82062.275000000009</v>
      </c>
      <c r="N66" s="2556">
        <f ca="1">IF(M66&gt;0.5,0.5,ROUND(M66,0))</f>
        <v>0.5</v>
      </c>
      <c r="O66" s="2554" t="s">
        <v>2771</v>
      </c>
      <c r="P66" s="2554"/>
      <c r="Q66" s="1308"/>
    </row>
    <row r="67" spans="1:36" ht="12.75">
      <c r="A67" s="53" t="s">
        <v>42</v>
      </c>
      <c r="B67" s="54" t="s">
        <v>1830</v>
      </c>
      <c r="C67" s="2787">
        <f ca="1">C63-C66</f>
        <v>15630910</v>
      </c>
      <c r="D67" s="50" t="s">
        <v>41</v>
      </c>
      <c r="E67" s="52"/>
      <c r="F67" s="2980"/>
      <c r="G67" s="2980"/>
      <c r="H67" s="2982"/>
      <c r="I67" s="31"/>
      <c r="K67" s="3289"/>
      <c r="L67" s="2555" t="s">
        <v>2772</v>
      </c>
      <c r="M67" s="2555">
        <f ca="1">IF(N49&gt;=10000,(8.25+(N49-10000)*0.01%),IF(AND(N49&gt;=8000,N49&lt;10000),(7.85+(N49-8000)*0.02%),IF(AND(N49&gt;=5000,N49&lt;8000),(6.65+(N49-5000)*0.04%),IF(AND(N49&gt;=2000,N49&lt;5000),(4.25+(PN49-2000)*0.08%),IF(AND(N49&gt;=1000,N49&lt;2000),(2.75+(N49-1000)*0.15%),IF(AND(N49&gt;=100,N49&lt;1000),(0.5+(N49-100)*0.25%),IF(AND(N49&gt;0,N49&lt;100),N49*0.5%)))))))</f>
        <v>1648.4955</v>
      </c>
      <c r="N67" s="2556">
        <f ca="1">ROUND(M67*0.9,1)</f>
        <v>1483.6</v>
      </c>
      <c r="O67" s="2554"/>
      <c r="P67" s="2554"/>
      <c r="Q67" s="1308"/>
    </row>
    <row r="68" spans="1:36" ht="13.5" thickBot="1">
      <c r="A68" s="55" t="s">
        <v>46</v>
      </c>
      <c r="B68" s="56" t="s">
        <v>1832</v>
      </c>
      <c r="C68" s="2788">
        <f ca="1">IF(C67&lt;=0,0,ROUND(C67*D68,0))</f>
        <v>859700</v>
      </c>
      <c r="D68" s="2239">
        <f>'数据-取费表'!E29</f>
        <v>5.5000000000000007E-2</v>
      </c>
      <c r="E68" s="57"/>
      <c r="F68" s="2980"/>
      <c r="G68" s="2980"/>
      <c r="H68" s="2982"/>
      <c r="I68" s="31"/>
      <c r="K68" s="3289"/>
      <c r="L68" s="2555" t="s">
        <v>2773</v>
      </c>
      <c r="M68" s="2555">
        <f ca="1">IF(N49&gt;10000,N49*0.5%,IF(AND(N49&gt;5000,N49&lt;=10000),N49*1%,IF(AND(N49&gt;1000,N49&lt;=5000),N49*2%,IF(AND(N49&gt;200,N49&lt;=1000),N49*3%,N49*5%))))</f>
        <v>82062.275000000009</v>
      </c>
      <c r="N68" s="2556">
        <f ca="1">ROUND(M68,1)</f>
        <v>82062.3</v>
      </c>
      <c r="O68" s="2554"/>
      <c r="P68" s="2554"/>
      <c r="Q68" s="1308"/>
    </row>
    <row r="69" spans="1:36" s="1465" customFormat="1" ht="7.5" customHeight="1">
      <c r="A69" s="1477"/>
      <c r="B69" s="1478"/>
      <c r="C69" s="1479"/>
      <c r="D69" s="1480"/>
      <c r="E69" s="1481"/>
      <c r="F69" s="812"/>
      <c r="G69" s="812"/>
      <c r="H69" s="1470"/>
      <c r="I69" s="1461"/>
      <c r="J69" s="2840"/>
      <c r="K69" s="3289"/>
      <c r="L69" s="2555" t="s">
        <v>54</v>
      </c>
      <c r="M69" s="2555"/>
      <c r="N69" s="2556">
        <f ca="1">ROUND(SUM(N63:N68),0)</f>
        <v>264084</v>
      </c>
      <c r="O69" s="2557">
        <f ca="1">N69/N49</f>
        <v>1.6090463005077545E-2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0" t="s">
        <v>1835</v>
      </c>
      <c r="B70" s="3311"/>
      <c r="C70" s="3311"/>
      <c r="D70" s="3311"/>
      <c r="E70" s="3311"/>
      <c r="F70" s="3311"/>
      <c r="G70" s="3311"/>
      <c r="H70" s="3311"/>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8" t="s">
        <v>1815</v>
      </c>
      <c r="B71" s="3309"/>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7">
        <f ca="1">ROUND(D45/(1+'数据-取费表'!F30),0)</f>
        <v>15630910</v>
      </c>
      <c r="D72" s="50" t="s">
        <v>41</v>
      </c>
      <c r="E72" s="12" t="s">
        <v>1837</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7">
        <f ca="1">C74+C78</f>
        <v>78155</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341" t="s">
        <v>1845</v>
      </c>
      <c r="F76" s="3329"/>
      <c r="G76" s="3329"/>
      <c r="H76" s="3342"/>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6" t="s">
        <v>1848</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78155</v>
      </c>
      <c r="D78" s="2796">
        <f>'数据-取费表'!E31</f>
        <v>5.000000000000001E-3</v>
      </c>
      <c r="E78" s="3277" t="s">
        <v>1850</v>
      </c>
      <c r="F78" s="3278"/>
      <c r="G78" s="3278"/>
      <c r="H78" s="3298"/>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7">
        <f ca="1">C72-C73</f>
        <v>15552755</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198.99884844219821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8">
        <f ca="1">ROUND(IF(C79&lt;=0,0,IF(C80&gt;=200%,C79*60%-C73*35%,IF(C80&gt;=100%,C79*50%-C73*15%,IF(C80&gt;=50%,C79*40%-C73*5%,IF(C80&lt;50%,C79*30%,0))))),0)</f>
        <v>9304299</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0" t="s">
        <v>1854</v>
      </c>
      <c r="B83" s="3311"/>
      <c r="C83" s="3311"/>
      <c r="D83" s="3311"/>
      <c r="E83" s="3311"/>
      <c r="F83" s="3311"/>
      <c r="G83" s="3311"/>
      <c r="H83" s="3311"/>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8" t="s">
        <v>1815</v>
      </c>
      <c r="B84" s="3309"/>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15630910</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7">
        <f ca="1">IF(H88="仅含出让金",C87+C90+C91+C92+C93+C94,C87+C91+C92+C93+C94)</f>
        <v>78155</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0"/>
      <c r="D88" s="2796"/>
      <c r="E88" s="74" t="s">
        <v>1857</v>
      </c>
      <c r="F88" s="2083"/>
      <c r="G88" s="75" t="s">
        <v>1858</v>
      </c>
      <c r="H88" s="1488"/>
      <c r="I88" s="9"/>
      <c r="J88" s="2855"/>
      <c r="K88" s="2971"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3"/>
      <c r="G90" s="3317" t="s">
        <v>2735</v>
      </c>
      <c r="H90" s="3317"/>
      <c r="I90" s="9"/>
      <c r="J90" s="2855"/>
      <c r="K90" s="2971"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277" t="s">
        <v>1862</v>
      </c>
      <c r="F91" s="3278"/>
      <c r="G91" s="3278"/>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277" t="s">
        <v>1865</v>
      </c>
      <c r="F92" s="3278"/>
      <c r="G92" s="3278"/>
      <c r="H92" s="3298"/>
      <c r="I92" s="9"/>
      <c r="J92" s="2855"/>
      <c r="K92" s="2972"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78155</v>
      </c>
      <c r="D93" s="2796">
        <f>'数据-取费表'!E31</f>
        <v>5.000000000000001E-3</v>
      </c>
      <c r="E93" s="3277" t="s">
        <v>1850</v>
      </c>
      <c r="F93" s="3278"/>
      <c r="G93" s="3278"/>
      <c r="H93" s="3298"/>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277" t="s">
        <v>1867</v>
      </c>
      <c r="F94" s="3278"/>
      <c r="G94" s="3278"/>
      <c r="H94" s="3298"/>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7">
        <f ca="1">ROUND(C85-C86,0)</f>
        <v>15552755</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198.99884844219821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8">
        <f ca="1">ROUND(IF(C95&lt;=0,0,IF(C96&gt;=200%,C95*60%-C86*35%,IF(C96&gt;=100%,C95*50%-C86*15%,IF(C96&gt;=50%,C95*40%-C86*5%,IF(C96&lt;50%,C95*30%,0))))),0)</f>
        <v>9304299</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95" t="s">
        <v>1869</v>
      </c>
      <c r="B99" s="3296"/>
      <c r="C99" s="3296"/>
      <c r="D99" s="3297"/>
      <c r="E99" s="1461"/>
      <c r="F99" s="3305" t="s">
        <v>1870</v>
      </c>
      <c r="G99" s="3306"/>
      <c r="H99" s="3306"/>
      <c r="I99" s="3307"/>
      <c r="J99" s="2858"/>
    </row>
    <row r="100" spans="1:36" ht="15">
      <c r="A100" s="3312" t="s">
        <v>1871</v>
      </c>
      <c r="B100" s="3313"/>
      <c r="C100" s="1307" t="str">
        <f>C4</f>
        <v>比较法-住宅</v>
      </c>
      <c r="D100" s="2806" t="str">
        <f>D4</f>
        <v>收益法</v>
      </c>
      <c r="E100" s="1461"/>
      <c r="F100" s="3314" t="s">
        <v>2779</v>
      </c>
      <c r="G100" s="3316"/>
      <c r="H100" s="3314" t="s">
        <v>2780</v>
      </c>
      <c r="I100" s="3315"/>
      <c r="J100" s="2859"/>
    </row>
    <row r="101" spans="1:36" ht="12.75">
      <c r="A101" s="3331" t="s">
        <v>2812</v>
      </c>
      <c r="B101" s="2304" t="str">
        <f>IF(H19="元","总价（元）","总价（万元）")</f>
        <v>总价（元）</v>
      </c>
      <c r="C101" s="1307">
        <f ca="1">C19</f>
        <v>19527759</v>
      </c>
      <c r="D101" s="2806">
        <f ca="1">D19</f>
        <v>3950746</v>
      </c>
      <c r="E101" s="1461"/>
      <c r="F101" s="3314" t="str">
        <f>项目基本情况!I1</f>
        <v>北京市房地产</v>
      </c>
      <c r="G101" s="3316"/>
      <c r="H101" s="3318">
        <f>项目基本情况!C12</f>
        <v>353.61</v>
      </c>
      <c r="I101" s="3315"/>
      <c r="J101" s="2859"/>
    </row>
    <row r="102" spans="1:36" ht="12.75">
      <c r="A102" s="3331"/>
      <c r="B102" s="2304" t="s">
        <v>2813</v>
      </c>
      <c r="C102" s="2807">
        <f ca="1">C20</f>
        <v>55224</v>
      </c>
      <c r="D102" s="2808">
        <f ca="1">D20</f>
        <v>11173</v>
      </c>
      <c r="E102" s="1461"/>
      <c r="F102" s="3301" t="s">
        <v>2809</v>
      </c>
      <c r="G102" s="3302"/>
      <c r="H102" s="2816" t="str">
        <f>C106</f>
        <v>总价（元）</v>
      </c>
      <c r="I102" s="2817">
        <f ca="1">H121</f>
        <v>16412455</v>
      </c>
      <c r="J102" s="2859"/>
    </row>
    <row r="103" spans="1:36" ht="12.75">
      <c r="A103" s="3331" t="s">
        <v>2814</v>
      </c>
      <c r="B103" s="2242" t="str">
        <f>B101</f>
        <v>总价（元）</v>
      </c>
      <c r="C103" s="2811">
        <f ca="1">H121</f>
        <v>16412455</v>
      </c>
      <c r="D103" s="2809"/>
      <c r="E103" s="1461"/>
      <c r="F103" s="3301"/>
      <c r="G103" s="3302"/>
      <c r="H103" s="2816" t="s">
        <v>2782</v>
      </c>
      <c r="I103" s="52">
        <f ca="1">I121</f>
        <v>46414</v>
      </c>
      <c r="J103" s="2843"/>
    </row>
    <row r="104" spans="1:36" ht="13.5" thickBot="1">
      <c r="A104" s="3332"/>
      <c r="B104" s="2813" t="s">
        <v>2813</v>
      </c>
      <c r="C104" s="2814">
        <f ca="1">I121</f>
        <v>46414</v>
      </c>
      <c r="D104" s="2815"/>
      <c r="E104" s="1461"/>
      <c r="F104" s="3301"/>
      <c r="G104" s="3302"/>
      <c r="H104" s="3333"/>
      <c r="I104" s="3334"/>
      <c r="J104" s="2860"/>
    </row>
    <row r="105" spans="1:36" ht="15">
      <c r="A105" s="3295" t="s">
        <v>1872</v>
      </c>
      <c r="B105" s="3296"/>
      <c r="C105" s="3296"/>
      <c r="D105" s="3297"/>
      <c r="E105" s="1461"/>
      <c r="F105" s="3337" t="s">
        <v>2783</v>
      </c>
      <c r="G105" s="3338"/>
      <c r="H105" s="2818" t="str">
        <f>C108</f>
        <v>总额（元）</v>
      </c>
      <c r="I105" s="2817">
        <f>SUMIF(I106:I108,"&lt;9E307")</f>
        <v>0</v>
      </c>
      <c r="J105" s="2859"/>
    </row>
    <row r="106" spans="1:36" ht="14.25">
      <c r="A106" s="3301" t="s">
        <v>2806</v>
      </c>
      <c r="B106" s="3302"/>
      <c r="C106" s="2816" t="str">
        <f>B101</f>
        <v>总价（元）</v>
      </c>
      <c r="D106" s="2817">
        <f ca="1">H121</f>
        <v>16412455</v>
      </c>
      <c r="E106" s="1461"/>
      <c r="F106" s="3303" t="s">
        <v>2784</v>
      </c>
      <c r="G106" s="3304"/>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01"/>
      <c r="B107" s="3302"/>
      <c r="C107" s="2816" t="s">
        <v>2807</v>
      </c>
      <c r="D107" s="52">
        <f ca="1">I121</f>
        <v>46414</v>
      </c>
      <c r="E107" s="1461"/>
      <c r="F107" s="3303" t="s">
        <v>2785</v>
      </c>
      <c r="G107" s="3304"/>
      <c r="H107" s="2818" t="str">
        <f>C110</f>
        <v>总额（元）</v>
      </c>
      <c r="I107" s="52">
        <f>C37</f>
        <v>0</v>
      </c>
      <c r="J107" s="2843"/>
    </row>
    <row r="108" spans="1:36" ht="12.75">
      <c r="A108" s="3372" t="s">
        <v>2783</v>
      </c>
      <c r="B108" s="3373"/>
      <c r="C108" s="2818" t="str">
        <f>IF(H19="元","总额（元）","总额（万元）")</f>
        <v>总额（元）</v>
      </c>
      <c r="D108" s="2817">
        <f>IF(D36="正常操作",I106+I107+I108,I107+I108)</f>
        <v>0</v>
      </c>
      <c r="E108" s="1461"/>
      <c r="F108" s="3303" t="s">
        <v>2810</v>
      </c>
      <c r="G108" s="3304"/>
      <c r="H108" s="2818" t="str">
        <f>C111</f>
        <v>总额（元）</v>
      </c>
      <c r="I108" s="52">
        <f>C38</f>
        <v>0</v>
      </c>
      <c r="J108" s="2843"/>
    </row>
    <row r="109" spans="1:36" ht="12.75">
      <c r="A109" s="3303" t="s">
        <v>2784</v>
      </c>
      <c r="B109" s="3304"/>
      <c r="C109" s="2818" t="str">
        <f>C108</f>
        <v>总额（元）</v>
      </c>
      <c r="D109" s="52">
        <f>IF(D36="同一抵押权人同一抵押物续贷",C36&amp;"（未扣减，详见特别提示）",C36)</f>
        <v>0</v>
      </c>
      <c r="E109" s="1461"/>
      <c r="F109" s="3301"/>
      <c r="G109" s="3302"/>
      <c r="H109" s="3335"/>
      <c r="I109" s="3336"/>
      <c r="J109" s="2861"/>
    </row>
    <row r="110" spans="1:36" ht="28.5" customHeight="1">
      <c r="A110" s="3303" t="s">
        <v>2808</v>
      </c>
      <c r="B110" s="3304"/>
      <c r="C110" s="2818" t="str">
        <f>C108</f>
        <v>总额（元）</v>
      </c>
      <c r="D110" s="52">
        <f>C37</f>
        <v>0</v>
      </c>
      <c r="E110" s="1461"/>
      <c r="F110" s="3284" t="str">
        <f>IF(项目基本情况!F5="已注销","——","3.房地产抵押价值")</f>
        <v>3.房地产抵押价值</v>
      </c>
      <c r="G110" s="3285"/>
      <c r="H110" s="2804" t="str">
        <f>C112</f>
        <v>总价（元）</v>
      </c>
      <c r="I110" s="2817">
        <f ca="1">IF(F110="——","——",I102-I105)</f>
        <v>16412455</v>
      </c>
      <c r="J110" s="2859"/>
    </row>
    <row r="111" spans="1:36" ht="12.75">
      <c r="A111" s="3303" t="s">
        <v>2787</v>
      </c>
      <c r="B111" s="3304"/>
      <c r="C111" s="2818" t="str">
        <f>C108</f>
        <v>总额（元）</v>
      </c>
      <c r="D111" s="52">
        <f>C38</f>
        <v>0</v>
      </c>
      <c r="E111" s="1461"/>
      <c r="F111" s="3286"/>
      <c r="G111" s="3287"/>
      <c r="H111" s="2816" t="s">
        <v>2782</v>
      </c>
      <c r="I111" s="2820">
        <f ca="1">D113</f>
        <v>46414</v>
      </c>
      <c r="J111" s="2862"/>
    </row>
    <row r="112" spans="1:36" ht="26.25" customHeight="1">
      <c r="A112" s="3301" t="str">
        <f>IF(项目基本情况!F5="已注销","——","3.房地产抵押价值")</f>
        <v>3.房地产抵押价值</v>
      </c>
      <c r="B112" s="3302"/>
      <c r="C112" s="2816" t="str">
        <f>B101</f>
        <v>总价（元）</v>
      </c>
      <c r="D112" s="2817">
        <f ca="1">IF(A112="——","——",D106-D108)</f>
        <v>16412455</v>
      </c>
      <c r="E112" s="1461"/>
      <c r="F112" s="3284" t="str">
        <f>IF(项目基本情况!F5="已注销及未注销","4.抵押担保权已注销时的房地产抵押价值",IF(项目基本情况!F5="已注销","3.抵押担保权已注销时的房地产抵押价值","——"))</f>
        <v>——</v>
      </c>
      <c r="G112" s="3285"/>
      <c r="H112" s="2804" t="str">
        <f>C114</f>
        <v>总价（元）</v>
      </c>
      <c r="I112" s="2817" t="str">
        <f>IF(F112="——","——",I102-I107-I108)</f>
        <v>——</v>
      </c>
      <c r="J112" s="2859"/>
    </row>
    <row r="113" spans="1:16" ht="12.75">
      <c r="A113" s="3301"/>
      <c r="B113" s="3302"/>
      <c r="C113" s="2816" t="s">
        <v>2775</v>
      </c>
      <c r="D113" s="52">
        <f ca="1">ROUND(IF(D112=D106,D107,IF(H19="元",D112/项目基本情况!C12,D112*10000/项目基本情况!C12)),0)</f>
        <v>46414</v>
      </c>
      <c r="E113" s="1461"/>
      <c r="F113" s="3286"/>
      <c r="G113" s="3287"/>
      <c r="H113" s="2816" t="s">
        <v>2811</v>
      </c>
      <c r="I113" s="52" t="str">
        <f>D115</f>
        <v>——</v>
      </c>
      <c r="J113" s="2843"/>
    </row>
    <row r="114" spans="1:16" ht="12.75">
      <c r="A114" s="3301" t="str">
        <f>IF(项目基本情况!F5="已注销及未注销","4.抵押担保权已注销时的房地产抵押价值",IF(项目基本情况!F5="已注销","3.抵押担保权已注销时的房地产抵押价值","——"))</f>
        <v>——</v>
      </c>
      <c r="B114" s="3302"/>
      <c r="C114" s="2816" t="str">
        <f>B101</f>
        <v>总价（元）</v>
      </c>
      <c r="D114" s="2817" t="str">
        <f>IF(A114="——","——",D106-D110-D111)</f>
        <v>——</v>
      </c>
      <c r="E114" s="1461"/>
      <c r="F114" s="3284" t="str">
        <f>IF(项目基本情况!G5="抵押净值",IF(OR(项目基本情况!F5="已注销",项目基本情况!F5="房地产抵押价值"),"4.抵押净值","5.抵押净值"),"——")</f>
        <v>——</v>
      </c>
      <c r="G114" s="3285"/>
      <c r="H114" s="2816" t="str">
        <f>C116</f>
        <v>总价（元）</v>
      </c>
      <c r="I114" s="2817" t="str">
        <f>IF(F114="——","——",O59)</f>
        <v>——</v>
      </c>
      <c r="J114" s="2859"/>
    </row>
    <row r="115" spans="1:16" ht="13.5" thickBot="1">
      <c r="A115" s="3301"/>
      <c r="B115" s="3302"/>
      <c r="C115" s="2816" t="s">
        <v>2775</v>
      </c>
      <c r="D115" s="52" t="str">
        <f>IF(A114="——","——",ROUND(IF(D114=D106,D107,IF(H19="元",D114/项目基本情况!C12,D114*10000/项目基本情况!C12)),0))</f>
        <v>——</v>
      </c>
      <c r="E115" s="1461"/>
      <c r="F115" s="3364"/>
      <c r="G115" s="3365"/>
      <c r="H115" s="2821" t="s">
        <v>2775</v>
      </c>
      <c r="I115" s="2805" t="str">
        <f ca="1">D117</f>
        <v>——</v>
      </c>
      <c r="J115" s="2843"/>
    </row>
    <row r="116" spans="1:16" ht="15.75">
      <c r="A116" s="3301" t="str">
        <f>IF(项目基本情况!G5="抵押净值",IF(OR(项目基本情况!F5="已注销",项目基本情况!F5="房地产抵押价值"),"4.抵押净值","5.抵押净值"),"——")</f>
        <v>——</v>
      </c>
      <c r="B116" s="3302"/>
      <c r="C116" s="2816" t="str">
        <f>B101</f>
        <v>总价（元）</v>
      </c>
      <c r="D116" s="2817" t="str">
        <f>IF(A116="——","——",O59)</f>
        <v>——</v>
      </c>
      <c r="E116" s="1461"/>
      <c r="F116" s="3279"/>
      <c r="G116" s="3279"/>
      <c r="H116" s="3320"/>
      <c r="I116" s="3320"/>
      <c r="J116" s="2863"/>
      <c r="O116" s="32"/>
      <c r="P116" s="32"/>
    </row>
    <row r="117" spans="1:16" ht="13.5" thickBot="1">
      <c r="A117" s="3370"/>
      <c r="B117" s="3371"/>
      <c r="C117" s="2821" t="s">
        <v>2775</v>
      </c>
      <c r="D117" s="2805" t="str">
        <f ca="1">IF(D116=D112,D113,IF(A116="——","——",O61))</f>
        <v>——</v>
      </c>
      <c r="E117" s="1461"/>
      <c r="F117" s="3363" t="str">
        <f>IF(B32="总价","（以上估价结果中单价为总价除以建筑面积得出）","（以上估价结果中总价为楼面单价乘以建筑面积得出）")</f>
        <v>（以上估价结果中总价为楼面单价乘以建筑面积得出）</v>
      </c>
      <c r="G117" s="3363"/>
      <c r="H117" s="3363"/>
      <c r="I117" s="3363"/>
      <c r="J117" s="2864"/>
      <c r="O117" s="32"/>
      <c r="P117" s="32"/>
    </row>
    <row r="118" spans="1:16" ht="15">
      <c r="A118" s="3321" t="s">
        <v>1873</v>
      </c>
      <c r="B118" s="3322"/>
      <c r="C118" s="3322"/>
      <c r="D118" s="3322"/>
      <c r="E118" s="3322"/>
      <c r="F118" s="3322"/>
      <c r="G118" s="3322"/>
      <c r="H118" s="3322"/>
      <c r="I118" s="3322"/>
      <c r="J118" s="2865"/>
    </row>
    <row r="119" spans="1:16" ht="12.75">
      <c r="A119" s="3294" t="s">
        <v>2793</v>
      </c>
      <c r="B119" s="3292" t="s">
        <v>2803</v>
      </c>
      <c r="C119" s="3292" t="s">
        <v>2804</v>
      </c>
      <c r="D119" s="3299" t="s">
        <v>2795</v>
      </c>
      <c r="E119" s="3300"/>
      <c r="F119" s="3290" t="s">
        <v>2805</v>
      </c>
      <c r="G119" s="3290"/>
      <c r="H119" s="3290" t="s">
        <v>2796</v>
      </c>
      <c r="I119" s="3291"/>
      <c r="J119" s="2843"/>
    </row>
    <row r="120" spans="1:16" ht="12.75">
      <c r="A120" s="3294"/>
      <c r="B120" s="3293"/>
      <c r="C120" s="3293"/>
      <c r="D120" s="2089" t="s">
        <v>2797</v>
      </c>
      <c r="E120" s="2089" t="s">
        <v>2802</v>
      </c>
      <c r="F120" s="2089" t="s">
        <v>2797</v>
      </c>
      <c r="G120" s="2089" t="s">
        <v>2798</v>
      </c>
      <c r="H120" s="2089" t="s">
        <v>2797</v>
      </c>
      <c r="I120" s="52" t="s">
        <v>2798</v>
      </c>
      <c r="J120" s="2843"/>
    </row>
    <row r="121" spans="1:16" ht="12.75">
      <c r="A121" s="2079" t="str">
        <f>项目基本情况!I1</f>
        <v>北京市房地产</v>
      </c>
      <c r="B121" s="2089">
        <f>项目基本情况!C12</f>
        <v>353.61</v>
      </c>
      <c r="C121" s="2089">
        <f>项目基本情况!C13</f>
        <v>0</v>
      </c>
      <c r="D121" s="2089">
        <f ca="1">ROUND(IF(B32="总价",C34,IF('数据-取费表'!B3="万元",E121*B121/10000,E121*B121)),0)</f>
        <v>10192101</v>
      </c>
      <c r="E121" s="2089">
        <f ca="1">ROUND(IF(B32="楼面单价",C34,IF(H19="元",D121/B121,D121*10000/B121)),0)</f>
        <v>28823</v>
      </c>
      <c r="F121" s="2089">
        <f ca="1">ROUND(IF(B32="总价",C35,IF('数据-取费表'!B3="万元",G121*B121/10000,G121*B121)),0)</f>
        <v>6220354</v>
      </c>
      <c r="G121" s="2089">
        <f ca="1">ROUND(IF(B32="楼面单价",C35,IF(H19="元",F121/B121,F121*10000/B121)),0)</f>
        <v>17591</v>
      </c>
      <c r="H121" s="2089">
        <f ca="1">ROUND(IF(B32="总价",C32,IF('数据-取费表'!B3="万元",I121*B121/10000,I121*B121)),0)</f>
        <v>16412455</v>
      </c>
      <c r="I121" s="52">
        <f ca="1">ROUND(IF(B32="楼面单价",C32,IF(H19="元",H121/B121,H121*10000/B121)),0)</f>
        <v>46414</v>
      </c>
      <c r="J121" s="2843"/>
    </row>
    <row r="122" spans="1:16" ht="12.75">
      <c r="A122" s="3294" t="s">
        <v>2799</v>
      </c>
      <c r="B122" s="3290"/>
      <c r="C122" s="3290"/>
      <c r="D122" s="3325" t="str">
        <f ca="1">IF(H19="元",NUMBERSTRING(INT(D121),2)&amp;"元整",NUMBERSTRING(INT(D121*10000),2)&amp;"元整")</f>
        <v>壹仟零壹拾玖万贰仟壹佰零壹元整</v>
      </c>
      <c r="E122" s="3326"/>
      <c r="F122" s="3325" t="str">
        <f ca="1">IF(H19="元",NUMBERSTRING(INT(F121),2)&amp;"元整",NUMBERSTRING(INT(F121*10000),2)&amp;"元整")</f>
        <v>陆佰贰拾贰万零叁佰伍拾肆元整</v>
      </c>
      <c r="G122" s="3326"/>
      <c r="H122" s="3325" t="str">
        <f ca="1">IF(H19="元",NUMBERSTRING(INT(H121),2)&amp;"元整",NUMBERSTRING(INT(H121*10000),2)&amp;"元整")</f>
        <v>壹仟陆佰肆拾壹万贰仟肆佰伍拾伍元整</v>
      </c>
      <c r="I122" s="3374"/>
      <c r="J122" s="2866"/>
    </row>
    <row r="123" spans="1:16" ht="12.75">
      <c r="A123" s="3314" t="str">
        <f>IF(项目基本情况!D5="房地产市场价值","——",MID(A108,3,LEN(A108)-2))</f>
        <v>估价师所知悉的法定优先受偿款</v>
      </c>
      <c r="B123" s="3327"/>
      <c r="C123" s="3316"/>
      <c r="D123" s="3318">
        <f>I105</f>
        <v>0</v>
      </c>
      <c r="E123" s="3327"/>
      <c r="F123" s="3327"/>
      <c r="G123" s="3327"/>
      <c r="H123" s="3327"/>
      <c r="I123" s="3315"/>
      <c r="J123" s="2859"/>
    </row>
    <row r="124" spans="1:16" ht="12.75">
      <c r="A124" s="3328" t="s">
        <v>2799</v>
      </c>
      <c r="B124" s="3329"/>
      <c r="C124" s="3330"/>
      <c r="D124" s="3366">
        <f>H109</f>
        <v>0</v>
      </c>
      <c r="E124" s="3367"/>
      <c r="F124" s="3367"/>
      <c r="G124" s="3367"/>
      <c r="H124" s="3367"/>
      <c r="I124" s="3368"/>
      <c r="J124" s="2867"/>
    </row>
    <row r="125" spans="1:16" ht="12.75">
      <c r="A125" s="3301" t="str">
        <f>IF(项目基本情况!D5="房地产市场价值","——",MID(A112,3,LEN(A112)-2))</f>
        <v>房地产抵押价值</v>
      </c>
      <c r="B125" s="3302"/>
      <c r="C125" s="3302"/>
      <c r="D125" s="3318">
        <f ca="1">I110</f>
        <v>16412455</v>
      </c>
      <c r="E125" s="3327"/>
      <c r="F125" s="3327"/>
      <c r="G125" s="3327"/>
      <c r="H125" s="3327"/>
      <c r="I125" s="3315"/>
      <c r="J125" s="2859"/>
    </row>
    <row r="126" spans="1:16" ht="12.75">
      <c r="A126" s="3294" t="s">
        <v>2799</v>
      </c>
      <c r="B126" s="3290"/>
      <c r="C126" s="3290"/>
      <c r="D126" s="3366">
        <f ca="1">I111</f>
        <v>46414</v>
      </c>
      <c r="E126" s="3367"/>
      <c r="F126" s="3367"/>
      <c r="G126" s="3367"/>
      <c r="H126" s="3367"/>
      <c r="I126" s="3368"/>
      <c r="J126" s="2867"/>
    </row>
    <row r="127" spans="1:16" ht="13.5" thickBot="1">
      <c r="A127" s="3301" t="str">
        <f>IF(项目基本情况!D5="房地产市场价值","——",MID(A114,3,LEN(A114)-2))</f>
        <v/>
      </c>
      <c r="B127" s="3302"/>
      <c r="C127" s="3302"/>
      <c r="D127" s="3274" t="str">
        <f>I112</f>
        <v>——</v>
      </c>
      <c r="E127" s="3275"/>
      <c r="F127" s="3275"/>
      <c r="G127" s="3275"/>
      <c r="H127" s="3275"/>
      <c r="I127" s="3276"/>
      <c r="J127" s="2859"/>
    </row>
    <row r="128" spans="1:16" ht="14.25" thickTop="1" thickBot="1">
      <c r="A128" s="3294" t="s">
        <v>2799</v>
      </c>
      <c r="B128" s="3290"/>
      <c r="C128" s="3341"/>
      <c r="D128" s="3319" t="str">
        <f>I113</f>
        <v>——</v>
      </c>
      <c r="E128" s="3319"/>
      <c r="F128" s="3319"/>
      <c r="G128" s="3319"/>
      <c r="H128" s="3319"/>
      <c r="I128" s="3319"/>
      <c r="J128" s="2867"/>
    </row>
    <row r="129" spans="1:10" ht="14.25" thickTop="1" thickBot="1">
      <c r="A129" s="3301" t="str">
        <f>IF(项目基本情况!D5="房地产市场价值","——",MID(F114,3,LEN(F114)-2))</f>
        <v/>
      </c>
      <c r="B129" s="3302"/>
      <c r="C129" s="3318"/>
      <c r="D129" s="3369" t="str">
        <f>I114</f>
        <v>——</v>
      </c>
      <c r="E129" s="3369"/>
      <c r="F129" s="3369"/>
      <c r="G129" s="3369"/>
      <c r="H129" s="3369"/>
      <c r="I129" s="3369"/>
      <c r="J129" s="2859"/>
    </row>
    <row r="130" spans="1:10" ht="14.25" thickTop="1" thickBot="1">
      <c r="A130" s="3357" t="s">
        <v>2799</v>
      </c>
      <c r="B130" s="3358"/>
      <c r="C130" s="3358"/>
      <c r="D130" s="3375">
        <f>H116</f>
        <v>0</v>
      </c>
      <c r="E130" s="3376"/>
      <c r="F130" s="3376"/>
      <c r="G130" s="3376"/>
      <c r="H130" s="3376"/>
      <c r="I130" s="3377"/>
      <c r="J130" s="2867"/>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5" thickBot="1">
      <c r="A132" s="3362" t="str">
        <f>IF(B32="总价","（以上估价结果中楼面单价为总价除以建筑面积得出）","（以上估价结果中总价为楼面单价乘以建筑面积得出）")</f>
        <v>（以上估价结果中总价为楼面单价乘以建筑面积得出）</v>
      </c>
      <c r="B132" s="3362"/>
      <c r="C132" s="3362"/>
      <c r="D132" s="3362"/>
      <c r="E132" s="3362"/>
      <c r="F132" s="3362"/>
      <c r="G132" s="3362"/>
      <c r="H132" s="3362"/>
      <c r="I132" s="3362"/>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4" t="s">
        <v>1882</v>
      </c>
      <c r="B2" s="3384"/>
      <c r="C2" s="3384"/>
      <c r="D2" s="3384"/>
      <c r="E2" s="3384"/>
      <c r="F2" s="3384"/>
      <c r="G2" s="3384"/>
      <c r="H2" s="3384"/>
      <c r="I2" s="3384"/>
      <c r="J2" s="2872"/>
    </row>
    <row r="3" spans="1:15" ht="12.75">
      <c r="A3" s="3344" t="s">
        <v>1710</v>
      </c>
      <c r="B3" s="3345"/>
      <c r="C3" s="3345"/>
      <c r="D3" s="3345"/>
      <c r="E3" s="3345"/>
      <c r="F3" s="3345"/>
      <c r="G3" s="3345"/>
      <c r="H3" s="3345"/>
      <c r="I3" s="3345"/>
      <c r="J3" s="2842"/>
    </row>
    <row r="4" spans="1:15" ht="14.25">
      <c r="A4" s="2710" t="s">
        <v>1711</v>
      </c>
      <c r="B4" s="2710" t="s">
        <v>1712</v>
      </c>
      <c r="C4" s="2711"/>
      <c r="D4" s="2711"/>
      <c r="E4" s="3341" t="s">
        <v>1883</v>
      </c>
      <c r="F4" s="3329"/>
      <c r="G4" s="3329"/>
      <c r="H4" s="3329"/>
      <c r="I4" s="3330"/>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0" t="s">
        <v>1714</v>
      </c>
      <c r="B5" s="3340">
        <v>25</v>
      </c>
      <c r="C5" s="3346"/>
      <c r="D5" s="3343"/>
      <c r="E5" s="12" t="s">
        <v>1715</v>
      </c>
      <c r="F5" s="2086"/>
      <c r="G5" s="2086"/>
      <c r="H5" s="2086"/>
      <c r="I5" s="2081"/>
      <c r="J5" s="2843"/>
    </row>
    <row r="6" spans="1:15" ht="12.75">
      <c r="A6" s="3340"/>
      <c r="B6" s="3340"/>
      <c r="C6" s="3347"/>
      <c r="D6" s="3343"/>
      <c r="E6" s="12" t="s">
        <v>1716</v>
      </c>
      <c r="F6" s="2086"/>
      <c r="G6" s="2086"/>
      <c r="H6" s="2086"/>
      <c r="I6" s="2081"/>
      <c r="J6" s="2843"/>
    </row>
    <row r="7" spans="1:15" ht="12.75">
      <c r="A7" s="3340"/>
      <c r="B7" s="3340"/>
      <c r="C7" s="3348"/>
      <c r="D7" s="3343"/>
      <c r="E7" s="12" t="s">
        <v>1717</v>
      </c>
      <c r="F7" s="2086"/>
      <c r="G7" s="2086"/>
      <c r="H7" s="2086"/>
      <c r="I7" s="2081"/>
      <c r="J7" s="2843"/>
    </row>
    <row r="8" spans="1:15" ht="12.75">
      <c r="A8" s="3340" t="s">
        <v>1718</v>
      </c>
      <c r="B8" s="3340">
        <v>15</v>
      </c>
      <c r="C8" s="3346"/>
      <c r="D8" s="3343"/>
      <c r="E8" s="12" t="s">
        <v>1719</v>
      </c>
      <c r="F8" s="2086"/>
      <c r="G8" s="2086"/>
      <c r="H8" s="2086"/>
      <c r="I8" s="2081"/>
      <c r="J8" s="2843"/>
    </row>
    <row r="9" spans="1:15" ht="12.75">
      <c r="A9" s="3340"/>
      <c r="B9" s="3340"/>
      <c r="C9" s="3348"/>
      <c r="D9" s="3343"/>
      <c r="E9" s="12" t="s">
        <v>1720</v>
      </c>
      <c r="F9" s="2086"/>
      <c r="G9" s="2086"/>
      <c r="H9" s="2086"/>
      <c r="I9" s="2081"/>
      <c r="J9" s="2843"/>
    </row>
    <row r="10" spans="1:15" ht="12.75">
      <c r="A10" s="3340" t="s">
        <v>1721</v>
      </c>
      <c r="B10" s="3340">
        <v>15</v>
      </c>
      <c r="C10" s="3346"/>
      <c r="D10" s="3343"/>
      <c r="E10" s="12" t="s">
        <v>1722</v>
      </c>
      <c r="F10" s="2086"/>
      <c r="G10" s="2086"/>
      <c r="H10" s="2086"/>
      <c r="I10" s="2081"/>
      <c r="J10" s="2843"/>
    </row>
    <row r="11" spans="1:15" ht="12.75">
      <c r="A11" s="3340"/>
      <c r="B11" s="3340"/>
      <c r="C11" s="3348"/>
      <c r="D11" s="3343"/>
      <c r="E11" s="12" t="s">
        <v>1723</v>
      </c>
      <c r="F11" s="2086"/>
      <c r="G11" s="2086"/>
      <c r="H11" s="2086"/>
      <c r="I11" s="2081"/>
      <c r="J11" s="2843"/>
    </row>
    <row r="12" spans="1:15" ht="12.75">
      <c r="A12" s="3340" t="s">
        <v>1724</v>
      </c>
      <c r="B12" s="3340">
        <v>15</v>
      </c>
      <c r="C12" s="3346"/>
      <c r="D12" s="3343"/>
      <c r="E12" s="12" t="s">
        <v>1725</v>
      </c>
      <c r="F12" s="2086"/>
      <c r="G12" s="2086"/>
      <c r="H12" s="2086"/>
      <c r="I12" s="2081"/>
      <c r="J12" s="2843"/>
    </row>
    <row r="13" spans="1:15" ht="12.75">
      <c r="A13" s="3340"/>
      <c r="B13" s="3340"/>
      <c r="C13" s="3348"/>
      <c r="D13" s="3343"/>
      <c r="E13" s="12" t="s">
        <v>1726</v>
      </c>
      <c r="F13" s="2086"/>
      <c r="G13" s="2086"/>
      <c r="H13" s="2086"/>
      <c r="I13" s="2081"/>
      <c r="J13" s="2843"/>
    </row>
    <row r="14" spans="1:15" ht="12.75">
      <c r="A14" s="3340" t="s">
        <v>1727</v>
      </c>
      <c r="B14" s="3340">
        <v>30</v>
      </c>
      <c r="C14" s="3346"/>
      <c r="D14" s="3343"/>
      <c r="E14" s="12" t="s">
        <v>1728</v>
      </c>
      <c r="F14" s="2086"/>
      <c r="G14" s="2086"/>
      <c r="H14" s="2086"/>
      <c r="I14" s="2081"/>
      <c r="J14" s="2843"/>
    </row>
    <row r="15" spans="1:15" ht="12.75">
      <c r="A15" s="3340"/>
      <c r="B15" s="3340"/>
      <c r="C15" s="3347"/>
      <c r="D15" s="3343"/>
      <c r="E15" s="12" t="s">
        <v>1729</v>
      </c>
      <c r="F15" s="2086"/>
      <c r="G15" s="2086"/>
      <c r="H15" s="2086"/>
      <c r="I15" s="2081"/>
      <c r="J15" s="2843"/>
    </row>
    <row r="16" spans="1:15" ht="12.75">
      <c r="A16" s="3340"/>
      <c r="B16" s="3340"/>
      <c r="C16" s="3348"/>
      <c r="D16" s="3343"/>
      <c r="E16" s="12" t="s">
        <v>1730</v>
      </c>
      <c r="F16" s="2086"/>
      <c r="G16" s="2086"/>
      <c r="H16" s="2086"/>
      <c r="I16" s="2081"/>
      <c r="J16" s="2843"/>
    </row>
    <row r="17" spans="1:36" ht="15">
      <c r="A17" s="2712" t="s">
        <v>1731</v>
      </c>
      <c r="B17" s="2091"/>
      <c r="C17" s="2713">
        <f>SUM(C5:C16)</f>
        <v>0</v>
      </c>
      <c r="D17" s="2713">
        <f>SUM(D5:D16)</f>
        <v>0</v>
      </c>
      <c r="E17" s="2560"/>
      <c r="F17" s="2560"/>
      <c r="G17" s="2560"/>
      <c r="H17" s="2560"/>
      <c r="I17" s="2560"/>
      <c r="J17" s="2844"/>
    </row>
    <row r="18" spans="1:36" ht="32.450000000000003" customHeight="1" thickBot="1">
      <c r="A18" s="2714" t="s">
        <v>1732</v>
      </c>
      <c r="B18" s="2715"/>
      <c r="C18" s="2716" t="e">
        <f>ROUND(C17/SUM(C17:D17),2)</f>
        <v>#DIV/0!</v>
      </c>
      <c r="D18" s="2716" t="e">
        <f>1-C18</f>
        <v>#DIV/0!</v>
      </c>
      <c r="E18" s="3360" t="s">
        <v>2818</v>
      </c>
      <c r="F18" s="3361"/>
      <c r="G18" s="3361"/>
      <c r="H18" s="3361"/>
      <c r="I18" s="3361"/>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元</v>
      </c>
      <c r="I19" s="2560"/>
      <c r="J19" s="2844"/>
    </row>
    <row r="20" spans="1:36" ht="15">
      <c r="A20" s="2723"/>
      <c r="B20" s="1694" t="s">
        <v>1736</v>
      </c>
      <c r="C20" s="1916" t="e">
        <f ca="1">SUMIF(INDIRECT("'"&amp;C4&amp;"'"&amp;"!A:A"),'结果表 (1修多)'!B20,INDIRECT("'"&amp;C4&amp;"'"&amp;"!B:B"))</f>
        <v>#REF!</v>
      </c>
      <c r="D20" s="1919" t="e">
        <f ca="1">SUMIF(INDIRECT("'"&amp;D4&amp;"'"&amp;"!A:A"),'结果表 (1修多)'!B20,INDIRECT("'"&amp;D4&amp;"'"&amp;"!B:B"))</f>
        <v>#REF!</v>
      </c>
      <c r="E20" s="2723"/>
      <c r="F20" s="1694"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49" t="s">
        <v>1739</v>
      </c>
      <c r="B24" s="2718" t="s">
        <v>1734</v>
      </c>
      <c r="C24" s="2721">
        <f>D30</f>
        <v>0</v>
      </c>
      <c r="D24" s="2673"/>
      <c r="E24" s="947"/>
      <c r="F24" s="947"/>
      <c r="G24" s="947"/>
      <c r="H24" s="947"/>
      <c r="I24" s="947"/>
      <c r="J24" s="2844"/>
    </row>
    <row r="25" spans="1:36" ht="21.75" customHeight="1">
      <c r="A25" s="3350"/>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2822</v>
      </c>
      <c r="F30" s="2560"/>
      <c r="G30" s="2560"/>
      <c r="H30" s="2560"/>
      <c r="I30" s="2560"/>
      <c r="J30" s="2844"/>
    </row>
    <row r="31" spans="1:36" s="2837" customFormat="1" ht="27.6"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406" t="s">
        <v>1886</v>
      </c>
      <c r="B32" s="3406"/>
      <c r="C32" s="3406"/>
      <c r="D32" s="3406"/>
      <c r="E32" s="3406"/>
      <c r="F32" s="3406"/>
      <c r="G32" s="3406"/>
      <c r="H32" s="3406"/>
      <c r="I32" s="3406"/>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1887</v>
      </c>
      <c r="C33" s="2774">
        <f>典型户型修正!R27</f>
        <v>0</v>
      </c>
      <c r="D33" s="2560" t="s">
        <v>1888</v>
      </c>
      <c r="E33" s="947"/>
      <c r="F33" s="947"/>
      <c r="G33" s="947"/>
      <c r="H33" s="947"/>
      <c r="I33" s="947"/>
      <c r="J33" s="2844"/>
    </row>
    <row r="34" spans="1:16" ht="15">
      <c r="A34" s="1512" t="s">
        <v>1889</v>
      </c>
      <c r="B34" s="2775" t="s">
        <v>1890</v>
      </c>
      <c r="C34" s="2776">
        <f>典型户型修正!B2</f>
        <v>0</v>
      </c>
      <c r="D34" s="2777" t="str">
        <f>IF('数据-取费表'!B3="万元","万元","元")</f>
        <v>元</v>
      </c>
      <c r="E34" s="947"/>
      <c r="F34" s="947"/>
      <c r="G34" s="947"/>
      <c r="H34" s="947"/>
      <c r="I34" s="947"/>
      <c r="J34" s="2844"/>
    </row>
    <row r="35" spans="1:16" ht="15.75" thickBot="1">
      <c r="A35" s="1513"/>
      <c r="B35" s="2778" t="s">
        <v>1891</v>
      </c>
      <c r="C35" s="2727" t="e">
        <f>典型户型修正!B3</f>
        <v>#DIV/0!</v>
      </c>
      <c r="D35" s="2560" t="s">
        <v>1892</v>
      </c>
      <c r="E35" s="947"/>
      <c r="F35" s="947"/>
      <c r="G35" s="947"/>
      <c r="H35" s="947"/>
      <c r="I35" s="947"/>
      <c r="J35" s="2844"/>
    </row>
    <row r="36" spans="1:16" ht="15">
      <c r="A36" s="1514"/>
      <c r="B36" s="1468" t="s">
        <v>1893</v>
      </c>
      <c r="C36" s="2779">
        <f>IF('数据-取费表'!B3="万元",典型户型修正!V25,典型户型修正!U25)</f>
        <v>0</v>
      </c>
      <c r="D36" s="2560" t="str">
        <f>D34</f>
        <v>元</v>
      </c>
      <c r="E36" s="947"/>
      <c r="F36" s="947"/>
      <c r="G36" s="947"/>
      <c r="H36" s="947"/>
      <c r="I36" s="947"/>
      <c r="J36" s="2844"/>
    </row>
    <row r="37" spans="1:16" ht="15.75" thickBot="1">
      <c r="A37" s="1467"/>
      <c r="B37" s="1469" t="s">
        <v>1894</v>
      </c>
      <c r="C37" s="2780">
        <f>IF('数据-取费表'!B3="万元",典型户型修正!Y25,典型户型修正!X25)</f>
        <v>0</v>
      </c>
      <c r="D37" s="2560" t="str">
        <f>D34</f>
        <v>元</v>
      </c>
      <c r="E37" s="947"/>
      <c r="F37" s="947"/>
      <c r="G37" s="947"/>
      <c r="H37" s="947"/>
      <c r="I37" s="947"/>
      <c r="J37" s="2844"/>
    </row>
    <row r="38" spans="1:16" ht="15.75" thickBot="1">
      <c r="A38" s="3349" t="s">
        <v>1895</v>
      </c>
      <c r="B38" s="1468" t="s">
        <v>1896</v>
      </c>
      <c r="C38" s="2754"/>
      <c r="D38" s="2755"/>
      <c r="E38" s="1680"/>
      <c r="F38" s="1680"/>
      <c r="G38" s="947"/>
      <c r="H38" s="947"/>
      <c r="I38" s="947"/>
      <c r="J38" s="2844"/>
    </row>
    <row r="39" spans="1:16" ht="15.75" thickBot="1">
      <c r="A39" s="3354"/>
      <c r="B39" s="2091" t="s">
        <v>1897</v>
      </c>
      <c r="C39" s="2756"/>
      <c r="D39" s="1311"/>
      <c r="E39" s="1311"/>
      <c r="F39" s="1680"/>
      <c r="G39" s="1311"/>
      <c r="H39" s="1311"/>
      <c r="I39" s="1311"/>
      <c r="J39" s="2848"/>
    </row>
    <row r="40" spans="1:16" ht="15.75" thickBot="1">
      <c r="A40" s="3355"/>
      <c r="B40" s="1469" t="s">
        <v>1898</v>
      </c>
      <c r="C40" s="2757"/>
      <c r="D40" s="2758" t="s">
        <v>1899</v>
      </c>
      <c r="E40" s="1311"/>
      <c r="F40" s="1680"/>
      <c r="G40" s="1311"/>
      <c r="H40" s="1311"/>
      <c r="I40" s="1311"/>
      <c r="J40" s="2848"/>
    </row>
    <row r="41" spans="1:16" ht="15">
      <c r="A41" s="2723" t="s">
        <v>1900</v>
      </c>
      <c r="B41" s="2759" t="s">
        <v>1901</v>
      </c>
      <c r="C41" s="2760" t="s">
        <v>1902</v>
      </c>
      <c r="D41" s="2760" t="s">
        <v>1903</v>
      </c>
      <c r="E41" s="2761" t="s">
        <v>1904</v>
      </c>
      <c r="F41" s="1680"/>
      <c r="G41" s="1311"/>
      <c r="H41" s="1311"/>
      <c r="I41" s="1311"/>
      <c r="J41" s="2848"/>
    </row>
    <row r="42" spans="1:16" ht="14.25">
      <c r="A42" s="2762" t="s">
        <v>1905</v>
      </c>
      <c r="B42" s="2763"/>
      <c r="C42" s="2764"/>
      <c r="D42" s="2764"/>
      <c r="E42" s="2765"/>
      <c r="F42" s="1680"/>
      <c r="G42" s="1311"/>
      <c r="H42" s="1311"/>
      <c r="I42" s="1311"/>
      <c r="J42" s="2848"/>
    </row>
    <row r="43" spans="1:16" ht="14.25">
      <c r="A43" s="2762" t="s">
        <v>1906</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1907</v>
      </c>
      <c r="B46" s="1472"/>
      <c r="C46" s="1472"/>
      <c r="D46" s="2781"/>
      <c r="E46" s="2781"/>
      <c r="F46" s="2781"/>
      <c r="G46" s="2781"/>
      <c r="H46" s="2781"/>
      <c r="I46" s="2838" t="s">
        <v>2817</v>
      </c>
      <c r="J46" s="2874"/>
      <c r="K46" s="1475" t="s">
        <v>1762</v>
      </c>
      <c r="L46" s="1476"/>
      <c r="M46" s="1476"/>
      <c r="N46" s="1476"/>
      <c r="O46" s="1476"/>
      <c r="P46" s="1476"/>
    </row>
    <row r="47" spans="1:16" ht="14.25" customHeight="1" thickBot="1">
      <c r="A47" s="3274" t="s">
        <v>1908</v>
      </c>
      <c r="B47" s="3275"/>
      <c r="C47" s="3285"/>
      <c r="D47" s="246">
        <f>ROUND(I104*F47,0)</f>
        <v>0</v>
      </c>
      <c r="E47" s="1542" t="s">
        <v>1909</v>
      </c>
      <c r="F47" s="2558">
        <v>1</v>
      </c>
      <c r="G47" s="2559" t="s">
        <v>1910</v>
      </c>
      <c r="H47" s="947"/>
      <c r="I47" s="947"/>
      <c r="J47" s="2844"/>
      <c r="K47" s="3379" t="s">
        <v>1766</v>
      </c>
      <c r="L47" s="3379"/>
      <c r="M47" s="3379"/>
      <c r="N47" s="3379"/>
      <c r="O47" s="3379"/>
      <c r="P47" s="3379"/>
    </row>
    <row r="48" spans="1:16" ht="14.25" customHeight="1">
      <c r="A48" s="3351" t="s">
        <v>1767</v>
      </c>
      <c r="B48" s="3352"/>
      <c r="C48" s="3352"/>
      <c r="D48" s="3352"/>
      <c r="E48" s="3352"/>
      <c r="F48" s="3352"/>
      <c r="G48" s="3353"/>
      <c r="H48" s="2976"/>
      <c r="I48" s="947"/>
      <c r="J48" s="2844"/>
      <c r="K48" s="2510">
        <v>1</v>
      </c>
      <c r="L48" s="3380" t="s">
        <v>1768</v>
      </c>
      <c r="M48" s="3380"/>
      <c r="N48" s="3381"/>
      <c r="O48" s="3381"/>
      <c r="P48" s="3381"/>
    </row>
    <row r="49" spans="1:17" ht="12" customHeight="1">
      <c r="A49" s="38" t="s">
        <v>1769</v>
      </c>
      <c r="B49" s="39"/>
      <c r="C49" s="40"/>
      <c r="D49" s="1099" t="s">
        <v>1770</v>
      </c>
      <c r="E49" s="235" t="s">
        <v>1771</v>
      </c>
      <c r="F49" s="41" t="s">
        <v>1772</v>
      </c>
      <c r="G49" s="2561" t="s">
        <v>1773</v>
      </c>
      <c r="H49" s="2976"/>
      <c r="I49" s="947"/>
      <c r="J49" s="2844"/>
      <c r="K49" s="2510">
        <v>2</v>
      </c>
      <c r="L49" s="3380" t="s">
        <v>1774</v>
      </c>
      <c r="M49" s="3380"/>
      <c r="N49" s="3383">
        <f>'数据-取费表'!B2</f>
        <v>44342</v>
      </c>
      <c r="O49" s="3383"/>
      <c r="P49" s="3383"/>
    </row>
    <row r="50" spans="1:17" ht="25.5">
      <c r="A50" s="3356" t="s">
        <v>1775</v>
      </c>
      <c r="B50" s="3290"/>
      <c r="C50" s="3290"/>
      <c r="D50" s="12">
        <f>IF(H50="情况1",0,IF(H50="情况2",D54,IF(H50="情况3",D55,IF(H50="情况4",D56))))</f>
        <v>0</v>
      </c>
      <c r="E50" s="2089" t="str">
        <f>IF(H50="情况4","(销售额-原购置价)×税（费）率","销售额×税（费）率")</f>
        <v>销售额×税（费）率</v>
      </c>
      <c r="F50" s="2562">
        <f>IF(H50="情况1","免征",'数据-取费表'!E29)</f>
        <v>5.5000000000000007E-2</v>
      </c>
      <c r="G50" s="2563" t="s">
        <v>1776</v>
      </c>
      <c r="H50" s="2564" t="s">
        <v>1777</v>
      </c>
      <c r="I50" s="2976"/>
      <c r="J50" s="2851"/>
      <c r="K50" s="2510">
        <v>3</v>
      </c>
      <c r="L50" s="3380" t="s">
        <v>1778</v>
      </c>
      <c r="M50" s="3380"/>
      <c r="N50" s="3385">
        <f>I104</f>
        <v>0</v>
      </c>
      <c r="O50" s="3385"/>
      <c r="P50" s="3385"/>
    </row>
    <row r="51" spans="1:17" ht="25.5" customHeight="1">
      <c r="A51" s="2088" t="s">
        <v>1779</v>
      </c>
      <c r="B51" s="3329" t="s">
        <v>1780</v>
      </c>
      <c r="C51" s="3329"/>
      <c r="D51" s="2565">
        <v>0</v>
      </c>
      <c r="E51" s="261" t="s">
        <v>1781</v>
      </c>
      <c r="F51" s="2566" t="s">
        <v>48</v>
      </c>
      <c r="G51" s="3271"/>
      <c r="H51" s="2567" t="s">
        <v>2742</v>
      </c>
      <c r="I51" s="2568"/>
      <c r="J51" s="2852"/>
      <c r="K51" s="2510">
        <v>4</v>
      </c>
      <c r="L51" s="3380" t="str">
        <f>IF(项目基本情况!F5="房地产抵押价值","房地产抵押价值","抵押担保权已注销时的房地产抵押价值")</f>
        <v>房地产抵押价值</v>
      </c>
      <c r="M51" s="3380"/>
      <c r="N51" s="3385">
        <f>IF(项目基本情况!F5="房地产抵押价值",I112,I114)</f>
        <v>0</v>
      </c>
      <c r="O51" s="3385"/>
      <c r="P51" s="3385"/>
    </row>
    <row r="52" spans="1:17" ht="25.5" customHeight="1">
      <c r="A52" s="2078"/>
      <c r="B52" s="3329" t="s">
        <v>1782</v>
      </c>
      <c r="C52" s="3329"/>
      <c r="D52" s="2569"/>
      <c r="E52" s="269"/>
      <c r="F52" s="2566"/>
      <c r="G52" s="3272"/>
      <c r="H52" s="2570" t="s">
        <v>2743</v>
      </c>
      <c r="I52" s="2568"/>
      <c r="J52" s="2852"/>
      <c r="K52" s="3380" t="s">
        <v>1783</v>
      </c>
      <c r="L52" s="3380"/>
      <c r="M52" s="3380"/>
      <c r="N52" s="3380"/>
      <c r="O52" s="3380"/>
      <c r="P52" s="3380"/>
    </row>
    <row r="53" spans="1:17" ht="20.45" customHeight="1">
      <c r="A53" s="2571"/>
      <c r="B53" s="3329" t="s">
        <v>1784</v>
      </c>
      <c r="C53" s="3329"/>
      <c r="D53" s="1099"/>
      <c r="E53" s="264"/>
      <c r="F53" s="2566"/>
      <c r="G53" s="3273"/>
      <c r="H53" s="2570" t="s">
        <v>2744</v>
      </c>
      <c r="I53" s="2568"/>
      <c r="J53" s="2852"/>
      <c r="K53" s="2511" t="s">
        <v>1785</v>
      </c>
      <c r="L53" s="3380" t="s">
        <v>1786</v>
      </c>
      <c r="M53" s="3380"/>
      <c r="N53" s="2511" t="s">
        <v>1787</v>
      </c>
      <c r="O53" s="2511" t="s">
        <v>1788</v>
      </c>
      <c r="P53" s="2511" t="s">
        <v>1789</v>
      </c>
    </row>
    <row r="54" spans="1:17" ht="24" customHeight="1">
      <c r="A54" s="2079" t="s">
        <v>1790</v>
      </c>
      <c r="B54" s="3329" t="s">
        <v>1791</v>
      </c>
      <c r="C54" s="3329"/>
      <c r="D54" s="1099">
        <f>ROUND(D47*'数据-取费表'!E29/(1+'数据-取费表'!F30),0)</f>
        <v>0</v>
      </c>
      <c r="E54" s="2089" t="s">
        <v>1792</v>
      </c>
      <c r="F54" s="2572">
        <f>'数据-取费表'!E29</f>
        <v>5.5000000000000007E-2</v>
      </c>
      <c r="G54" s="2573"/>
      <c r="H54" s="947"/>
      <c r="I54" s="2977"/>
      <c r="J54" s="2852"/>
      <c r="K54" s="2510">
        <v>1</v>
      </c>
      <c r="L54" s="3382" t="s">
        <v>1793</v>
      </c>
      <c r="M54" s="3382"/>
      <c r="N54" s="2512">
        <f>D50</f>
        <v>0</v>
      </c>
      <c r="O54" s="2510" t="str">
        <f>E50</f>
        <v>销售额×税（费）率</v>
      </c>
      <c r="P54" s="2513">
        <f>F50</f>
        <v>5.5000000000000007E-2</v>
      </c>
    </row>
    <row r="55" spans="1:17" ht="12" customHeight="1">
      <c r="A55" s="2079" t="s">
        <v>1794</v>
      </c>
      <c r="B55" s="3341" t="s">
        <v>2836</v>
      </c>
      <c r="C55" s="3330"/>
      <c r="D55" s="1099">
        <f>ROUND(D47*'数据-取费表'!E29/(1+'数据-取费表'!F30),0)</f>
        <v>0</v>
      </c>
      <c r="E55" s="2089" t="s">
        <v>1792</v>
      </c>
      <c r="F55" s="2572">
        <f>'数据-取费表'!E29</f>
        <v>5.5000000000000007E-2</v>
      </c>
      <c r="G55" s="2573"/>
      <c r="H55" s="947"/>
      <c r="I55" s="2977"/>
      <c r="J55" s="2852"/>
      <c r="K55" s="2510">
        <v>2</v>
      </c>
      <c r="L55" s="3382" t="s">
        <v>1795</v>
      </c>
      <c r="M55" s="3382"/>
      <c r="N55" s="2512">
        <f t="shared" ref="N55:P56" si="1">D57</f>
        <v>0</v>
      </c>
      <c r="O55" s="2510" t="str">
        <f t="shared" si="1"/>
        <v>销售额×税（费）率</v>
      </c>
      <c r="P55" s="2513">
        <f t="shared" si="1"/>
        <v>5.0000000000000001E-4</v>
      </c>
    </row>
    <row r="56" spans="1:17" ht="12" customHeight="1">
      <c r="A56" s="2079" t="s">
        <v>1796</v>
      </c>
      <c r="B56" s="3341" t="s">
        <v>2837</v>
      </c>
      <c r="C56" s="3330"/>
      <c r="D56" s="1099">
        <f>C70</f>
        <v>0</v>
      </c>
      <c r="E56" s="264" t="s">
        <v>1797</v>
      </c>
      <c r="F56" s="2572">
        <f>'数据-取费表'!E29</f>
        <v>5.5000000000000007E-2</v>
      </c>
      <c r="G56" s="2573"/>
      <c r="H56" s="2978"/>
      <c r="I56" s="2977"/>
      <c r="J56" s="2852"/>
      <c r="K56" s="2510">
        <v>3</v>
      </c>
      <c r="L56" s="3382" t="s">
        <v>1798</v>
      </c>
      <c r="M56" s="3382"/>
      <c r="N56" s="2512">
        <f t="shared" si="1"/>
        <v>0</v>
      </c>
      <c r="O56" s="2510" t="str">
        <f t="shared" si="1"/>
        <v>增值额×税（费）率</v>
      </c>
      <c r="P56" s="2514" t="str">
        <f t="shared" si="1"/>
        <v>——</v>
      </c>
    </row>
    <row r="57" spans="1:17" ht="24" customHeight="1">
      <c r="A57" s="3294" t="s">
        <v>1799</v>
      </c>
      <c r="B57" s="3290"/>
      <c r="C57" s="3290"/>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382" t="str">
        <f>IF(H61="非个人房产","——","个人所得税")</f>
        <v>个人所得税</v>
      </c>
      <c r="M57" s="3382"/>
      <c r="N57" s="2515">
        <f>D61</f>
        <v>0</v>
      </c>
      <c r="O57" s="2516" t="str">
        <f>E61</f>
        <v>销售额×税（费）率</v>
      </c>
      <c r="P57" s="2517">
        <f>F61</f>
        <v>0.01</v>
      </c>
    </row>
    <row r="58" spans="1:17" ht="24.75">
      <c r="A58" s="3294" t="s">
        <v>1802</v>
      </c>
      <c r="B58" s="3290"/>
      <c r="C58" s="3290"/>
      <c r="D58" s="12">
        <f>IF(H58="个人住宅",D59,D60)</f>
        <v>0</v>
      </c>
      <c r="E58" s="2089" t="s">
        <v>1803</v>
      </c>
      <c r="F58" s="2572" t="str">
        <f>IF(H58="正常",F60,"免征")</f>
        <v>——</v>
      </c>
      <c r="G58" s="2574" t="s">
        <v>1804</v>
      </c>
      <c r="H58" s="2575" t="s">
        <v>1801</v>
      </c>
      <c r="I58" s="2979"/>
      <c r="J58" s="2852"/>
      <c r="K58" s="2510" t="str">
        <f>IF(项目基本情况!I6="上海银行",IF(K57="",4,K57+1),"")</f>
        <v/>
      </c>
      <c r="L58" s="3386" t="str">
        <f>IF(项目基本情况!I6="上海银行","其他处置费用","")</f>
        <v/>
      </c>
      <c r="M58" s="3391"/>
      <c r="N58" s="2512" t="str">
        <f>IF(项目基本情况!I6="上海银行",N71,"")</f>
        <v/>
      </c>
      <c r="O58" s="3386" t="str">
        <f>IF(项目基本情况!I6="上海银行","包含处置中涉及的律师、诉讼、拍卖、评估等费用","")</f>
        <v/>
      </c>
      <c r="P58" s="3387"/>
    </row>
    <row r="59" spans="1:17" ht="12.75">
      <c r="A59" s="2079" t="s">
        <v>1779</v>
      </c>
      <c r="B59" s="3341" t="s">
        <v>1805</v>
      </c>
      <c r="C59" s="3330"/>
      <c r="D59" s="2565">
        <v>0</v>
      </c>
      <c r="E59" s="261" t="s">
        <v>1781</v>
      </c>
      <c r="F59" s="235"/>
      <c r="G59" s="2573"/>
      <c r="H59" s="2979"/>
      <c r="I59" s="2979"/>
      <c r="J59" s="2852"/>
      <c r="K59" s="3382">
        <f>IF(AND(K57="",K58=""),4,IF(项目基本情况!I6="上海银行",K58+1,K57+1))</f>
        <v>5</v>
      </c>
      <c r="L59" s="3382" t="s">
        <v>1806</v>
      </c>
      <c r="M59" s="2518" t="s">
        <v>1807</v>
      </c>
      <c r="N59" s="2519"/>
      <c r="O59" s="2520">
        <f>SUMIF(N54:N58,"&lt;9e307")</f>
        <v>0</v>
      </c>
      <c r="P59" s="2521"/>
      <c r="Q59" s="1306" t="e">
        <f>O59/N51</f>
        <v>#DIV/0!</v>
      </c>
    </row>
    <row r="60" spans="1:17" ht="24.75">
      <c r="A60" s="2079" t="s">
        <v>1790</v>
      </c>
      <c r="B60" s="3341" t="s">
        <v>1808</v>
      </c>
      <c r="C60" s="3329"/>
      <c r="D60" s="12">
        <f>IF(H60="转让取得",C83,C99)</f>
        <v>0</v>
      </c>
      <c r="E60" s="2089" t="s">
        <v>1803</v>
      </c>
      <c r="F60" s="235" t="s">
        <v>48</v>
      </c>
      <c r="G60" s="2573"/>
      <c r="H60" s="2575" t="s">
        <v>1809</v>
      </c>
      <c r="I60" s="2979"/>
      <c r="J60" s="2852"/>
      <c r="K60" s="3382"/>
      <c r="L60" s="3382"/>
      <c r="M60" s="2518" t="s">
        <v>1810</v>
      </c>
      <c r="N60" s="2522"/>
      <c r="O60" s="2523" t="str">
        <f>IF(H19="元",NUMBERSTRING(INT(O59),2)&amp;"元整",NUMBERSTRING(INT(O59*10000),2)&amp;"元整")</f>
        <v>零元整</v>
      </c>
      <c r="P60" s="2524"/>
    </row>
    <row r="61" spans="1:17" ht="26.25" thickBot="1">
      <c r="A61" s="3357" t="s">
        <v>1811</v>
      </c>
      <c r="B61" s="3358"/>
      <c r="C61" s="3358"/>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2815</v>
      </c>
      <c r="H61" s="2093" t="s">
        <v>2741</v>
      </c>
      <c r="I61" s="2880" t="s">
        <v>2827</v>
      </c>
      <c r="J61" s="2852"/>
      <c r="K61" s="3388">
        <f>K59+1</f>
        <v>6</v>
      </c>
      <c r="L61" s="3382" t="s">
        <v>1812</v>
      </c>
      <c r="M61" s="2510" t="s">
        <v>1807</v>
      </c>
      <c r="N61" s="2525"/>
      <c r="O61" s="2526">
        <f>N51-O59</f>
        <v>0</v>
      </c>
      <c r="P61" s="2527"/>
    </row>
    <row r="62" spans="1:17" ht="12" customHeight="1">
      <c r="A62" s="1457"/>
      <c r="B62" s="2560"/>
      <c r="C62" s="2560"/>
      <c r="D62" s="2560"/>
      <c r="E62" s="1457"/>
      <c r="F62" s="2979"/>
      <c r="G62" s="2979"/>
      <c r="H62" s="2974"/>
      <c r="I62" s="947"/>
      <c r="J62" s="2852"/>
      <c r="K62" s="3389"/>
      <c r="L62" s="3382"/>
      <c r="M62" s="2518" t="s">
        <v>1810</v>
      </c>
      <c r="N62" s="2522"/>
      <c r="O62" s="2523" t="str">
        <f>IF(H19="元",NUMBERSTRING(INT(O61),2)&amp;"元整",NUMBERSTRING(INT(O61*10000),2)&amp;"元整")</f>
        <v>零元整</v>
      </c>
      <c r="P62" s="2524"/>
    </row>
    <row r="63" spans="1:17" ht="13.5" thickBot="1">
      <c r="A63" s="3390" t="s">
        <v>1813</v>
      </c>
      <c r="B63" s="3390"/>
      <c r="C63" s="3390"/>
      <c r="D63" s="3390"/>
      <c r="E63" s="3390"/>
      <c r="F63" s="2979"/>
      <c r="G63" s="2979"/>
      <c r="H63" s="2974"/>
      <c r="I63" s="947"/>
      <c r="J63" s="2844"/>
      <c r="K63" s="2510">
        <f>K61+1</f>
        <v>7</v>
      </c>
      <c r="L63" s="3382" t="s">
        <v>1814</v>
      </c>
      <c r="M63" s="3382"/>
      <c r="N63" s="2528"/>
      <c r="O63" s="2529">
        <f>IF(H19="元",ROUND(O61/项目基本情况!C12,0),ROUND(O61*10000/项目基本情况!C12,0))</f>
        <v>0</v>
      </c>
      <c r="P63" s="2530"/>
    </row>
    <row r="64" spans="1:17" ht="12.75">
      <c r="A64" s="3308" t="s">
        <v>1815</v>
      </c>
      <c r="B64" s="3309"/>
      <c r="C64" s="1607"/>
      <c r="D64" s="1607"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78" t="s">
        <v>1819</v>
      </c>
      <c r="L65" s="1307" t="s">
        <v>1820</v>
      </c>
      <c r="M65" s="1307">
        <f>IF(N51&gt;10000,N51*0.5%,IF(AND(N51&gt;1000,N51&lt;=10000),N51*1%,IF(AND(N51&gt;100,N51&lt;=1000),N51*3%,IF(AND(N51&gt;10,N51&lt;=100),N51*5%,N51*8%))))</f>
        <v>0</v>
      </c>
      <c r="N65" s="235">
        <f>ROUND(M65,1)</f>
        <v>0</v>
      </c>
      <c r="O65" s="2531"/>
    </row>
    <row r="66" spans="1:36" ht="12.75">
      <c r="A66" s="49" t="s">
        <v>71</v>
      </c>
      <c r="B66" s="50" t="s">
        <v>1821</v>
      </c>
      <c r="C66" s="2784">
        <f>D47</f>
        <v>0</v>
      </c>
      <c r="D66" s="50" t="s">
        <v>41</v>
      </c>
      <c r="E66" s="52"/>
      <c r="F66" s="2979"/>
      <c r="G66" s="2979"/>
      <c r="H66" s="2974"/>
      <c r="I66" s="947"/>
      <c r="J66" s="2844"/>
      <c r="K66" s="3378"/>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2.75">
      <c r="A67" s="49" t="s">
        <v>72</v>
      </c>
      <c r="B67" s="50" t="s">
        <v>1824</v>
      </c>
      <c r="C67" s="2785"/>
      <c r="D67" s="50"/>
      <c r="E67" s="52"/>
      <c r="F67" s="2979"/>
      <c r="G67" s="2979"/>
      <c r="H67" s="2974"/>
      <c r="I67" s="947"/>
      <c r="J67" s="2844"/>
      <c r="K67" s="3378"/>
      <c r="L67" s="1307" t="s">
        <v>1825</v>
      </c>
      <c r="M67" s="1307" t="b">
        <f>IF(N51&gt;1000,N51*0.1%,IF(AND(N51&gt;500,N51&lt;=1000),N51*0.5%,IF(AND(N51&gt;50,N51&lt;=500),N51*1%,IF(AND(N51&gt;1,N51&lt;=50),N51*1.5%))))</f>
        <v>0</v>
      </c>
      <c r="N67" s="235">
        <f t="shared" si="2"/>
        <v>0</v>
      </c>
      <c r="O67" s="2531" t="s">
        <v>1823</v>
      </c>
    </row>
    <row r="68" spans="1:36" ht="12.75">
      <c r="A68" s="53" t="s">
        <v>47</v>
      </c>
      <c r="B68" s="54" t="s">
        <v>1826</v>
      </c>
      <c r="C68" s="2786"/>
      <c r="D68" s="54" t="s">
        <v>41</v>
      </c>
      <c r="E68" s="1316" t="s">
        <v>1827</v>
      </c>
      <c r="F68" s="2979"/>
      <c r="G68" s="2979"/>
      <c r="H68" s="2974"/>
      <c r="I68" s="947"/>
      <c r="J68" s="2844"/>
      <c r="K68" s="3378"/>
      <c r="L68" s="1307" t="s">
        <v>1828</v>
      </c>
      <c r="M68" s="1307">
        <f>N51*0.5%</f>
        <v>0</v>
      </c>
      <c r="N68" s="235">
        <f>IF(M68&gt;0.5,0.5,ROUND(M68,0))</f>
        <v>0</v>
      </c>
      <c r="O68" s="2531" t="s">
        <v>1829</v>
      </c>
    </row>
    <row r="69" spans="1:36" ht="12.75">
      <c r="A69" s="53" t="s">
        <v>42</v>
      </c>
      <c r="B69" s="54" t="s">
        <v>1830</v>
      </c>
      <c r="C69" s="2787">
        <f>C65-C68</f>
        <v>0</v>
      </c>
      <c r="D69" s="50" t="s">
        <v>41</v>
      </c>
      <c r="E69" s="52"/>
      <c r="F69" s="2979"/>
      <c r="G69" s="2979"/>
      <c r="H69" s="2974"/>
      <c r="I69" s="947"/>
      <c r="J69" s="2844"/>
      <c r="K69" s="3378"/>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5" thickBot="1">
      <c r="A70" s="55" t="s">
        <v>46</v>
      </c>
      <c r="B70" s="56" t="s">
        <v>1832</v>
      </c>
      <c r="C70" s="2788">
        <f>IF(C69&lt;=0,0,ROUND(C69*D70,0))</f>
        <v>0</v>
      </c>
      <c r="D70" s="2239">
        <f>'数据-取费表'!E29</f>
        <v>5.5000000000000007E-2</v>
      </c>
      <c r="E70" s="57"/>
      <c r="F70" s="2979"/>
      <c r="G70" s="2979"/>
      <c r="H70" s="2974"/>
      <c r="I70" s="947"/>
      <c r="J70" s="2844"/>
      <c r="K70" s="3378"/>
      <c r="L70" s="1307" t="s">
        <v>1833</v>
      </c>
      <c r="M70" s="1307">
        <f>IF(N51&gt;10000,N51*0.5%,IF(AND(N51&gt;5000,N51&lt;=10000),N51*1%,IF(AND(N51&gt;1000,N51&lt;=5000),N51*2%,IF(AND(N51&gt;200,N51&lt;=1000),N51*3%,N51*5%))))</f>
        <v>0</v>
      </c>
      <c r="N70" s="235">
        <f>ROUND(M70,1)</f>
        <v>0</v>
      </c>
      <c r="O70" s="2531"/>
    </row>
    <row r="71" spans="1:36" s="1465" customFormat="1" ht="7.5" customHeight="1">
      <c r="A71" s="1477"/>
      <c r="B71" s="1478"/>
      <c r="C71" s="2789"/>
      <c r="D71" s="2282"/>
      <c r="E71" s="1481"/>
      <c r="F71" s="1457"/>
      <c r="G71" s="1457"/>
      <c r="H71" s="1481"/>
      <c r="I71" s="2560"/>
      <c r="J71" s="2844"/>
      <c r="K71" s="3378"/>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5" t="s">
        <v>1835</v>
      </c>
      <c r="B72" s="3396"/>
      <c r="C72" s="3396"/>
      <c r="D72" s="3396"/>
      <c r="E72" s="3396"/>
      <c r="F72" s="3396"/>
      <c r="G72" s="3396"/>
      <c r="H72" s="3396"/>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8" t="s">
        <v>1815</v>
      </c>
      <c r="B73" s="3309"/>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341" t="s">
        <v>1845</v>
      </c>
      <c r="F78" s="3329"/>
      <c r="G78" s="3329"/>
      <c r="H78" s="3342"/>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6"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5.000000000000001E-3</v>
      </c>
      <c r="E80" s="3277" t="s">
        <v>1850</v>
      </c>
      <c r="F80" s="3278"/>
      <c r="G80" s="3278"/>
      <c r="H80" s="3298"/>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5" t="s">
        <v>1854</v>
      </c>
      <c r="B85" s="3396"/>
      <c r="C85" s="3396"/>
      <c r="D85" s="3396"/>
      <c r="E85" s="3396"/>
      <c r="F85" s="3396"/>
      <c r="G85" s="3396"/>
      <c r="H85" s="3396"/>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8" t="s">
        <v>1815</v>
      </c>
      <c r="B86" s="3309"/>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0"/>
      <c r="D90" s="2796"/>
      <c r="E90" s="74" t="s">
        <v>1857</v>
      </c>
      <c r="F90" s="2083"/>
      <c r="G90" s="75" t="s">
        <v>1858</v>
      </c>
      <c r="H90" s="1488"/>
      <c r="I90" s="608"/>
      <c r="J90" s="2876"/>
      <c r="K90" s="2971"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0"/>
      <c r="D92" s="2796"/>
      <c r="E92" s="74" t="str">
        <f>IF(H90="-","土地取得成本中已包含该笔费用"," ")</f>
        <v xml:space="preserve"> </v>
      </c>
      <c r="F92" s="2083"/>
      <c r="G92" s="3317" t="s">
        <v>2736</v>
      </c>
      <c r="H92" s="3397"/>
      <c r="I92" s="608"/>
      <c r="J92" s="2876"/>
      <c r="K92" s="2971"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277" t="s">
        <v>1862</v>
      </c>
      <c r="F93" s="3278"/>
      <c r="G93" s="3278"/>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277" t="s">
        <v>1865</v>
      </c>
      <c r="F94" s="3278"/>
      <c r="G94" s="3278"/>
      <c r="H94" s="3298"/>
      <c r="I94" s="608"/>
      <c r="J94" s="2876"/>
      <c r="K94" s="2972"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5.000000000000001E-3</v>
      </c>
      <c r="E95" s="3277" t="s">
        <v>1850</v>
      </c>
      <c r="F95" s="3278"/>
      <c r="G95" s="3278"/>
      <c r="H95" s="3298"/>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277" t="s">
        <v>1867</v>
      </c>
      <c r="F96" s="3278"/>
      <c r="G96" s="3278"/>
      <c r="H96" s="3298"/>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95" t="s">
        <v>1869</v>
      </c>
      <c r="B101" s="3296"/>
      <c r="C101" s="3296"/>
      <c r="D101" s="3297"/>
      <c r="E101" s="1461"/>
      <c r="F101" s="3392" t="s">
        <v>2778</v>
      </c>
      <c r="G101" s="3393"/>
      <c r="H101" s="3393"/>
      <c r="I101" s="3394"/>
      <c r="J101" s="2879"/>
    </row>
    <row r="102" spans="1:36" ht="15">
      <c r="A102" s="3312" t="s">
        <v>1871</v>
      </c>
      <c r="B102" s="3313"/>
      <c r="C102" s="2802">
        <f>C4</f>
        <v>0</v>
      </c>
      <c r="D102" s="2803">
        <f>D4</f>
        <v>0</v>
      </c>
      <c r="E102" s="1461"/>
      <c r="F102" s="3314" t="s">
        <v>2779</v>
      </c>
      <c r="G102" s="3316"/>
      <c r="H102" s="3327" t="s">
        <v>2780</v>
      </c>
      <c r="I102" s="3315"/>
      <c r="J102" s="2859"/>
    </row>
    <row r="103" spans="1:36" ht="12.75">
      <c r="A103" s="3398" t="s">
        <v>2774</v>
      </c>
      <c r="B103" s="2304" t="str">
        <f>IF(H19="元","总价（元）","总价（万元）")</f>
        <v>总价（元）</v>
      </c>
      <c r="C103" s="1307" t="e">
        <f ca="1">C19</f>
        <v>#REF!</v>
      </c>
      <c r="D103" s="2806" t="e">
        <f ca="1">D19</f>
        <v>#REF!</v>
      </c>
      <c r="E103" s="1461"/>
      <c r="F103" s="3399"/>
      <c r="G103" s="3400"/>
      <c r="H103" s="3318">
        <f>典型户型修正!B25</f>
        <v>0</v>
      </c>
      <c r="I103" s="3315"/>
      <c r="J103" s="2859"/>
    </row>
    <row r="104" spans="1:36" ht="12.75">
      <c r="A104" s="3398"/>
      <c r="B104" s="2304" t="s">
        <v>2775</v>
      </c>
      <c r="C104" s="2807" t="e">
        <f ca="1">C20</f>
        <v>#REF!</v>
      </c>
      <c r="D104" s="2808" t="e">
        <f ca="1">D20</f>
        <v>#REF!</v>
      </c>
      <c r="E104" s="1461"/>
      <c r="F104" s="3301" t="s">
        <v>2781</v>
      </c>
      <c r="G104" s="3302"/>
      <c r="H104" s="2816" t="str">
        <f>C110</f>
        <v>总价（元）</v>
      </c>
      <c r="I104" s="2817">
        <f>H125</f>
        <v>0</v>
      </c>
      <c r="J104" s="2859"/>
    </row>
    <row r="105" spans="1:36" ht="12.75">
      <c r="A105" s="3398" t="s">
        <v>2776</v>
      </c>
      <c r="B105" s="2242" t="str">
        <f>B103</f>
        <v>总价（元）</v>
      </c>
      <c r="C105" s="12" t="e">
        <f ca="1">ROUND(IF('数据-取费表'!B4="总价",G19,IF(H19="元",G20*'数据-取费表'!E5,G20*'数据-取费表'!E5/10000)),0)</f>
        <v>#REF!</v>
      </c>
      <c r="D105" s="2809"/>
      <c r="E105" s="1461"/>
      <c r="F105" s="3301"/>
      <c r="G105" s="3302"/>
      <c r="H105" s="2816" t="s">
        <v>2782</v>
      </c>
      <c r="I105" s="52" t="e">
        <f>I125</f>
        <v>#DIV/0!</v>
      </c>
      <c r="J105" s="2843"/>
    </row>
    <row r="106" spans="1:36" ht="12.75">
      <c r="A106" s="3398"/>
      <c r="B106" s="2304" t="s">
        <v>2775</v>
      </c>
      <c r="C106" s="1481" t="e">
        <f ca="1">ROUND(IF('数据-取费表'!B4="楼面单价",G20,IF(H19="元",G19/'数据-取费表'!E5,G19*10000/'数据-取费表'!E5)),0)</f>
        <v>#REF!</v>
      </c>
      <c r="D106" s="2809"/>
      <c r="E106" s="1461"/>
      <c r="F106" s="3301"/>
      <c r="G106" s="3302"/>
      <c r="H106" s="3333"/>
      <c r="I106" s="3334"/>
      <c r="J106" s="2860"/>
    </row>
    <row r="107" spans="1:36" ht="12.75">
      <c r="A107" s="3405" t="s">
        <v>2777</v>
      </c>
      <c r="B107" s="2810" t="str">
        <f>B103</f>
        <v>总价（元）</v>
      </c>
      <c r="C107" s="2811">
        <f>H125</f>
        <v>0</v>
      </c>
      <c r="D107" s="2812"/>
      <c r="E107" s="1461"/>
      <c r="F107" s="3337" t="s">
        <v>2783</v>
      </c>
      <c r="G107" s="3338"/>
      <c r="H107" s="2818" t="str">
        <f>C112</f>
        <v>总额（元）</v>
      </c>
      <c r="I107" s="2817">
        <f>SUMIF(I108:I110,"&lt;9E307")</f>
        <v>0</v>
      </c>
      <c r="J107" s="2859"/>
    </row>
    <row r="108" spans="1:36" ht="15" thickBot="1">
      <c r="A108" s="3332"/>
      <c r="B108" s="2813" t="s">
        <v>2775</v>
      </c>
      <c r="C108" s="2814" t="e">
        <f>I125</f>
        <v>#DIV/0!</v>
      </c>
      <c r="D108" s="2815"/>
      <c r="E108" s="1461"/>
      <c r="F108" s="3303" t="s">
        <v>2784</v>
      </c>
      <c r="G108" s="3304"/>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401" t="s">
        <v>1872</v>
      </c>
      <c r="B109" s="3402"/>
      <c r="C109" s="3402"/>
      <c r="D109" s="3403"/>
      <c r="E109" s="1461"/>
      <c r="F109" s="3303" t="s">
        <v>2785</v>
      </c>
      <c r="G109" s="3304"/>
      <c r="H109" s="2818" t="str">
        <f>C114</f>
        <v>总额（元）</v>
      </c>
      <c r="I109" s="52">
        <f>C39</f>
        <v>0</v>
      </c>
      <c r="J109" s="2843"/>
    </row>
    <row r="110" spans="1:36" ht="12.75">
      <c r="A110" s="3301" t="s">
        <v>2788</v>
      </c>
      <c r="B110" s="3302"/>
      <c r="C110" s="2816" t="str">
        <f>B103</f>
        <v>总价（元）</v>
      </c>
      <c r="D110" s="2817">
        <f>H125</f>
        <v>0</v>
      </c>
      <c r="E110" s="1461"/>
      <c r="F110" s="3303" t="s">
        <v>2786</v>
      </c>
      <c r="G110" s="3304"/>
      <c r="H110" s="2818" t="str">
        <f>C115</f>
        <v>总额（元）</v>
      </c>
      <c r="I110" s="52">
        <f>C40</f>
        <v>0</v>
      </c>
      <c r="J110" s="2843"/>
    </row>
    <row r="111" spans="1:36" ht="12.75">
      <c r="A111" s="3301"/>
      <c r="B111" s="3302"/>
      <c r="C111" s="2816" t="s">
        <v>2789</v>
      </c>
      <c r="D111" s="52" t="e">
        <f>I125</f>
        <v>#DIV/0!</v>
      </c>
      <c r="E111" s="1461"/>
      <c r="F111" s="3301"/>
      <c r="G111" s="3302"/>
      <c r="H111" s="3335"/>
      <c r="I111" s="3336"/>
      <c r="J111" s="2861"/>
    </row>
    <row r="112" spans="1:36" ht="28.5" customHeight="1">
      <c r="A112" s="3372" t="s">
        <v>2783</v>
      </c>
      <c r="B112" s="3373"/>
      <c r="C112" s="2818" t="str">
        <f>IF(H19="元","总额（元）","总额（万元）")</f>
        <v>总额（元）</v>
      </c>
      <c r="D112" s="2817">
        <f>IF(D38="正常操作",I108+I109+I110,I109+I110)</f>
        <v>0</v>
      </c>
      <c r="E112" s="1461"/>
      <c r="F112" s="3284" t="str">
        <f>IF(项目基本情况!F5="已注销","——","3.房地产抵押价值")</f>
        <v>3.房地产抵押价值</v>
      </c>
      <c r="G112" s="3285"/>
      <c r="H112" s="1481" t="str">
        <f>C116</f>
        <v>总价（元）</v>
      </c>
      <c r="I112" s="2817">
        <f>IF(F112="——","——",I104-I107)</f>
        <v>0</v>
      </c>
      <c r="J112" s="2859"/>
    </row>
    <row r="113" spans="1:27" ht="12.75">
      <c r="A113" s="3303" t="s">
        <v>2790</v>
      </c>
      <c r="B113" s="3304"/>
      <c r="C113" s="2818" t="str">
        <f>C112</f>
        <v>总额（元）</v>
      </c>
      <c r="D113" s="52">
        <f>IF(D38="同一抵押权人同一抵押物续贷",C38&amp;"（未扣减，详见特别提示）",C38)</f>
        <v>0</v>
      </c>
      <c r="E113" s="1461"/>
      <c r="F113" s="3286"/>
      <c r="G113" s="3287"/>
      <c r="H113" s="2816" t="s">
        <v>2782</v>
      </c>
      <c r="I113" s="2820" t="e">
        <f>D117</f>
        <v>#DIV/0!</v>
      </c>
      <c r="J113" s="2862"/>
    </row>
    <row r="114" spans="1:27" ht="12.75">
      <c r="A114" s="3303" t="s">
        <v>2791</v>
      </c>
      <c r="B114" s="3304"/>
      <c r="C114" s="2818" t="str">
        <f>C112</f>
        <v>总额（元）</v>
      </c>
      <c r="D114" s="52">
        <f>C39</f>
        <v>0</v>
      </c>
      <c r="E114" s="1461"/>
      <c r="F114" s="3284" t="str">
        <f>IF(项目基本情况!F5="已注销及未注销","4.抵押担保权已注销时的房地产抵押价值",IF(项目基本情况!F5="已注销","3.抵押担保权已注销时的房地产抵押价值","——"))</f>
        <v>——</v>
      </c>
      <c r="G114" s="3285"/>
      <c r="H114" s="1481" t="str">
        <f>C118</f>
        <v>总价（元）</v>
      </c>
      <c r="I114" s="2817" t="str">
        <f>IF(F114="——","——",I104-I109-I110)</f>
        <v>——</v>
      </c>
      <c r="J114" s="2859"/>
    </row>
    <row r="115" spans="1:27" ht="12.75">
      <c r="A115" s="3303" t="s">
        <v>2792</v>
      </c>
      <c r="B115" s="3304"/>
      <c r="C115" s="2818" t="str">
        <f>C112</f>
        <v>总额（元）</v>
      </c>
      <c r="D115" s="52">
        <f>C40</f>
        <v>0</v>
      </c>
      <c r="E115" s="1461"/>
      <c r="F115" s="3286"/>
      <c r="G115" s="3287"/>
      <c r="H115" s="2816" t="s">
        <v>2782</v>
      </c>
      <c r="I115" s="52" t="str">
        <f>D119</f>
        <v>——</v>
      </c>
      <c r="J115" s="2843"/>
    </row>
    <row r="116" spans="1:27" ht="12.75">
      <c r="A116" s="3301" t="str">
        <f>IF(项目基本情况!F5="已注销","——","3.房地产抵押价值")</f>
        <v>3.房地产抵押价值</v>
      </c>
      <c r="B116" s="3302"/>
      <c r="C116" s="2816" t="str">
        <f>B103</f>
        <v>总价（元）</v>
      </c>
      <c r="D116" s="2817">
        <f>IF(A116="——","——",D110-D112)</f>
        <v>0</v>
      </c>
      <c r="E116" s="1461"/>
      <c r="F116" s="3284" t="str">
        <f>IF(项目基本情况!G5="抵押净值",IF(OR(项目基本情况!F5="已注销",项目基本情况!F5="房地产抵押价值"),"4.抵押净值","5.抵押净值"),"——")</f>
        <v>——</v>
      </c>
      <c r="G116" s="3285"/>
      <c r="H116" s="2816" t="str">
        <f>C120</f>
        <v>总价（元）</v>
      </c>
      <c r="I116" s="2817" t="str">
        <f>IF(F116="——","——",O61)</f>
        <v>——</v>
      </c>
      <c r="J116" s="2859"/>
    </row>
    <row r="117" spans="1:27" ht="13.5" thickBot="1">
      <c r="A117" s="3301"/>
      <c r="B117" s="3302"/>
      <c r="C117" s="2816" t="s">
        <v>2789</v>
      </c>
      <c r="D117" s="52" t="e">
        <f>ROUND(IF(D116=D110,D111,IF(H19="元",D116/B125,D116*10000/B125)),0)</f>
        <v>#DIV/0!</v>
      </c>
      <c r="E117" s="1461"/>
      <c r="F117" s="3364"/>
      <c r="G117" s="3365"/>
      <c r="H117" s="2821" t="s">
        <v>2782</v>
      </c>
      <c r="I117" s="2805" t="str">
        <f>D121</f>
        <v>——</v>
      </c>
      <c r="J117" s="2843"/>
    </row>
    <row r="118" spans="1:27" ht="15.75">
      <c r="A118" s="3301" t="str">
        <f>IF(项目基本情况!F5="已注销及未注销","4.抵押担保权已注销时的房地产抵押价值",IF(项目基本情况!F5="已注销","3.抵押担保权已注销时的房地产抵押价值","——"))</f>
        <v>——</v>
      </c>
      <c r="B118" s="3302"/>
      <c r="C118" s="2816" t="str">
        <f>B103</f>
        <v>总价（元）</v>
      </c>
      <c r="D118" s="2817" t="str">
        <f>IF(A118="——","——",D110-D114-D115)</f>
        <v>——</v>
      </c>
      <c r="E118" s="1461"/>
      <c r="F118" s="3279"/>
      <c r="G118" s="3279"/>
      <c r="H118" s="3320"/>
      <c r="I118" s="3320"/>
      <c r="J118" s="2863"/>
      <c r="O118" s="32"/>
      <c r="P118" s="32"/>
    </row>
    <row r="119" spans="1:27" s="1308" customFormat="1" ht="12.75">
      <c r="A119" s="3301"/>
      <c r="B119" s="3302"/>
      <c r="C119" s="2816" t="s">
        <v>2789</v>
      </c>
      <c r="D119" s="52" t="str">
        <f>IF(A118="——","——",IF(H19="元",ROUND(D118/B125,0),ROUND(D118*10000/B125,0)))</f>
        <v>——</v>
      </c>
      <c r="E119" s="1461"/>
      <c r="F119" s="3404" t="str">
        <f>IF(B33="总价","（以上估价结果中楼面单价为总价除以建筑面积得出）","（以上估价结果中总价为楼面单价乘以建筑面积得出）")</f>
        <v>（以上估价结果中总价为楼面单价乘以建筑面积得出）</v>
      </c>
      <c r="G119" s="3404"/>
      <c r="H119" s="3404"/>
      <c r="I119" s="3404"/>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1" t="str">
        <f>IF(项目基本情况!G5="抵押净值",IF(OR(项目基本情况!F5="已注销",项目基本情况!F5="房地产抵押价值"),"4.抵押净值","5.抵押净值"),"——")</f>
        <v>——</v>
      </c>
      <c r="B120" s="3302"/>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0"/>
      <c r="B121" s="3371"/>
      <c r="C121" s="2821" t="s">
        <v>2789</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4" t="s">
        <v>2793</v>
      </c>
      <c r="B123" s="3292" t="s">
        <v>2794</v>
      </c>
      <c r="C123" s="3292" t="s">
        <v>2800</v>
      </c>
      <c r="D123" s="3299" t="s">
        <v>2795</v>
      </c>
      <c r="E123" s="3300"/>
      <c r="F123" s="3290" t="s">
        <v>2801</v>
      </c>
      <c r="G123" s="3290"/>
      <c r="H123" s="3290" t="s">
        <v>2796</v>
      </c>
      <c r="I123" s="3291"/>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4"/>
      <c r="B124" s="3293"/>
      <c r="C124" s="3293"/>
      <c r="D124" s="2089" t="s">
        <v>2797</v>
      </c>
      <c r="E124" s="2089" t="s">
        <v>2802</v>
      </c>
      <c r="F124" s="2089" t="s">
        <v>2797</v>
      </c>
      <c r="G124" s="2089" t="s">
        <v>2798</v>
      </c>
      <c r="H124" s="2089" t="s">
        <v>2797</v>
      </c>
      <c r="I124" s="52" t="s">
        <v>2798</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4" t="s">
        <v>2799</v>
      </c>
      <c r="B126" s="3290"/>
      <c r="C126" s="3290"/>
      <c r="D126" s="3325" t="str">
        <f>IF(H19="元",NUMBERSTRING(INT(D125),2)&amp;"元整",NUMBERSTRING(INT(D125*10000),2)&amp;"元整")</f>
        <v>零元整</v>
      </c>
      <c r="E126" s="3326"/>
      <c r="F126" s="3325" t="str">
        <f>IF(H19="元",NUMBERSTRING(INT(F125),2)&amp;"元整",NUMBERSTRING(INT(F125*10000),2)&amp;"元整")</f>
        <v>零元整</v>
      </c>
      <c r="G126" s="3326"/>
      <c r="H126" s="3325" t="str">
        <f>IF(H19="元",NUMBERSTRING(INT(H125),2)&amp;"元整",NUMBERSTRING(INT(H125*10000),2)&amp;"元整")</f>
        <v>零元整</v>
      </c>
      <c r="I126" s="3374"/>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4" t="str">
        <f>IF(项目基本情况!D5="房地产市场价值","——",MID(A112,3,LEN(A112)-2))</f>
        <v>估价师所知悉的法定优先受偿款</v>
      </c>
      <c r="B127" s="3327"/>
      <c r="C127" s="3316"/>
      <c r="D127" s="3318">
        <f>I107</f>
        <v>0</v>
      </c>
      <c r="E127" s="3327"/>
      <c r="F127" s="3327"/>
      <c r="G127" s="3327"/>
      <c r="H127" s="3327"/>
      <c r="I127" s="3315"/>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8" t="s">
        <v>2799</v>
      </c>
      <c r="B128" s="3329"/>
      <c r="C128" s="3330"/>
      <c r="D128" s="3366">
        <f>H111</f>
        <v>0</v>
      </c>
      <c r="E128" s="3367"/>
      <c r="F128" s="3367"/>
      <c r="G128" s="3367"/>
      <c r="H128" s="3367"/>
      <c r="I128" s="3368"/>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1" t="str">
        <f>IF(项目基本情况!D5="房地产市场价值","——",MID(A116,3,LEN(A116)-2))</f>
        <v>房地产抵押价值</v>
      </c>
      <c r="B129" s="3302"/>
      <c r="C129" s="3302"/>
      <c r="D129" s="3318">
        <f>I112</f>
        <v>0</v>
      </c>
      <c r="E129" s="3327"/>
      <c r="F129" s="3327"/>
      <c r="G129" s="3327"/>
      <c r="H129" s="3327"/>
      <c r="I129" s="3315"/>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4" t="s">
        <v>2799</v>
      </c>
      <c r="B130" s="3290"/>
      <c r="C130" s="3290"/>
      <c r="D130" s="3366" t="e">
        <f>I113</f>
        <v>#DIV/0!</v>
      </c>
      <c r="E130" s="3367"/>
      <c r="F130" s="3367"/>
      <c r="G130" s="3367"/>
      <c r="H130" s="3367"/>
      <c r="I130" s="3368"/>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1" t="str">
        <f>IF(项目基本情况!D5="房地产市场价值","——",MID(A118,3,LEN(A118)-2))</f>
        <v/>
      </c>
      <c r="B131" s="3302"/>
      <c r="C131" s="3302"/>
      <c r="D131" s="3274" t="str">
        <f>I114</f>
        <v>——</v>
      </c>
      <c r="E131" s="3275"/>
      <c r="F131" s="3275"/>
      <c r="G131" s="3275"/>
      <c r="H131" s="3275"/>
      <c r="I131" s="3276"/>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4" t="s">
        <v>2799</v>
      </c>
      <c r="B132" s="3290"/>
      <c r="C132" s="3341"/>
      <c r="D132" s="3319" t="str">
        <f>I115</f>
        <v>——</v>
      </c>
      <c r="E132" s="3319"/>
      <c r="F132" s="3319"/>
      <c r="G132" s="3319"/>
      <c r="H132" s="3319"/>
      <c r="I132" s="3319"/>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1" t="str">
        <f>IF(项目基本情况!D5="房地产市场价值","——",MID(F116,3,LEN(F116)-2))</f>
        <v/>
      </c>
      <c r="B133" s="3302"/>
      <c r="C133" s="3318"/>
      <c r="D133" s="3369" t="str">
        <f>I116</f>
        <v>——</v>
      </c>
      <c r="E133" s="3369"/>
      <c r="F133" s="3369"/>
      <c r="G133" s="3369"/>
      <c r="H133" s="3369"/>
      <c r="I133" s="3369"/>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2799</v>
      </c>
      <c r="B134" s="3358"/>
      <c r="C134" s="3358"/>
      <c r="D134" s="3375">
        <f>H118</f>
        <v>0</v>
      </c>
      <c r="E134" s="3376"/>
      <c r="F134" s="3376"/>
      <c r="G134" s="3376"/>
      <c r="H134" s="3376"/>
      <c r="I134" s="3377"/>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2" t="str">
        <f>IF(B33="总价","（以上估价结果中楼面单价为总价除以建筑面积得出）","（以上估价结果中总价为楼面单价乘以建筑面积得出）")</f>
        <v>（以上估价结果中总价为楼面单价乘以建筑面积得出）</v>
      </c>
      <c r="B136" s="3362"/>
      <c r="C136" s="3362"/>
      <c r="D136" s="3362"/>
      <c r="E136" s="3362"/>
      <c r="F136" s="3362"/>
      <c r="G136" s="3362"/>
      <c r="H136" s="3362"/>
      <c r="I136" s="3362"/>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58" sqref="A58:C5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3023296</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8550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1030500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row>
    <row r="9" spans="1:123" s="91" customFormat="1" ht="13.5" customHeight="1">
      <c r="A9" s="993" t="s">
        <v>945</v>
      </c>
      <c r="B9" s="97" t="s">
        <v>1928</v>
      </c>
      <c r="C9" s="1171">
        <f>ROUND(D9*E9,0)</f>
        <v>56578</v>
      </c>
      <c r="D9" s="1172">
        <f>IF('数据-取费表'!B10="住宅",IF(B1="仅计算典型户型",'数据-取费表'!E5,'数据-取费表'!B5),0)</f>
        <v>353.61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70722</v>
      </c>
      <c r="D19" s="1175">
        <f>IF(B1="仅计算典型户型",'数据-取费表'!E5,'数据-取费表'!B5)</f>
        <v>353.61</v>
      </c>
      <c r="E19" s="111">
        <f>'数据-取费表'!E15</f>
        <v>200</v>
      </c>
      <c r="F19" s="112"/>
      <c r="G19" s="1518"/>
    </row>
    <row r="20" spans="1:123" s="91" customFormat="1" ht="13.5" customHeight="1">
      <c r="A20" s="120" t="s">
        <v>1941</v>
      </c>
      <c r="B20" s="89" t="s">
        <v>1942</v>
      </c>
      <c r="C20" s="99">
        <f>ROUND((C5+C19)*F20,0)</f>
        <v>33037</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48622</v>
      </c>
      <c r="D22" s="101">
        <f ca="1">C26</f>
        <v>4.0000000000000002E-4</v>
      </c>
      <c r="E22" s="102" t="s">
        <v>1946</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44827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3076</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719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226852</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226852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1527007</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1355211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1237635</v>
      </c>
      <c r="D34" s="1167"/>
      <c r="E34" s="115"/>
      <c r="F34" s="1178" t="str">
        <f>IF('数据-取费表'!B26=0,"",'数据-取费表'!E20)</f>
        <v/>
      </c>
      <c r="G34" s="95"/>
    </row>
    <row r="35" spans="1:123" ht="13.5" customHeight="1">
      <c r="A35" s="92" t="s">
        <v>1924</v>
      </c>
      <c r="B35" s="93" t="s">
        <v>1973</v>
      </c>
      <c r="C35" s="115">
        <f>ROUND(C34*F35,0)</f>
        <v>37129</v>
      </c>
      <c r="D35" s="115"/>
      <c r="E35" s="115"/>
      <c r="F35" s="1179">
        <f>'数据-取费表'!E21</f>
        <v>0.03</v>
      </c>
      <c r="G35" s="95" t="s">
        <v>1974</v>
      </c>
    </row>
    <row r="36" spans="1:123" ht="24">
      <c r="A36" s="92" t="s">
        <v>1926</v>
      </c>
      <c r="B36" s="93" t="s">
        <v>1975</v>
      </c>
      <c r="C36" s="115">
        <f>ROUND(IF('数据-取费表'!B10="住宅",C34*F36,0),0)</f>
        <v>61882</v>
      </c>
      <c r="D36" s="115"/>
      <c r="E36" s="115"/>
      <c r="F36" s="1179">
        <f>'数据-取费表'!E22</f>
        <v>0.05</v>
      </c>
      <c r="G36" s="123" t="s">
        <v>1976</v>
      </c>
    </row>
    <row r="37" spans="1:123" s="122" customFormat="1" ht="13.5" customHeight="1">
      <c r="A37" s="92" t="s">
        <v>1957</v>
      </c>
      <c r="B37" s="93" t="s">
        <v>1977</v>
      </c>
      <c r="C37" s="115">
        <f>ROUND(E37*D37,0)</f>
        <v>0</v>
      </c>
      <c r="D37" s="1167">
        <f>IF(B1="仅计算典型户型",'数据-取费表'!E5,'数据-取费表'!B5)</f>
        <v>353.61</v>
      </c>
      <c r="E37" s="115">
        <f>'数据-取费表'!E23</f>
        <v>0</v>
      </c>
      <c r="F37" s="1179"/>
      <c r="G37" s="124" t="s">
        <v>1978</v>
      </c>
    </row>
    <row r="38" spans="1:123" ht="13.5" customHeight="1">
      <c r="A38" s="92" t="s">
        <v>1979</v>
      </c>
      <c r="B38" s="93" t="s">
        <v>1980</v>
      </c>
      <c r="C38" s="115">
        <f>ROUND(C34*F38,0)</f>
        <v>18565</v>
      </c>
      <c r="D38" s="115"/>
      <c r="E38" s="115"/>
      <c r="F38" s="1179">
        <f>'数据-取费表'!E24</f>
        <v>1.4999999999999999E-2</v>
      </c>
      <c r="G38" s="95" t="s">
        <v>1974</v>
      </c>
    </row>
    <row r="39" spans="1:123" s="91" customFormat="1" ht="13.5" customHeight="1">
      <c r="A39" s="120" t="s">
        <v>1939</v>
      </c>
      <c r="B39" s="89" t="s">
        <v>1942</v>
      </c>
      <c r="C39" s="99">
        <f>ROUND(C33*F20,0)</f>
        <v>40656</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30360</v>
      </c>
      <c r="D41" s="101">
        <f ca="1">C44</f>
        <v>4.0000000000000002E-4</v>
      </c>
      <c r="E41" s="102" t="s">
        <v>1982</v>
      </c>
      <c r="F41" s="2885">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29476</v>
      </c>
      <c r="D42" s="104"/>
      <c r="E42" s="104"/>
      <c r="F42" s="105"/>
      <c r="G42" s="3407" t="s">
        <v>1984</v>
      </c>
    </row>
    <row r="43" spans="1:123" ht="13.5" customHeight="1">
      <c r="A43" s="92" t="s">
        <v>1924</v>
      </c>
      <c r="B43" s="93" t="s">
        <v>1953</v>
      </c>
      <c r="C43" s="104">
        <f ca="1">ROUND(IF('数据-取费表'!B24&lt;=1,C39*F22*'数据-取费表'!B23/2,C39*(POWER((1+F22),'数据-取费表'!B23/2)-1)),0)</f>
        <v>884</v>
      </c>
      <c r="D43" s="104"/>
      <c r="E43" s="104"/>
      <c r="F43" s="105"/>
      <c r="G43" s="3408"/>
    </row>
    <row r="44" spans="1:123" ht="13.5" customHeight="1">
      <c r="A44" s="92" t="s">
        <v>1926</v>
      </c>
      <c r="B44" s="93" t="s">
        <v>1955</v>
      </c>
      <c r="C44" s="104">
        <f ca="1">ROUND(IF('数据-取费表'!B24&lt;=1,C40*F22*'数据-取费表'!B23/2,C40*(POWER((1+F22),'数据-取费表'!B23/2)-1)),4)</f>
        <v>4.0000000000000002E-4</v>
      </c>
      <c r="D44" s="104"/>
      <c r="E44" s="104"/>
      <c r="F44" s="105"/>
      <c r="G44" s="3409"/>
    </row>
    <row r="45" spans="1:123" s="91" customFormat="1" ht="13.5" customHeight="1">
      <c r="A45" s="120" t="s">
        <v>1948</v>
      </c>
      <c r="B45" s="110" t="s">
        <v>1960</v>
      </c>
      <c r="C45" s="111">
        <f>C46</f>
        <v>279173</v>
      </c>
      <c r="D45" s="101">
        <f>C47</f>
        <v>4.0000000000000001E-3</v>
      </c>
      <c r="E45" s="102" t="s">
        <v>1982</v>
      </c>
      <c r="F45" s="2886">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279173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5">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1847270</v>
      </c>
      <c r="D49" s="99"/>
      <c r="E49" s="99"/>
      <c r="F49" s="126"/>
      <c r="G49" s="100" t="s">
        <v>1992</v>
      </c>
    </row>
    <row r="50" spans="1:123" s="122" customFormat="1" ht="24">
      <c r="A50" s="994" t="s">
        <v>1993</v>
      </c>
      <c r="B50" s="89" t="s">
        <v>1994</v>
      </c>
      <c r="C50" s="99"/>
      <c r="D50" s="99"/>
      <c r="E50" s="99"/>
      <c r="F50" s="126">
        <f>IF('数据-取费表'!B26=0,'数据-取费表'!E20,1)</f>
        <v>0.81</v>
      </c>
      <c r="G50" s="113" t="s">
        <v>1995</v>
      </c>
    </row>
    <row r="51" spans="1:123" ht="16.5" customHeight="1">
      <c r="A51" s="994" t="s">
        <v>1996</v>
      </c>
      <c r="B51" s="89" t="s">
        <v>1997</v>
      </c>
      <c r="C51" s="99">
        <f ca="1">ROUND(C49*F50,0)</f>
        <v>1496289</v>
      </c>
      <c r="D51" s="99"/>
      <c r="E51" s="99"/>
      <c r="F51" s="126"/>
      <c r="G51" s="100" t="s">
        <v>1998</v>
      </c>
    </row>
    <row r="52" spans="1:123" s="88" customFormat="1" ht="16.5" thickBot="1">
      <c r="A52" s="127" t="s">
        <v>1999</v>
      </c>
      <c r="B52" s="128"/>
      <c r="C52" s="129">
        <f ca="1">C31+C51</f>
        <v>3023296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0.495</v>
      </c>
    </row>
    <row r="57" spans="1:123">
      <c r="B57" s="135" t="s">
        <v>2002</v>
      </c>
      <c r="C57" s="137">
        <f ca="1">1-C56</f>
        <v>0.505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3950746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11173</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204255</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204000</v>
      </c>
      <c r="D6" s="36" t="s">
        <v>2701</v>
      </c>
      <c r="E6" s="235" t="s">
        <v>2015</v>
      </c>
      <c r="F6" s="236">
        <f>'数据-取费表'!B30</f>
        <v>20000</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255</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1496289</v>
      </c>
      <c r="D13" s="1094" t="s">
        <v>2030</v>
      </c>
      <c r="E13" s="1094" t="s">
        <v>2031</v>
      </c>
      <c r="F13" s="1095">
        <f>'数据-取费表'!E20</f>
        <v>0.81</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1237635</v>
      </c>
      <c r="D14" s="1328" t="s">
        <v>2034</v>
      </c>
      <c r="E14" s="1329"/>
      <c r="F14" s="799"/>
      <c r="G14" s="952"/>
      <c r="H14" s="253" t="s">
        <v>2013</v>
      </c>
      <c r="I14" s="235" t="s">
        <v>2035</v>
      </c>
      <c r="J14" s="13">
        <f ca="1">C29</f>
        <v>1847270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37129</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61882</v>
      </c>
      <c r="D16" s="235" t="s">
        <v>2038</v>
      </c>
      <c r="E16" s="235" t="s">
        <v>2039</v>
      </c>
      <c r="F16" s="258">
        <f>IF('数据-取费表'!B10="住宅",'数据-取费表'!E22,0)</f>
        <v>0.05</v>
      </c>
      <c r="G16" s="952"/>
      <c r="H16" s="1092" t="s">
        <v>14</v>
      </c>
      <c r="I16" s="1093" t="s">
        <v>2044</v>
      </c>
      <c r="J16" s="243">
        <f ca="1">ROUND(J17+J22+J23+J24,0)</f>
        <v>43226</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4">
        <f ca="1">ROUND(IF(AND(项目基本情况!B7="自然人",项目基本情况!B6="北京市"),J6*M17/(1+'数据-取费表'!F30),J18+J19+J20),0)</f>
        <v>15517</v>
      </c>
      <c r="K17" s="1328" t="s">
        <v>2052</v>
      </c>
      <c r="L17" s="1331" t="s">
        <v>2053</v>
      </c>
      <c r="M17" s="282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18565</v>
      </c>
      <c r="D18" s="235" t="s">
        <v>2038</v>
      </c>
      <c r="E18" s="235" t="s">
        <v>2039</v>
      </c>
      <c r="F18" s="258">
        <f>'数据-取费表'!E24</f>
        <v>1.4999999999999999E-2</v>
      </c>
      <c r="G18" s="951"/>
      <c r="H18" s="253" t="s">
        <v>2056</v>
      </c>
      <c r="I18" s="235" t="s">
        <v>2057</v>
      </c>
      <c r="J18" s="13">
        <f>IF(项目基本情况!B7="自然人","——",ROUND(J6*M18/(1+'数据-取费表'!F30),0))</f>
        <v>0</v>
      </c>
      <c r="K18" s="1331" t="s">
        <v>2728</v>
      </c>
      <c r="L18" s="235" t="s">
        <v>2039</v>
      </c>
      <c r="M18" s="258">
        <f>'数据-取费表'!E29</f>
        <v>5.5000000000000007E-2</v>
      </c>
    </row>
    <row r="19" spans="1:37" s="257" customFormat="1" ht="18" customHeight="1">
      <c r="A19" s="253" t="s">
        <v>2050</v>
      </c>
      <c r="B19" s="235" t="s">
        <v>2058</v>
      </c>
      <c r="C19" s="13">
        <f>SUM(C14:C18)</f>
        <v>1355211</v>
      </c>
      <c r="D19" s="33" t="s">
        <v>2059</v>
      </c>
      <c r="E19" s="1333"/>
      <c r="F19" s="15"/>
      <c r="G19" s="952"/>
      <c r="H19" s="253" t="s">
        <v>2036</v>
      </c>
      <c r="I19" s="235" t="s">
        <v>2060</v>
      </c>
      <c r="J19" s="13">
        <f ca="1">IF(项目基本情况!B7="自然人","——",IF(K19="按租金收入计税",ROUND(J6*M19/(1+'数据-取费表'!F30),0),ROUND(C29*M19*0.7,0)))</f>
        <v>15517</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40656</v>
      </c>
      <c r="D20" s="259" t="s">
        <v>2063</v>
      </c>
      <c r="E20" s="235" t="s">
        <v>2064</v>
      </c>
      <c r="F20" s="258">
        <f>'数据-取费表'!E25</f>
        <v>0.03</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3"/>
      <c r="F22" s="15"/>
      <c r="G22" s="951"/>
      <c r="H22" s="253" t="s">
        <v>2040</v>
      </c>
      <c r="I22" s="235" t="s">
        <v>2075</v>
      </c>
      <c r="J22" s="13">
        <f ca="1">ROUND(J14*M22,0)</f>
        <v>27709</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30360</v>
      </c>
      <c r="D23" s="1432" t="str">
        <f>IF(F23&lt;=1,"(建造成本+管理费用)×利率×(建设周期÷2)","(建造成本+管理费用)×((1+利率)^(建设周期÷2)-1)")</f>
        <v>(建造成本+管理费用)×利率×(建设周期÷2)</v>
      </c>
      <c r="E23" s="235" t="s">
        <v>2078</v>
      </c>
      <c r="F23" s="262">
        <f>'数据-取费表'!B22</f>
        <v>1</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销售费用×利率×(建设周期÷2)</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-43226</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279173</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1847270</v>
      </c>
      <c r="D29" s="1105"/>
      <c r="E29" s="1103"/>
      <c r="F29" s="1106"/>
      <c r="G29" s="652"/>
      <c r="H29" s="271" t="s">
        <v>24</v>
      </c>
      <c r="I29" s="272" t="s">
        <v>2108</v>
      </c>
      <c r="J29" s="273">
        <f ca="1">ROUND(J26/(1+F40)^F41,0)</f>
        <v>0</v>
      </c>
      <c r="K29" s="274" t="s">
        <v>2109</v>
      </c>
      <c r="L29" s="275"/>
      <c r="M29" s="276">
        <f>IF(D1="仅计算典型户型",'数据-取费表'!E5,'数据-取费表'!B5)</f>
        <v>353.61</v>
      </c>
    </row>
    <row r="30" spans="1:37" ht="18" customHeight="1" thickTop="1">
      <c r="A30" s="1092" t="s">
        <v>14</v>
      </c>
      <c r="B30" s="1093" t="s">
        <v>2110</v>
      </c>
      <c r="C30" s="243">
        <f ca="1">ROUND(C31+C36+C37+C38,0)</f>
        <v>65996</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34000</v>
      </c>
      <c r="D31" s="1328" t="s">
        <v>2112</v>
      </c>
      <c r="E31" s="1331" t="s">
        <v>2113</v>
      </c>
      <c r="F31" s="282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10686</v>
      </c>
      <c r="D32" s="1331" t="s">
        <v>2727</v>
      </c>
      <c r="E32" s="235" t="s">
        <v>2064</v>
      </c>
      <c r="F32" s="267">
        <f>'数据-取费表'!E29</f>
        <v>5.5000000000000007E-2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23314</v>
      </c>
      <c r="D33" s="1436" t="s">
        <v>2889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127185</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8.5000000000000006E-2</v>
      </c>
      <c r="K35" s="944"/>
      <c r="L35" s="943"/>
      <c r="M35" s="943"/>
    </row>
    <row r="36" spans="1:18" ht="18" customHeight="1">
      <c r="A36" s="1060" t="s">
        <v>2020</v>
      </c>
      <c r="B36" s="235" t="s">
        <v>2119</v>
      </c>
      <c r="C36" s="13">
        <f ca="1">ROUND(C29*F36,0)</f>
        <v>27709</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2244</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2043</v>
      </c>
      <c r="D38" s="1105" t="s">
        <v>2085</v>
      </c>
      <c r="E38" s="1103" t="s">
        <v>2081</v>
      </c>
      <c r="F38" s="1098">
        <f>'数据-取费表'!B47</f>
        <v>0.01</v>
      </c>
      <c r="G38" s="652"/>
      <c r="H38" s="943"/>
      <c r="I38" s="280" t="s">
        <v>2123</v>
      </c>
      <c r="J38" s="136">
        <f ca="1">ROUND(J34/C39,3)</f>
        <v>0.92</v>
      </c>
      <c r="K38" s="948"/>
      <c r="L38" s="943"/>
      <c r="M38" s="943"/>
    </row>
    <row r="39" spans="1:18" ht="18" customHeight="1" thickTop="1">
      <c r="A39" s="1092" t="s">
        <v>22</v>
      </c>
      <c r="B39" s="1107" t="s">
        <v>2124</v>
      </c>
      <c r="C39" s="243">
        <f ca="1">C5-C30</f>
        <v>138259</v>
      </c>
      <c r="D39" s="1108" t="s">
        <v>2125</v>
      </c>
      <c r="E39" s="1109"/>
      <c r="F39" s="1110"/>
      <c r="G39" s="652"/>
      <c r="H39" s="943"/>
      <c r="I39" s="280" t="s">
        <v>2126</v>
      </c>
      <c r="J39" s="136">
        <f ca="1">1-J38</f>
        <v>7.999999999999996E-2</v>
      </c>
      <c r="K39" s="948"/>
      <c r="L39" s="943"/>
      <c r="M39" s="943"/>
    </row>
    <row r="40" spans="1:18" s="652" customFormat="1" ht="18" customHeight="1">
      <c r="A40" s="232" t="s">
        <v>23</v>
      </c>
      <c r="B40" s="233" t="s">
        <v>2127</v>
      </c>
      <c r="C40" s="234">
        <f ca="1">ROUND(C39*(1-((1+F42)/(1+F40))^F41)/(F40-F42),0)</f>
        <v>3950746</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52</v>
      </c>
      <c r="H41" s="950"/>
      <c r="I41" s="135" t="s">
        <v>2001</v>
      </c>
      <c r="J41" s="136">
        <f ca="1">ROUND(C13/C40,3)</f>
        <v>0.379</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0.621</v>
      </c>
      <c r="K42" s="947"/>
      <c r="L42" s="950"/>
      <c r="M42" s="950"/>
      <c r="Q42" s="656"/>
    </row>
    <row r="43" spans="1:18" s="652" customFormat="1" ht="18" customHeight="1" thickBot="1">
      <c r="A43" s="271" t="s">
        <v>24</v>
      </c>
      <c r="B43" s="272" t="s">
        <v>2130</v>
      </c>
      <c r="C43" s="273">
        <f ca="1">ROUND(C40/F43,0)</f>
        <v>11173</v>
      </c>
      <c r="D43" s="274" t="s">
        <v>2131</v>
      </c>
      <c r="E43" s="275" t="s">
        <v>2132</v>
      </c>
      <c r="F43" s="276">
        <f>IF(D1="仅计算典型户型",'数据-取费表'!E5,'数据-取费表'!B5)</f>
        <v>353.61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3950746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-7360373</v>
      </c>
      <c r="D47" s="1528" t="str">
        <f>C2</f>
        <v>元</v>
      </c>
      <c r="E47" s="649"/>
      <c r="F47" s="649"/>
      <c r="I47" s="1529" t="s">
        <v>2143</v>
      </c>
      <c r="J47" s="1023"/>
      <c r="K47" s="1024"/>
      <c r="L47" s="1037">
        <f>IF(M48="住宅",0,IF(L49&gt;J52,L61,J61))</f>
        <v>0</v>
      </c>
      <c r="O47" s="1051" t="s">
        <v>951</v>
      </c>
      <c r="P47" s="1048" t="s">
        <v>2144</v>
      </c>
      <c r="Q47" s="1049">
        <f ca="1">C29</f>
        <v>1847270</v>
      </c>
      <c r="R47" s="1050" t="s">
        <v>2139</v>
      </c>
    </row>
    <row r="48" spans="1:18" s="652" customFormat="1" ht="15.75" thickBot="1">
      <c r="A48" s="228" t="s">
        <v>2145</v>
      </c>
      <c r="B48" s="229" t="s">
        <v>2146</v>
      </c>
      <c r="C48" s="229" t="s">
        <v>2147</v>
      </c>
      <c r="D48" s="229" t="s">
        <v>2148</v>
      </c>
      <c r="E48" s="986" t="s">
        <v>2149</v>
      </c>
      <c r="F48" s="987"/>
      <c r="I48" s="1530" t="s">
        <v>2150</v>
      </c>
      <c r="J48" s="1531" t="s">
        <v>2909</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2910</v>
      </c>
      <c r="K49" s="1535" t="s">
        <v>2155</v>
      </c>
      <c r="L49" s="863">
        <f>'数据-取费表'!B13</f>
        <v>52</v>
      </c>
      <c r="O49" s="1051" t="s">
        <v>953</v>
      </c>
      <c r="P49" s="1048" t="s">
        <v>2156</v>
      </c>
      <c r="Q49" s="1052">
        <f>J53</f>
        <v>0.09</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2004</v>
      </c>
      <c r="K50" s="1537" t="s">
        <v>2160</v>
      </c>
      <c r="L50" s="1026"/>
      <c r="O50" s="1051" t="s">
        <v>954</v>
      </c>
      <c r="P50" s="1048" t="s">
        <v>2161</v>
      </c>
      <c r="Q50" s="1049">
        <f>J54</f>
        <v>52</v>
      </c>
      <c r="R50" s="1050" t="s">
        <v>2162</v>
      </c>
    </row>
    <row r="51" spans="1:18" s="652" customFormat="1" ht="15.75"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3950746</v>
      </c>
      <c r="R51" s="1050" t="s">
        <v>956</v>
      </c>
    </row>
    <row r="52" spans="1:18" s="652" customFormat="1" ht="16.5" thickBot="1">
      <c r="A52" s="237"/>
      <c r="B52" s="238"/>
      <c r="C52" s="239"/>
      <c r="D52" s="240"/>
      <c r="E52" s="235" t="s">
        <v>2018</v>
      </c>
      <c r="F52" s="236">
        <f>F8</f>
        <v>12</v>
      </c>
      <c r="I52" s="1538" t="s">
        <v>2165</v>
      </c>
      <c r="J52" s="1028">
        <f>IF(J50="",J51,J50+J51-YEAR('数据-取费表'!B2))</f>
        <v>43</v>
      </c>
      <c r="K52" s="1539" t="s">
        <v>2166</v>
      </c>
      <c r="L52" s="1029">
        <f ca="1">ROUND(-PV('数据-取费表'!B15,J52,(C40-C13*J35)),0)</f>
        <v>72166703</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52</v>
      </c>
      <c r="K54" s="3410" t="s">
        <v>2700</v>
      </c>
      <c r="L54" s="3411"/>
      <c r="O54" s="1047" t="s">
        <v>949</v>
      </c>
      <c r="P54" s="1048" t="s">
        <v>2138</v>
      </c>
      <c r="Q54" s="1049">
        <f ca="1">C40+J29</f>
        <v>3950746</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2911</v>
      </c>
      <c r="O56" s="1051" t="s">
        <v>951</v>
      </c>
      <c r="P56" s="1048" t="s">
        <v>2174</v>
      </c>
      <c r="Q56" s="1049">
        <f>IF(L56="比较法",L50,IF(L56="基准地价",L51,0))</f>
        <v>0</v>
      </c>
      <c r="R56" s="1050" t="s">
        <v>2139</v>
      </c>
    </row>
    <row r="57" spans="1:18" s="652" customFormat="1" ht="44.25" thickTop="1" thickBot="1">
      <c r="A57" s="1092">
        <v>2</v>
      </c>
      <c r="B57" s="1093" t="s">
        <v>2029</v>
      </c>
      <c r="C57" s="1151">
        <f ca="1">C13</f>
        <v>1496289</v>
      </c>
      <c r="D57" s="983"/>
      <c r="E57" s="984"/>
      <c r="F57" s="991"/>
      <c r="I57" s="1547" t="s">
        <v>2175</v>
      </c>
      <c r="J57" s="1035" t="s">
        <v>2900</v>
      </c>
      <c r="K57" s="1533" t="s">
        <v>2176</v>
      </c>
      <c r="L57" s="863">
        <f>IF(L49&lt;J52,"——",L49-J52)</f>
        <v>9</v>
      </c>
      <c r="O57" s="1051" t="s">
        <v>952</v>
      </c>
      <c r="P57" s="1048" t="s">
        <v>2177</v>
      </c>
      <c r="Q57" s="1052">
        <f>L53</f>
        <v>0</v>
      </c>
      <c r="R57" s="1050"/>
    </row>
    <row r="58" spans="1:18" s="652" customFormat="1" ht="29.25" thickBot="1">
      <c r="A58" s="990"/>
      <c r="B58" s="235" t="s">
        <v>2107</v>
      </c>
      <c r="C58" s="104">
        <f ca="1">C29</f>
        <v>1847270</v>
      </c>
      <c r="D58" s="983"/>
      <c r="E58" s="984"/>
      <c r="F58" s="991"/>
      <c r="I58" s="1548" t="s">
        <v>2178</v>
      </c>
      <c r="J58" s="1034" t="str">
        <f>IF(OR(M48="住宅",J52&lt;L49,J57="是"),"——",J52-L49)</f>
        <v>——</v>
      </c>
      <c r="K58" s="1533" t="s">
        <v>2179</v>
      </c>
      <c r="L58" s="863">
        <f ca="1">IF(L49&lt;J52,"——",IF(L56="比较法",L50,IF(L56="基准地价",L51,L52)))</f>
        <v>72166703</v>
      </c>
      <c r="O58" s="1051" t="s">
        <v>953</v>
      </c>
      <c r="P58" s="1048" t="s">
        <v>2180</v>
      </c>
      <c r="Q58" s="1049" t="e">
        <f>L59</f>
        <v>#DIV/0!</v>
      </c>
      <c r="R58" s="1050" t="s">
        <v>2181</v>
      </c>
    </row>
    <row r="59" spans="1:18" s="652" customFormat="1" ht="29.25" thickBot="1">
      <c r="A59" s="248" t="s">
        <v>14</v>
      </c>
      <c r="B59" s="249" t="s">
        <v>2110</v>
      </c>
      <c r="C59" s="250">
        <f ca="1">ROUND(C60+C65+C66+C67,0)</f>
        <v>185124</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 ca="1">ROUND(IF(AND(项目基本情况!B7="自然人",项目基本情况!B6="北京市"),C50*F60/(1+'数据-取费表'!F30),C61+C62+C63),0)</f>
        <v>155171</v>
      </c>
      <c r="D60" s="1328" t="s">
        <v>2112</v>
      </c>
      <c r="E60" s="1331" t="s">
        <v>2113</v>
      </c>
      <c r="F60" s="2823"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3950746</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155171</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3950746</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27709</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72166703</v>
      </c>
      <c r="R65" s="1054" t="s">
        <v>2201</v>
      </c>
    </row>
    <row r="66" spans="1:18" s="652" customFormat="1" ht="20.25" thickBot="1">
      <c r="A66" s="253" t="s">
        <v>20</v>
      </c>
      <c r="B66" s="235" t="s">
        <v>2079</v>
      </c>
      <c r="C66" s="13">
        <f ca="1">ROUND(C57*F66,0)</f>
        <v>2244</v>
      </c>
      <c r="D66" s="1331" t="s">
        <v>2080</v>
      </c>
      <c r="E66" s="235" t="s">
        <v>2081</v>
      </c>
      <c r="F66" s="266">
        <f t="shared" si="0"/>
        <v>1.5E-3</v>
      </c>
      <c r="I66" s="1551" t="s">
        <v>2202</v>
      </c>
      <c r="J66" s="1323">
        <v>40</v>
      </c>
      <c r="K66" s="1323">
        <v>30</v>
      </c>
      <c r="L66" s="1323">
        <v>50</v>
      </c>
      <c r="M66" s="1321">
        <v>0.02</v>
      </c>
      <c r="O66" s="1051" t="s">
        <v>952</v>
      </c>
      <c r="P66" s="1055" t="s">
        <v>2203</v>
      </c>
      <c r="Q66" s="1049">
        <f ca="1">ROUND(Q67-Q68*Q69,0)</f>
        <v>11074</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138259</v>
      </c>
      <c r="R67" s="1050" t="s">
        <v>2139</v>
      </c>
    </row>
    <row r="68" spans="1:18" ht="15.75" thickBot="1">
      <c r="A68" s="248" t="s">
        <v>22</v>
      </c>
      <c r="B68" s="41" t="s">
        <v>2089</v>
      </c>
      <c r="C68" s="250">
        <f ca="1">C49-C59</f>
        <v>-185124</v>
      </c>
      <c r="D68" s="1328" t="s">
        <v>2090</v>
      </c>
      <c r="E68" s="1330"/>
      <c r="F68" s="268"/>
      <c r="H68" s="652"/>
      <c r="I68" s="652"/>
      <c r="J68" s="652"/>
      <c r="K68" s="652"/>
      <c r="L68" s="652"/>
      <c r="M68" s="652"/>
      <c r="O68" s="1051" t="s">
        <v>958</v>
      </c>
      <c r="P68" s="1055" t="s">
        <v>2205</v>
      </c>
      <c r="Q68" s="1049">
        <f ca="1">C13</f>
        <v>1496289</v>
      </c>
      <c r="R68" s="1050" t="s">
        <v>2139</v>
      </c>
    </row>
    <row r="69" spans="1:18" ht="15.75" thickBot="1">
      <c r="A69" s="232" t="s">
        <v>23</v>
      </c>
      <c r="B69" s="233" t="s">
        <v>2127</v>
      </c>
      <c r="C69" s="234">
        <f ca="1">ROUND(C68*(1-((1+F71)/(1+F69))^F70)/(F69-F71),0)</f>
        <v>-3409627</v>
      </c>
      <c r="D69" s="261" t="s">
        <v>2095</v>
      </c>
      <c r="E69" s="235" t="s">
        <v>2096</v>
      </c>
      <c r="F69" s="245">
        <f>F40</f>
        <v>0.05</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52</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-9642</v>
      </c>
      <c r="D72" s="274" t="s">
        <v>2131</v>
      </c>
      <c r="E72" s="275" t="s">
        <v>2132</v>
      </c>
      <c r="F72" s="276">
        <f>F43</f>
        <v>353.61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3950746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2" t="s">
        <v>1013</v>
      </c>
      <c r="B1" s="3413"/>
      <c r="C1" s="3414"/>
      <c r="D1" s="3415">
        <f>SUM(I10,I15,I20,I21,I23)</f>
        <v>0</v>
      </c>
      <c r="E1" s="3415"/>
      <c r="F1" s="3415"/>
      <c r="G1" s="3415"/>
      <c r="H1" s="3415"/>
      <c r="I1" s="3416"/>
    </row>
    <row r="2" spans="1:9">
      <c r="A2" s="3417" t="s">
        <v>1014</v>
      </c>
      <c r="B2" s="3418" t="s">
        <v>963</v>
      </c>
      <c r="C2" s="3418"/>
      <c r="D2" s="1062" t="s">
        <v>964</v>
      </c>
      <c r="E2" s="1062" t="s">
        <v>965</v>
      </c>
      <c r="F2" s="1062" t="s">
        <v>966</v>
      </c>
      <c r="G2" s="1062" t="s">
        <v>967</v>
      </c>
      <c r="H2" s="1062" t="s">
        <v>968</v>
      </c>
      <c r="I2" s="1063" t="s">
        <v>969</v>
      </c>
    </row>
    <row r="3" spans="1:9">
      <c r="A3" s="3417"/>
      <c r="B3" s="3418" t="s">
        <v>970</v>
      </c>
      <c r="C3" s="3418"/>
      <c r="D3" s="1064"/>
      <c r="E3" s="1062"/>
      <c r="F3" s="1065"/>
      <c r="G3" s="1065"/>
      <c r="H3" s="1066"/>
      <c r="I3" s="1067">
        <f>ROUND(D3*E3*F3*G3*H3/10000,0)</f>
        <v>0</v>
      </c>
    </row>
    <row r="4" spans="1:9">
      <c r="A4" s="3417"/>
      <c r="B4" s="3418" t="s">
        <v>971</v>
      </c>
      <c r="C4" s="3418"/>
      <c r="D4" s="1064"/>
      <c r="E4" s="1062"/>
      <c r="F4" s="1065"/>
      <c r="G4" s="1065"/>
      <c r="H4" s="1066"/>
      <c r="I4" s="1067">
        <f t="shared" ref="I4:I9" si="0">ROUND(D4*E4*F4*G4*H4/10000,0)</f>
        <v>0</v>
      </c>
    </row>
    <row r="5" spans="1:9">
      <c r="A5" s="3417"/>
      <c r="B5" s="3418" t="s">
        <v>972</v>
      </c>
      <c r="C5" s="3418"/>
      <c r="D5" s="1064"/>
      <c r="E5" s="1062"/>
      <c r="F5" s="1065"/>
      <c r="G5" s="1065"/>
      <c r="H5" s="1066"/>
      <c r="I5" s="1067">
        <f t="shared" si="0"/>
        <v>0</v>
      </c>
    </row>
    <row r="6" spans="1:9">
      <c r="A6" s="3417"/>
      <c r="B6" s="3418" t="s">
        <v>973</v>
      </c>
      <c r="C6" s="3418"/>
      <c r="D6" s="1064"/>
      <c r="E6" s="1062"/>
      <c r="F6" s="1065"/>
      <c r="G6" s="1065"/>
      <c r="H6" s="1066"/>
      <c r="I6" s="1067">
        <f t="shared" si="0"/>
        <v>0</v>
      </c>
    </row>
    <row r="7" spans="1:9">
      <c r="A7" s="3417"/>
      <c r="B7" s="3418" t="s">
        <v>974</v>
      </c>
      <c r="C7" s="3418"/>
      <c r="D7" s="1064"/>
      <c r="E7" s="1062"/>
      <c r="F7" s="1065"/>
      <c r="G7" s="1065"/>
      <c r="H7" s="1066"/>
      <c r="I7" s="1067">
        <f t="shared" si="0"/>
        <v>0</v>
      </c>
    </row>
    <row r="8" spans="1:9">
      <c r="A8" s="3417"/>
      <c r="B8" s="3418" t="s">
        <v>975</v>
      </c>
      <c r="C8" s="3418"/>
      <c r="D8" s="1064"/>
      <c r="E8" s="1062"/>
      <c r="F8" s="1065"/>
      <c r="G8" s="1065"/>
      <c r="H8" s="1066"/>
      <c r="I8" s="1067">
        <f t="shared" si="0"/>
        <v>0</v>
      </c>
    </row>
    <row r="9" spans="1:9">
      <c r="A9" s="3417"/>
      <c r="B9" s="3418" t="s">
        <v>976</v>
      </c>
      <c r="C9" s="3418"/>
      <c r="D9" s="1064"/>
      <c r="E9" s="1062"/>
      <c r="F9" s="1065"/>
      <c r="G9" s="1065"/>
      <c r="H9" s="1066"/>
      <c r="I9" s="1067">
        <f t="shared" si="0"/>
        <v>0</v>
      </c>
    </row>
    <row r="10" spans="1:9">
      <c r="A10" s="3417"/>
      <c r="B10" s="3419" t="s">
        <v>977</v>
      </c>
      <c r="C10" s="3419"/>
      <c r="D10" s="1068">
        <v>527</v>
      </c>
      <c r="E10" s="1068" t="e">
        <f>ROUND(D1*10000/D10/H9,0)</f>
        <v>#DIV/0!</v>
      </c>
      <c r="F10" s="1069"/>
      <c r="G10" s="1069"/>
      <c r="H10" s="1070"/>
      <c r="I10" s="1071">
        <f>SUM(I3:I9)</f>
        <v>0</v>
      </c>
    </row>
    <row r="11" spans="1:9" ht="14.25">
      <c r="A11" s="3417" t="s">
        <v>1015</v>
      </c>
      <c r="B11" s="3418" t="s">
        <v>978</v>
      </c>
      <c r="C11" s="3418"/>
      <c r="D11" s="1064" t="s">
        <v>979</v>
      </c>
      <c r="E11" s="1064" t="s">
        <v>980</v>
      </c>
      <c r="F11" s="1065" t="s">
        <v>981</v>
      </c>
      <c r="G11" s="1065" t="s">
        <v>968</v>
      </c>
      <c r="H11" s="1072" t="s">
        <v>982</v>
      </c>
      <c r="I11" s="1063" t="s">
        <v>969</v>
      </c>
    </row>
    <row r="12" spans="1:9">
      <c r="A12" s="3417"/>
      <c r="B12" s="3418" t="s">
        <v>983</v>
      </c>
      <c r="C12" s="3418"/>
      <c r="D12" s="1064"/>
      <c r="E12" s="1064"/>
      <c r="F12" s="1065"/>
      <c r="G12" s="1066"/>
      <c r="H12" s="1073"/>
      <c r="I12" s="1063">
        <f>ROUND(D12*E12*F12*G12/10000,0)</f>
        <v>0</v>
      </c>
    </row>
    <row r="13" spans="1:9">
      <c r="A13" s="3417"/>
      <c r="B13" s="3418" t="s">
        <v>984</v>
      </c>
      <c r="C13" s="3418"/>
      <c r="D13" s="1064"/>
      <c r="E13" s="1064"/>
      <c r="F13" s="1065"/>
      <c r="G13" s="1066"/>
      <c r="H13" s="1073"/>
      <c r="I13" s="1063">
        <f>ROUND(D13*E13*F13*G13/10000,0)</f>
        <v>0</v>
      </c>
    </row>
    <row r="14" spans="1:9">
      <c r="A14" s="3417"/>
      <c r="B14" s="3418" t="s">
        <v>985</v>
      </c>
      <c r="C14" s="3418"/>
      <c r="D14" s="1064"/>
      <c r="E14" s="1064"/>
      <c r="F14" s="1065"/>
      <c r="G14" s="1066"/>
      <c r="H14" s="1073"/>
      <c r="I14" s="1063">
        <f>ROUND(D14*E14*F14*G14/10000,0)</f>
        <v>0</v>
      </c>
    </row>
    <row r="15" spans="1:9">
      <c r="A15" s="3417"/>
      <c r="B15" s="3419" t="s">
        <v>977</v>
      </c>
      <c r="C15" s="3419"/>
      <c r="D15" s="1068"/>
      <c r="E15" s="1068">
        <f>SUM(E12:E14)</f>
        <v>0</v>
      </c>
      <c r="F15" s="1069"/>
      <c r="G15" s="1066"/>
      <c r="H15" s="1073"/>
      <c r="I15" s="1074">
        <f>SUM(I12:I14)</f>
        <v>0</v>
      </c>
    </row>
    <row r="16" spans="1:9" ht="24">
      <c r="A16" s="3417" t="s">
        <v>1016</v>
      </c>
      <c r="B16" s="3418" t="s">
        <v>986</v>
      </c>
      <c r="C16" s="3418"/>
      <c r="D16" s="1064" t="s">
        <v>964</v>
      </c>
      <c r="E16" s="1075" t="s">
        <v>987</v>
      </c>
      <c r="F16" s="1065" t="s">
        <v>988</v>
      </c>
      <c r="G16" s="1066" t="s">
        <v>968</v>
      </c>
      <c r="H16" s="1072" t="s">
        <v>982</v>
      </c>
      <c r="I16" s="1063" t="s">
        <v>969</v>
      </c>
    </row>
    <row r="17" spans="1:9" ht="14.25">
      <c r="A17" s="3417"/>
      <c r="B17" s="3418" t="s">
        <v>989</v>
      </c>
      <c r="C17" s="3418"/>
      <c r="D17" s="1064"/>
      <c r="E17" s="1064"/>
      <c r="F17" s="1065"/>
      <c r="G17" s="1066"/>
      <c r="H17" s="1076"/>
      <c r="I17" s="1077">
        <f>ROUND(D17*E17*F17*G17/10000,0)</f>
        <v>0</v>
      </c>
    </row>
    <row r="18" spans="1:9" ht="14.25">
      <c r="A18" s="3417"/>
      <c r="B18" s="3418" t="s">
        <v>990</v>
      </c>
      <c r="C18" s="3418"/>
      <c r="D18" s="1064"/>
      <c r="E18" s="1064"/>
      <c r="F18" s="1065"/>
      <c r="G18" s="1066"/>
      <c r="H18" s="1076"/>
      <c r="I18" s="1077">
        <f>ROUND(D18*E18*F18*G18/10000,0)</f>
        <v>0</v>
      </c>
    </row>
    <row r="19" spans="1:9" ht="14.25">
      <c r="A19" s="3417"/>
      <c r="B19" s="3418" t="s">
        <v>991</v>
      </c>
      <c r="C19" s="3418"/>
      <c r="D19" s="1064"/>
      <c r="E19" s="1064"/>
      <c r="F19" s="1065"/>
      <c r="G19" s="1066"/>
      <c r="H19" s="1076"/>
      <c r="I19" s="1077">
        <f>ROUND(D19*E19*F19*G19/10000,0)</f>
        <v>0</v>
      </c>
    </row>
    <row r="20" spans="1:9">
      <c r="A20" s="3417"/>
      <c r="B20" s="3419" t="s">
        <v>977</v>
      </c>
      <c r="C20" s="3419"/>
      <c r="D20" s="1068">
        <f>SUM(D17:D19)</f>
        <v>0</v>
      </c>
      <c r="E20" s="1068"/>
      <c r="F20" s="1069"/>
      <c r="G20" s="1066"/>
      <c r="H20" s="1073"/>
      <c r="I20" s="1074">
        <f>SUM(I17:I19)</f>
        <v>0</v>
      </c>
    </row>
    <row r="21" spans="1:9">
      <c r="A21" s="3417" t="s">
        <v>1017</v>
      </c>
      <c r="B21" s="3421"/>
      <c r="C21" s="3421"/>
      <c r="D21" s="3421"/>
      <c r="E21" s="3421"/>
      <c r="F21" s="3421"/>
      <c r="G21" s="3421"/>
      <c r="H21" s="1078">
        <v>0.1</v>
      </c>
      <c r="I21" s="1071">
        <f>ROUND(I10*H21,0)</f>
        <v>0</v>
      </c>
    </row>
    <row r="22" spans="1:9" ht="14.25">
      <c r="A22" s="3422" t="s">
        <v>1018</v>
      </c>
      <c r="B22" s="3423"/>
      <c r="C22" s="3424"/>
      <c r="D22" s="1079" t="s">
        <v>992</v>
      </c>
      <c r="E22" s="1079" t="s">
        <v>993</v>
      </c>
      <c r="F22" s="1080" t="s">
        <v>968</v>
      </c>
      <c r="G22" s="1080" t="s">
        <v>994</v>
      </c>
      <c r="H22" s="1072" t="s">
        <v>982</v>
      </c>
      <c r="I22" s="1063" t="s">
        <v>969</v>
      </c>
    </row>
    <row r="23" spans="1:9" ht="14.25" thickBot="1">
      <c r="A23" s="3425"/>
      <c r="B23" s="3426"/>
      <c r="C23" s="3427"/>
      <c r="D23" s="1081"/>
      <c r="E23" s="1081"/>
      <c r="F23" s="1081"/>
      <c r="G23" s="1082"/>
      <c r="H23" s="1083"/>
      <c r="I23" s="1084">
        <f>ROUND(E23*D23*F23*(1-G23)/10000,0)</f>
        <v>0</v>
      </c>
    </row>
    <row r="26" spans="1:9">
      <c r="A26" s="1085" t="s">
        <v>995</v>
      </c>
      <c r="B26" s="1085"/>
      <c r="C26" s="1085"/>
      <c r="D26" s="1085"/>
      <c r="E26" s="3428">
        <f>C27-C30-C31-C32</f>
        <v>0</v>
      </c>
      <c r="F26" s="3428"/>
      <c r="G26" s="3428"/>
      <c r="H26" s="1304" t="s">
        <v>1206</v>
      </c>
    </row>
    <row r="27" spans="1:9">
      <c r="A27" s="1086">
        <v>1</v>
      </c>
      <c r="B27" s="1087" t="s">
        <v>996</v>
      </c>
      <c r="C27" s="1087">
        <f>C28+C29</f>
        <v>0</v>
      </c>
      <c r="D27" s="1087"/>
      <c r="E27" s="3429"/>
      <c r="F27" s="3429"/>
      <c r="G27" s="3429"/>
    </row>
    <row r="28" spans="1:9">
      <c r="A28" s="1088" t="s">
        <v>997</v>
      </c>
      <c r="B28" s="1087" t="s">
        <v>998</v>
      </c>
      <c r="C28" s="1087"/>
      <c r="D28" s="1087"/>
      <c r="E28" s="3429"/>
      <c r="F28" s="3429"/>
      <c r="G28" s="342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0"/>
      <c r="F32" s="3420"/>
      <c r="G32" s="3420"/>
    </row>
    <row r="33" spans="1:7" hidden="1">
      <c r="A33" s="3430" t="s">
        <v>1007</v>
      </c>
      <c r="B33" s="3431"/>
      <c r="C33" s="3431"/>
      <c r="D33" s="3432"/>
      <c r="E33" s="3428"/>
      <c r="F33" s="3428"/>
      <c r="G33" s="3428"/>
    </row>
    <row r="34" spans="1:7" hidden="1">
      <c r="A34" s="1090">
        <v>1</v>
      </c>
      <c r="B34" s="1087" t="s">
        <v>1008</v>
      </c>
      <c r="C34" s="1087"/>
      <c r="D34" s="1087"/>
      <c r="E34" s="3429"/>
      <c r="F34" s="3429"/>
      <c r="G34" s="3429"/>
    </row>
    <row r="35" spans="1:7" hidden="1">
      <c r="A35" s="1090">
        <v>2</v>
      </c>
      <c r="B35" s="1087" t="s">
        <v>1009</v>
      </c>
      <c r="C35" s="1087"/>
      <c r="D35" s="1087"/>
      <c r="E35" s="3429"/>
      <c r="F35" s="3429"/>
      <c r="G35" s="3429"/>
    </row>
    <row r="36" spans="1:7" hidden="1">
      <c r="A36" s="1090">
        <v>3</v>
      </c>
      <c r="B36" s="1087" t="s">
        <v>1010</v>
      </c>
      <c r="C36" s="1087"/>
      <c r="D36" s="1087"/>
      <c r="E36" s="3429"/>
      <c r="F36" s="3429"/>
      <c r="G36" s="3429"/>
    </row>
    <row r="37" spans="1:7" hidden="1">
      <c r="A37" s="1090">
        <v>4</v>
      </c>
      <c r="B37" s="1087" t="s">
        <v>1011</v>
      </c>
      <c r="C37" s="1087"/>
      <c r="D37" s="1087"/>
      <c r="E37" s="3429"/>
      <c r="F37" s="3429"/>
      <c r="G37" s="3429"/>
    </row>
    <row r="38" spans="1:7" hidden="1">
      <c r="A38" s="3430" t="s">
        <v>1012</v>
      </c>
      <c r="B38" s="3431"/>
      <c r="C38" s="3431"/>
      <c r="D38" s="3432"/>
      <c r="E38" s="3428"/>
      <c r="F38" s="3428"/>
      <c r="G38" s="34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6" t="s">
        <v>2212</v>
      </c>
      <c r="D4" s="3437"/>
      <c r="E4" s="3437"/>
      <c r="F4" s="3437"/>
      <c r="G4" s="3437"/>
      <c r="H4" s="3437"/>
      <c r="I4" s="3437"/>
      <c r="J4" s="3437"/>
      <c r="K4" s="3437"/>
      <c r="L4" s="3437"/>
      <c r="M4" s="3437"/>
      <c r="N4" s="3437"/>
      <c r="O4" s="3437"/>
      <c r="P4" s="3437"/>
      <c r="Q4" s="3437"/>
      <c r="R4" s="3437"/>
      <c r="S4" s="343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33" t="s">
        <v>45</v>
      </c>
      <c r="D25" s="3434"/>
      <c r="E25" s="3434"/>
      <c r="F25" s="3434"/>
      <c r="G25" s="3434"/>
      <c r="H25" s="3434"/>
      <c r="I25" s="3434"/>
      <c r="J25" s="3434"/>
      <c r="K25" s="3434"/>
      <c r="L25" s="3434"/>
      <c r="M25" s="3434"/>
      <c r="N25" s="3434"/>
      <c r="O25" s="3434"/>
      <c r="P25" s="3434"/>
      <c r="Q25" s="343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6" zoomScale="85" zoomScaleNormal="70" zoomScaleSheetLayoutView="85" workbookViewId="0">
      <selection activeCell="E4" sqref="E4:F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2748</v>
      </c>
      <c r="D1" s="1640"/>
      <c r="E1" s="1641" t="s">
        <v>2746</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19527759</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55224</v>
      </c>
      <c r="C3" s="1660" t="s">
        <v>2244</v>
      </c>
      <c r="D3" s="1660">
        <f>IF(C1="仅计算典型户型",'数据-取费表'!E5,'数据-取费表'!B5)</f>
        <v>353.61</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2245</v>
      </c>
      <c r="B4" s="1664"/>
      <c r="C4" s="3442" t="s">
        <v>2246</v>
      </c>
      <c r="D4" s="3443"/>
      <c r="E4" s="3444" t="s">
        <v>2247</v>
      </c>
      <c r="F4" s="3445"/>
      <c r="G4" s="3442" t="s">
        <v>2248</v>
      </c>
      <c r="H4" s="3443"/>
      <c r="I4" s="3442" t="s">
        <v>2249</v>
      </c>
      <c r="J4" s="3443"/>
      <c r="K4" s="1665" t="s">
        <v>2250</v>
      </c>
      <c r="L4" s="2994"/>
      <c r="M4" s="2995"/>
      <c r="N4" s="2995"/>
      <c r="O4" s="2995"/>
      <c r="P4" s="3446" t="s">
        <v>2251</v>
      </c>
      <c r="Q4" s="3447"/>
      <c r="R4" s="3452" t="s">
        <v>2247</v>
      </c>
      <c r="S4" s="3453"/>
      <c r="T4" s="3452" t="s">
        <v>2248</v>
      </c>
      <c r="U4" s="3453"/>
      <c r="V4" s="3458" t="s">
        <v>2249</v>
      </c>
      <c r="W4" s="3458"/>
      <c r="X4" s="1666"/>
      <c r="Y4" s="3452" t="s">
        <v>2251</v>
      </c>
      <c r="Z4" s="3453"/>
      <c r="AA4" s="3439" t="s">
        <v>2247</v>
      </c>
      <c r="AB4" s="3439" t="s">
        <v>2248</v>
      </c>
      <c r="AC4" s="3439" t="s">
        <v>2249</v>
      </c>
    </row>
    <row r="5" spans="1:29" ht="15">
      <c r="A5" s="1668"/>
      <c r="B5" s="1669"/>
      <c r="C5" s="3461" t="str">
        <f>E5</f>
        <v>橘郡（水印长滩）</v>
      </c>
      <c r="D5" s="3462"/>
      <c r="E5" s="3575" t="s">
        <v>2930</v>
      </c>
      <c r="F5" s="3460"/>
      <c r="G5" s="3461" t="str">
        <f>E5</f>
        <v>橘郡（水印长滩）</v>
      </c>
      <c r="H5" s="3462"/>
      <c r="I5" s="3461" t="str">
        <f>G5</f>
        <v>橘郡（水印长滩）</v>
      </c>
      <c r="J5" s="3462"/>
      <c r="K5" s="1670"/>
      <c r="L5" s="2994"/>
      <c r="M5" s="2995"/>
      <c r="N5" s="2995"/>
      <c r="O5" s="2995"/>
      <c r="P5" s="3448"/>
      <c r="Q5" s="3449"/>
      <c r="R5" s="3454"/>
      <c r="S5" s="3455"/>
      <c r="T5" s="3454"/>
      <c r="U5" s="3455"/>
      <c r="V5" s="3458"/>
      <c r="W5" s="3458"/>
      <c r="X5" s="1666"/>
      <c r="Y5" s="3454"/>
      <c r="Z5" s="3455"/>
      <c r="AA5" s="3440"/>
      <c r="AB5" s="3440"/>
      <c r="AC5" s="3440"/>
    </row>
    <row r="6" spans="1:29" ht="15.75" thickBot="1">
      <c r="A6" s="1671"/>
      <c r="B6" s="1672"/>
      <c r="C6" s="3463" t="s">
        <v>2256</v>
      </c>
      <c r="D6" s="3464"/>
      <c r="E6" s="3465" t="s">
        <v>2256</v>
      </c>
      <c r="F6" s="3466"/>
      <c r="G6" s="3463" t="s">
        <v>2256</v>
      </c>
      <c r="H6" s="3464"/>
      <c r="I6" s="3463" t="s">
        <v>2256</v>
      </c>
      <c r="J6" s="3464"/>
      <c r="K6" s="1670" t="s">
        <v>2257</v>
      </c>
      <c r="L6" s="2994"/>
      <c r="M6" s="2995"/>
      <c r="N6" s="2995"/>
      <c r="O6" s="2995"/>
      <c r="P6" s="3450"/>
      <c r="Q6" s="3451"/>
      <c r="R6" s="3454"/>
      <c r="S6" s="3455"/>
      <c r="T6" s="3456"/>
      <c r="U6" s="3457"/>
      <c r="V6" s="3458"/>
      <c r="W6" s="3458"/>
      <c r="X6" s="1666"/>
      <c r="Y6" s="3456"/>
      <c r="Z6" s="3457"/>
      <c r="AA6" s="3441"/>
      <c r="AB6" s="3441"/>
      <c r="AC6" s="3441"/>
    </row>
    <row r="7" spans="1:29" s="1685" customFormat="1" ht="15.75" thickBot="1">
      <c r="A7" s="1673" t="s">
        <v>2258</v>
      </c>
      <c r="B7" s="1674"/>
      <c r="C7" s="1675">
        <f>'数据-取费表'!B2</f>
        <v>44342</v>
      </c>
      <c r="D7" s="1676">
        <v>100</v>
      </c>
      <c r="E7" s="1677">
        <v>44317</v>
      </c>
      <c r="F7" s="1678">
        <f>SUMIF(58:58,YEAR(E7)&amp;"-"&amp;MONTH(E7),59:59)</f>
        <v>100</v>
      </c>
      <c r="G7" s="1677">
        <v>44317</v>
      </c>
      <c r="H7" s="1676">
        <f>SUMIF(58:58,YEAR(G7)&amp;"-"&amp;MONTH(G7),59:59)</f>
        <v>100</v>
      </c>
      <c r="I7" s="1677">
        <v>44317</v>
      </c>
      <c r="J7" s="1676">
        <f>SUMIF(58:58,YEAR(I7)&amp;"-"&amp;MONTH(I7),59:59)</f>
        <v>100</v>
      </c>
      <c r="K7" s="1679"/>
      <c r="L7" s="2994"/>
      <c r="M7" s="2967"/>
      <c r="N7" s="2967"/>
      <c r="O7" s="2967"/>
      <c r="P7" s="3474" t="s">
        <v>2259</v>
      </c>
      <c r="Q7" s="3476"/>
      <c r="R7" s="1681" t="s">
        <v>34</v>
      </c>
      <c r="S7" s="1682">
        <f t="shared" ref="S7:S15" si="0">F7</f>
        <v>100</v>
      </c>
      <c r="T7" s="1681" t="s">
        <v>34</v>
      </c>
      <c r="U7" s="1682">
        <f t="shared" ref="U7:U15" si="1">H7</f>
        <v>100</v>
      </c>
      <c r="V7" s="1681" t="s">
        <v>34</v>
      </c>
      <c r="W7" s="1682">
        <f t="shared" ref="W7:W15" si="2">J7</f>
        <v>100</v>
      </c>
      <c r="X7" s="1683"/>
      <c r="Y7" s="3474" t="s">
        <v>2259</v>
      </c>
      <c r="Z7" s="3475"/>
      <c r="AA7" s="1684">
        <f>D7/F7</f>
        <v>1</v>
      </c>
      <c r="AB7" s="1684">
        <f>D7/H7</f>
        <v>1</v>
      </c>
      <c r="AC7" s="1684">
        <f>D7/J7</f>
        <v>1</v>
      </c>
    </row>
    <row r="8" spans="1:29" s="1685" customFormat="1" ht="15.75" thickBot="1">
      <c r="A8" s="1673" t="s">
        <v>2260</v>
      </c>
      <c r="B8" s="1674"/>
      <c r="C8" s="1686" t="s">
        <v>2261</v>
      </c>
      <c r="D8" s="1676">
        <v>100</v>
      </c>
      <c r="E8" s="1687" t="s">
        <v>2884</v>
      </c>
      <c r="F8" s="1678">
        <f>SUMIF(61:61,E8,62:62)-SUMIF(61:61,C8,62:62)+100</f>
        <v>100</v>
      </c>
      <c r="G8" s="1687" t="s">
        <v>2884</v>
      </c>
      <c r="H8" s="1676">
        <f>SUMIF(61:61,G8,62:62)-SUMIF(61:61,C8,62:62)+100</f>
        <v>100</v>
      </c>
      <c r="I8" s="1687" t="s">
        <v>2884</v>
      </c>
      <c r="J8" s="1676">
        <f>SUMIF(61:61,I8,62:62)-SUMIF(61:61,C8,62:62)+100</f>
        <v>100</v>
      </c>
      <c r="K8" s="1679"/>
      <c r="L8" s="2994"/>
      <c r="M8" s="2967"/>
      <c r="N8" s="2967"/>
      <c r="O8" s="2967"/>
      <c r="P8" s="3474" t="s">
        <v>2262</v>
      </c>
      <c r="Q8" s="3475"/>
      <c r="R8" s="1681" t="s">
        <v>34</v>
      </c>
      <c r="S8" s="1682">
        <f t="shared" si="0"/>
        <v>100</v>
      </c>
      <c r="T8" s="1681" t="s">
        <v>34</v>
      </c>
      <c r="U8" s="1682">
        <f t="shared" si="1"/>
        <v>100</v>
      </c>
      <c r="V8" s="1681" t="s">
        <v>34</v>
      </c>
      <c r="W8" s="1682">
        <f t="shared" si="2"/>
        <v>100</v>
      </c>
      <c r="X8" s="1683"/>
      <c r="Y8" s="3474" t="s">
        <v>2262</v>
      </c>
      <c r="Z8" s="3475"/>
      <c r="AA8" s="1684">
        <f t="shared" ref="AA8:AA46" si="3">D8/F8</f>
        <v>1</v>
      </c>
      <c r="AB8" s="1684">
        <f t="shared" ref="AB8:AB46" si="4">D8/H8</f>
        <v>1</v>
      </c>
      <c r="AC8" s="1684">
        <f t="shared" ref="AC8:AC46" si="5">D8/J8</f>
        <v>1</v>
      </c>
    </row>
    <row r="9" spans="1:29" s="1685" customFormat="1">
      <c r="A9" s="1636" t="s">
        <v>2263</v>
      </c>
      <c r="B9" s="1688" t="s">
        <v>2264</v>
      </c>
      <c r="C9" s="3159" t="s">
        <v>2912</v>
      </c>
      <c r="D9" s="1690">
        <v>100</v>
      </c>
      <c r="E9" s="1691" t="s">
        <v>2888</v>
      </c>
      <c r="F9" s="1692">
        <f>SUMIF(63:63,E9,64:64)-SUMIF(63:63,C9,64:64)+100</f>
        <v>100</v>
      </c>
      <c r="G9" s="1691" t="s">
        <v>2888</v>
      </c>
      <c r="H9" s="1690">
        <f>SUMIF(63:63,G9,64:64)-SUMIF(63:63,C9,64:64)+100</f>
        <v>100</v>
      </c>
      <c r="I9" s="1691" t="s">
        <v>2888</v>
      </c>
      <c r="J9" s="1690">
        <f>SUMIF(63:63,I9,64:64)-SUMIF(63:63,C9,64:64)+100</f>
        <v>100</v>
      </c>
      <c r="K9" s="1679"/>
      <c r="L9" s="2994"/>
      <c r="M9" s="2967"/>
      <c r="N9" s="2967"/>
      <c r="O9" s="2967"/>
      <c r="P9" s="3477" t="s">
        <v>2265</v>
      </c>
      <c r="Q9" s="1635" t="str">
        <f t="shared" ref="Q9:Q15" si="6">B9</f>
        <v>用途</v>
      </c>
      <c r="R9" s="1681" t="s">
        <v>25</v>
      </c>
      <c r="S9" s="1682">
        <f t="shared" si="0"/>
        <v>100</v>
      </c>
      <c r="T9" s="1681" t="s">
        <v>25</v>
      </c>
      <c r="U9" s="1682">
        <f t="shared" si="1"/>
        <v>100</v>
      </c>
      <c r="V9" s="1681" t="s">
        <v>25</v>
      </c>
      <c r="W9" s="1682">
        <f t="shared" si="2"/>
        <v>100</v>
      </c>
      <c r="X9" s="1683"/>
      <c r="Y9" s="3340" t="s">
        <v>2266</v>
      </c>
      <c r="Z9" s="1694" t="str">
        <f t="shared" ref="Z9:Z15" si="7">Q9</f>
        <v>用途</v>
      </c>
      <c r="AA9" s="1684">
        <f t="shared" si="3"/>
        <v>1</v>
      </c>
      <c r="AB9" s="1684">
        <f t="shared" si="4"/>
        <v>1</v>
      </c>
      <c r="AC9" s="1684">
        <f t="shared" si="5"/>
        <v>1</v>
      </c>
    </row>
    <row r="10" spans="1:29" s="1702" customFormat="1" ht="27">
      <c r="A10" s="1695"/>
      <c r="B10" s="1696" t="s">
        <v>2267</v>
      </c>
      <c r="C10" s="1697" t="s">
        <v>2913</v>
      </c>
      <c r="D10" s="1698">
        <v>100</v>
      </c>
      <c r="E10" s="1699" t="s">
        <v>2913</v>
      </c>
      <c r="F10" s="1700">
        <f>SUMIF(65:65,E10,66:66)-SUMIF(65:65,C10,66:66)+100</f>
        <v>100</v>
      </c>
      <c r="G10" s="1699" t="s">
        <v>2913</v>
      </c>
      <c r="H10" s="1698">
        <f>SUMIF(65:65,G10,66:66)-SUMIF(65:65,C10,66:66)+100</f>
        <v>100</v>
      </c>
      <c r="I10" s="1699" t="s">
        <v>2913</v>
      </c>
      <c r="J10" s="1698">
        <f>SUMIF(65:65,I10,66:66)-SUMIF(65:65,C10,66:66)+100</f>
        <v>100</v>
      </c>
      <c r="K10" s="1701">
        <v>1</v>
      </c>
      <c r="L10" s="2996"/>
      <c r="M10" s="2997"/>
      <c r="N10" s="2997"/>
      <c r="O10" s="2997"/>
      <c r="P10" s="3477"/>
      <c r="Q10" s="1635" t="str">
        <f t="shared" si="6"/>
        <v>土地使用年限（年）</v>
      </c>
      <c r="R10" s="1681" t="s">
        <v>25</v>
      </c>
      <c r="S10" s="1682">
        <f t="shared" si="0"/>
        <v>100</v>
      </c>
      <c r="T10" s="1681" t="s">
        <v>25</v>
      </c>
      <c r="U10" s="1682">
        <f t="shared" si="1"/>
        <v>100</v>
      </c>
      <c r="V10" s="1681" t="s">
        <v>25</v>
      </c>
      <c r="W10" s="1682">
        <f t="shared" si="2"/>
        <v>100</v>
      </c>
      <c r="X10" s="1683"/>
      <c r="Y10" s="334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8"/>
      <c r="M11" s="2995"/>
      <c r="N11" s="2995"/>
      <c r="O11" s="2995"/>
      <c r="P11" s="3477"/>
      <c r="Q11" s="1635" t="str">
        <f t="shared" si="6"/>
        <v>容积率</v>
      </c>
      <c r="R11" s="1681" t="s">
        <v>28</v>
      </c>
      <c r="S11" s="1682">
        <f t="shared" si="0"/>
        <v>100</v>
      </c>
      <c r="T11" s="1681" t="s">
        <v>28</v>
      </c>
      <c r="U11" s="1682">
        <f t="shared" si="1"/>
        <v>100</v>
      </c>
      <c r="V11" s="1681" t="s">
        <v>28</v>
      </c>
      <c r="W11" s="1682">
        <f t="shared" si="2"/>
        <v>100</v>
      </c>
      <c r="X11" s="1683"/>
      <c r="Y11" s="334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77"/>
      <c r="Q12" s="1635">
        <f t="shared" si="6"/>
        <v>111</v>
      </c>
      <c r="R12" s="1681" t="s">
        <v>28</v>
      </c>
      <c r="S12" s="1682">
        <f t="shared" si="0"/>
        <v>100</v>
      </c>
      <c r="T12" s="1681" t="s">
        <v>28</v>
      </c>
      <c r="U12" s="1682">
        <f t="shared" si="1"/>
        <v>100</v>
      </c>
      <c r="V12" s="1681" t="s">
        <v>28</v>
      </c>
      <c r="W12" s="1682">
        <f t="shared" si="2"/>
        <v>100</v>
      </c>
      <c r="X12" s="1683"/>
      <c r="Y12" s="334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77"/>
      <c r="Q13" s="1635">
        <f t="shared" si="6"/>
        <v>111</v>
      </c>
      <c r="R13" s="1681" t="s">
        <v>28</v>
      </c>
      <c r="S13" s="1682">
        <f t="shared" si="0"/>
        <v>100</v>
      </c>
      <c r="T13" s="1681" t="s">
        <v>28</v>
      </c>
      <c r="U13" s="1682">
        <f t="shared" si="1"/>
        <v>100</v>
      </c>
      <c r="V13" s="1681" t="s">
        <v>28</v>
      </c>
      <c r="W13" s="1682">
        <f t="shared" si="2"/>
        <v>100</v>
      </c>
      <c r="X13" s="1683"/>
      <c r="Y13" s="334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77"/>
      <c r="Q14" s="1635">
        <f t="shared" si="6"/>
        <v>111</v>
      </c>
      <c r="R14" s="1681" t="s">
        <v>28</v>
      </c>
      <c r="S14" s="1682">
        <f t="shared" si="0"/>
        <v>100</v>
      </c>
      <c r="T14" s="1681" t="s">
        <v>28</v>
      </c>
      <c r="U14" s="1682">
        <f t="shared" si="1"/>
        <v>100</v>
      </c>
      <c r="V14" s="1681" t="s">
        <v>28</v>
      </c>
      <c r="W14" s="1682">
        <f t="shared" si="2"/>
        <v>100</v>
      </c>
      <c r="X14" s="1683"/>
      <c r="Y14" s="3340"/>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9"/>
      <c r="M15" s="2995"/>
      <c r="N15" s="2995"/>
      <c r="O15" s="2995"/>
      <c r="P15" s="3480" t="s">
        <v>2270</v>
      </c>
      <c r="Q15" s="1616" t="str">
        <f t="shared" si="6"/>
        <v>居住社区成熟度</v>
      </c>
      <c r="R15" s="1726" t="s">
        <v>28</v>
      </c>
      <c r="S15" s="1727">
        <f t="shared" si="0"/>
        <v>100</v>
      </c>
      <c r="T15" s="1726" t="s">
        <v>28</v>
      </c>
      <c r="U15" s="1727">
        <f t="shared" si="1"/>
        <v>100</v>
      </c>
      <c r="V15" s="1726" t="s">
        <v>28</v>
      </c>
      <c r="W15" s="1727">
        <f t="shared" si="2"/>
        <v>100</v>
      </c>
      <c r="X15" s="1666"/>
      <c r="Y15" s="3467"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9"/>
      <c r="M16" s="2995"/>
      <c r="N16" s="2995"/>
      <c r="O16" s="2995"/>
      <c r="P16" s="3481"/>
      <c r="Q16" s="1616"/>
      <c r="R16" s="1726"/>
      <c r="S16" s="1727"/>
      <c r="T16" s="1726"/>
      <c r="U16" s="1727"/>
      <c r="V16" s="1726"/>
      <c r="W16" s="1727"/>
      <c r="X16" s="1666"/>
      <c r="Y16" s="3468"/>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9"/>
      <c r="M17" s="2995"/>
      <c r="N17" s="2995"/>
      <c r="O17" s="2995"/>
      <c r="P17" s="3481"/>
      <c r="Q17" s="1616" t="str">
        <f>B17</f>
        <v>交通便捷度</v>
      </c>
      <c r="R17" s="1726" t="s">
        <v>28</v>
      </c>
      <c r="S17" s="1727">
        <f>F17</f>
        <v>100</v>
      </c>
      <c r="T17" s="1726" t="s">
        <v>28</v>
      </c>
      <c r="U17" s="1727">
        <f>H17</f>
        <v>100</v>
      </c>
      <c r="V17" s="1726" t="s">
        <v>28</v>
      </c>
      <c r="W17" s="1727">
        <f>J17</f>
        <v>100</v>
      </c>
      <c r="X17" s="1666"/>
      <c r="Y17" s="3468"/>
      <c r="Z17" s="1728" t="str">
        <f>Q17</f>
        <v>交通便捷度</v>
      </c>
      <c r="AA17" s="1729">
        <f t="shared" si="3"/>
        <v>1</v>
      </c>
      <c r="AB17" s="1729">
        <f t="shared" si="4"/>
        <v>1</v>
      </c>
      <c r="AC17" s="1729">
        <f t="shared" si="5"/>
        <v>1</v>
      </c>
    </row>
    <row r="18" spans="1:29" ht="15">
      <c r="A18" s="1703"/>
      <c r="B18" s="1744"/>
      <c r="C18" s="1745" t="s">
        <v>31</v>
      </c>
      <c r="D18" s="1736"/>
      <c r="E18" s="1745" t="s">
        <v>31</v>
      </c>
      <c r="F18" s="1741"/>
      <c r="G18" s="1745" t="s">
        <v>31</v>
      </c>
      <c r="H18" s="1732"/>
      <c r="I18" s="1745" t="s">
        <v>31</v>
      </c>
      <c r="J18" s="1732"/>
      <c r="K18" s="1737"/>
      <c r="L18" s="2999"/>
      <c r="M18" s="2995"/>
      <c r="N18" s="2995"/>
      <c r="O18" s="2995"/>
      <c r="P18" s="3481"/>
      <c r="Q18" s="1616"/>
      <c r="R18" s="1726"/>
      <c r="S18" s="1727"/>
      <c r="T18" s="1726"/>
      <c r="U18" s="1727"/>
      <c r="V18" s="1726"/>
      <c r="W18" s="1727"/>
      <c r="X18" s="1666"/>
      <c r="Y18" s="3468"/>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9"/>
      <c r="M19" s="2995"/>
      <c r="N19" s="2995"/>
      <c r="O19" s="2995"/>
      <c r="P19" s="3481"/>
      <c r="Q19" s="1616" t="str">
        <f>B19</f>
        <v>公共配套设施</v>
      </c>
      <c r="R19" s="1726" t="s">
        <v>28</v>
      </c>
      <c r="S19" s="1727">
        <f>F19</f>
        <v>100</v>
      </c>
      <c r="T19" s="1726" t="s">
        <v>28</v>
      </c>
      <c r="U19" s="1727">
        <f>H19</f>
        <v>100</v>
      </c>
      <c r="V19" s="1726" t="s">
        <v>28</v>
      </c>
      <c r="W19" s="1727">
        <f>J19</f>
        <v>100</v>
      </c>
      <c r="X19" s="1666"/>
      <c r="Y19" s="3468"/>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9"/>
      <c r="M20" s="2995"/>
      <c r="N20" s="2995"/>
      <c r="O20" s="2995"/>
      <c r="P20" s="3481"/>
      <c r="Q20" s="1616"/>
      <c r="R20" s="1726"/>
      <c r="S20" s="1727"/>
      <c r="T20" s="1726"/>
      <c r="U20" s="1727"/>
      <c r="V20" s="1726"/>
      <c r="W20" s="1727"/>
      <c r="X20" s="1666"/>
      <c r="Y20" s="3468"/>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9"/>
      <c r="M21" s="2995"/>
      <c r="N21" s="2995"/>
      <c r="O21" s="2995"/>
      <c r="P21" s="3481"/>
      <c r="Q21" s="1616" t="str">
        <f>B21</f>
        <v>基础设施水平</v>
      </c>
      <c r="R21" s="1726" t="s">
        <v>28</v>
      </c>
      <c r="S21" s="1727">
        <f>F21</f>
        <v>100</v>
      </c>
      <c r="T21" s="1726" t="s">
        <v>28</v>
      </c>
      <c r="U21" s="1727">
        <f>H21</f>
        <v>100</v>
      </c>
      <c r="V21" s="1726" t="s">
        <v>28</v>
      </c>
      <c r="W21" s="1727">
        <f>J21</f>
        <v>100</v>
      </c>
      <c r="X21" s="1666"/>
      <c r="Y21" s="3468"/>
      <c r="Z21" s="1728" t="str">
        <f>Q21</f>
        <v>基础设施水平</v>
      </c>
      <c r="AA21" s="1729">
        <f t="shared" ref="AA21" si="8">D21/F21</f>
        <v>1</v>
      </c>
      <c r="AB21" s="1729">
        <f t="shared" ref="AB21" si="9">D21/H21</f>
        <v>1</v>
      </c>
      <c r="AC21" s="1729">
        <f t="shared" ref="AC21" si="10">D21/J21</f>
        <v>1</v>
      </c>
    </row>
    <row r="22" spans="1:29" ht="15">
      <c r="A22" s="1703"/>
      <c r="B22" s="1751"/>
      <c r="C22" s="1731" t="s">
        <v>30</v>
      </c>
      <c r="D22" s="1732"/>
      <c r="E22" s="1731" t="s">
        <v>30</v>
      </c>
      <c r="F22" s="1734"/>
      <c r="G22" s="1731" t="s">
        <v>30</v>
      </c>
      <c r="H22" s="1732"/>
      <c r="I22" s="1731" t="s">
        <v>30</v>
      </c>
      <c r="J22" s="1732"/>
      <c r="K22" s="1752"/>
      <c r="L22" s="2999"/>
      <c r="M22" s="2995"/>
      <c r="N22" s="2995"/>
      <c r="O22" s="2995"/>
      <c r="P22" s="3481"/>
      <c r="Q22" s="1616"/>
      <c r="R22" s="1726"/>
      <c r="S22" s="1727"/>
      <c r="T22" s="1726"/>
      <c r="U22" s="1727"/>
      <c r="V22" s="1726"/>
      <c r="W22" s="1727"/>
      <c r="X22" s="1666"/>
      <c r="Y22" s="3468"/>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9"/>
      <c r="M23" s="2995"/>
      <c r="N23" s="2995"/>
      <c r="O23" s="2995"/>
      <c r="P23" s="3481"/>
      <c r="Q23" s="1616" t="str">
        <f>B23</f>
        <v>自然及人文环境</v>
      </c>
      <c r="R23" s="1726" t="s">
        <v>28</v>
      </c>
      <c r="S23" s="1727">
        <f>F23</f>
        <v>100</v>
      </c>
      <c r="T23" s="1726" t="s">
        <v>28</v>
      </c>
      <c r="U23" s="1727">
        <f>H23</f>
        <v>100</v>
      </c>
      <c r="V23" s="1726" t="s">
        <v>28</v>
      </c>
      <c r="W23" s="1727">
        <f>J23</f>
        <v>100</v>
      </c>
      <c r="X23" s="1666"/>
      <c r="Y23" s="3468"/>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9"/>
      <c r="M24" s="2995"/>
      <c r="N24" s="2995"/>
      <c r="O24" s="2995"/>
      <c r="P24" s="3481"/>
      <c r="Q24" s="1616"/>
      <c r="R24" s="1726"/>
      <c r="S24" s="1727"/>
      <c r="T24" s="1726"/>
      <c r="U24" s="1727"/>
      <c r="V24" s="1726"/>
      <c r="W24" s="1727"/>
      <c r="X24" s="1666"/>
      <c r="Y24" s="3468"/>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81"/>
      <c r="Q25" s="1616" t="str">
        <f t="shared" ref="Q25:Q46" si="11">B25</f>
        <v>楼层-1</v>
      </c>
      <c r="R25" s="1726" t="s">
        <v>28</v>
      </c>
      <c r="S25" s="1727">
        <f>F25</f>
        <v>100</v>
      </c>
      <c r="T25" s="1726" t="s">
        <v>28</v>
      </c>
      <c r="U25" s="1727">
        <f>H25</f>
        <v>100</v>
      </c>
      <c r="V25" s="1726" t="s">
        <v>28</v>
      </c>
      <c r="W25" s="1727">
        <f>J25</f>
        <v>100</v>
      </c>
      <c r="X25" s="1666"/>
      <c r="Y25" s="3468"/>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81"/>
      <c r="Q26" s="1616" t="str">
        <f t="shared" si="11"/>
        <v>朝向</v>
      </c>
      <c r="R26" s="1726" t="s">
        <v>28</v>
      </c>
      <c r="S26" s="1727">
        <f>F26</f>
        <v>100</v>
      </c>
      <c r="T26" s="1726" t="s">
        <v>28</v>
      </c>
      <c r="U26" s="1727">
        <f>H26</f>
        <v>100</v>
      </c>
      <c r="V26" s="1726" t="s">
        <v>28</v>
      </c>
      <c r="W26" s="1727">
        <f>J26</f>
        <v>100</v>
      </c>
      <c r="X26" s="1666"/>
      <c r="Y26" s="3468"/>
      <c r="Z26" s="1728" t="str">
        <f>Q26</f>
        <v>朝向</v>
      </c>
      <c r="AA26" s="1729">
        <f t="shared" si="3"/>
        <v>1</v>
      </c>
      <c r="AB26" s="1729">
        <f t="shared" si="4"/>
        <v>1</v>
      </c>
      <c r="AC26" s="1729">
        <f t="shared" si="5"/>
        <v>1</v>
      </c>
    </row>
    <row r="27" spans="1:29" s="1685" customFormat="1" ht="15">
      <c r="A27" s="1706"/>
      <c r="B27" s="1707" t="s">
        <v>2273</v>
      </c>
      <c r="C27" s="3160" t="s">
        <v>2914</v>
      </c>
      <c r="D27" s="1757">
        <v>100</v>
      </c>
      <c r="E27" s="3160" t="s">
        <v>2914</v>
      </c>
      <c r="F27" s="1759">
        <f>SUMIF(90:90,E27,91:91)-SUMIF(90:90,C27,91:91)+100</f>
        <v>100</v>
      </c>
      <c r="G27" s="3160" t="s">
        <v>2914</v>
      </c>
      <c r="H27" s="1757">
        <f>SUMIF(90:90,G27,91:91)-SUMIF(90:90,C27,91:91)+100</f>
        <v>100</v>
      </c>
      <c r="I27" s="3160" t="s">
        <v>2914</v>
      </c>
      <c r="J27" s="1757">
        <f>SUMIF(90:90,I27,91:91)-SUMIF(90:90,C27,91:91)+100</f>
        <v>100</v>
      </c>
      <c r="K27" s="1710"/>
      <c r="L27" s="2994"/>
      <c r="M27" s="2967"/>
      <c r="N27" s="2967"/>
      <c r="O27" s="2967"/>
      <c r="P27" s="3481"/>
      <c r="Q27" s="1635" t="str">
        <f t="shared" si="11"/>
        <v>道路级别</v>
      </c>
      <c r="R27" s="1681" t="s">
        <v>28</v>
      </c>
      <c r="S27" s="1682">
        <f>F27</f>
        <v>100</v>
      </c>
      <c r="T27" s="1681" t="s">
        <v>28</v>
      </c>
      <c r="U27" s="1682">
        <f>H27</f>
        <v>100</v>
      </c>
      <c r="V27" s="1681" t="s">
        <v>28</v>
      </c>
      <c r="W27" s="1682">
        <f>J27</f>
        <v>100</v>
      </c>
      <c r="X27" s="1683"/>
      <c r="Y27" s="346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2999"/>
      <c r="M28" s="2995"/>
      <c r="N28" s="2995"/>
      <c r="O28" s="2995"/>
      <c r="P28" s="3481"/>
      <c r="Q28" s="1616">
        <f t="shared" si="11"/>
        <v>111</v>
      </c>
      <c r="R28" s="1726" t="s">
        <v>28</v>
      </c>
      <c r="S28" s="1727">
        <f t="shared" ref="S28:S46" si="12">F28</f>
        <v>100</v>
      </c>
      <c r="T28" s="1726" t="s">
        <v>28</v>
      </c>
      <c r="U28" s="1727">
        <f t="shared" ref="U28:U46" si="13">H28</f>
        <v>100</v>
      </c>
      <c r="V28" s="1726" t="s">
        <v>28</v>
      </c>
      <c r="W28" s="1727">
        <f t="shared" ref="W28:W46" si="14">J28</f>
        <v>100</v>
      </c>
      <c r="X28" s="1666"/>
      <c r="Y28" s="346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81"/>
      <c r="Q29" s="1616">
        <f t="shared" si="11"/>
        <v>111</v>
      </c>
      <c r="R29" s="1726" t="s">
        <v>28</v>
      </c>
      <c r="S29" s="1727">
        <f t="shared" si="12"/>
        <v>100</v>
      </c>
      <c r="T29" s="1726" t="s">
        <v>28</v>
      </c>
      <c r="U29" s="1727">
        <f t="shared" si="13"/>
        <v>100</v>
      </c>
      <c r="V29" s="1726" t="s">
        <v>28</v>
      </c>
      <c r="W29" s="1727">
        <f t="shared" si="14"/>
        <v>100</v>
      </c>
      <c r="X29" s="1666"/>
      <c r="Y29" s="346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81"/>
      <c r="Q30" s="1616">
        <f t="shared" si="11"/>
        <v>111</v>
      </c>
      <c r="R30" s="1726" t="s">
        <v>28</v>
      </c>
      <c r="S30" s="1727">
        <f t="shared" si="12"/>
        <v>100</v>
      </c>
      <c r="T30" s="1726" t="s">
        <v>28</v>
      </c>
      <c r="U30" s="1727">
        <f t="shared" si="13"/>
        <v>100</v>
      </c>
      <c r="V30" s="1726" t="s">
        <v>28</v>
      </c>
      <c r="W30" s="1727">
        <f t="shared" si="14"/>
        <v>100</v>
      </c>
      <c r="X30" s="1666"/>
      <c r="Y30" s="346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81"/>
      <c r="Q31" s="1616">
        <f t="shared" si="11"/>
        <v>111</v>
      </c>
      <c r="R31" s="1726" t="s">
        <v>28</v>
      </c>
      <c r="S31" s="1727">
        <f t="shared" si="12"/>
        <v>100</v>
      </c>
      <c r="T31" s="1726" t="s">
        <v>28</v>
      </c>
      <c r="U31" s="1727">
        <f t="shared" si="13"/>
        <v>100</v>
      </c>
      <c r="V31" s="1726" t="s">
        <v>28</v>
      </c>
      <c r="W31" s="1727">
        <f t="shared" si="14"/>
        <v>100</v>
      </c>
      <c r="X31" s="1666"/>
      <c r="Y31" s="3468"/>
      <c r="Z31" s="1728">
        <f t="shared" si="15"/>
        <v>111</v>
      </c>
      <c r="AA31" s="1729">
        <f t="shared" si="3"/>
        <v>1</v>
      </c>
      <c r="AB31" s="1729">
        <f t="shared" si="4"/>
        <v>1</v>
      </c>
      <c r="AC31" s="1729">
        <f t="shared" si="5"/>
        <v>1</v>
      </c>
    </row>
    <row r="32" spans="1:29" ht="15">
      <c r="A32" s="1718" t="s">
        <v>2274</v>
      </c>
      <c r="B32" s="1688" t="s">
        <v>2275</v>
      </c>
      <c r="C32" s="3161" t="s">
        <v>2915</v>
      </c>
      <c r="D32" s="1763">
        <v>100</v>
      </c>
      <c r="E32" s="3176" t="s">
        <v>2915</v>
      </c>
      <c r="F32" s="1755">
        <f>SUMIF(100:100,E32,101:101)-SUMIF(100:100,C32,101:101)+100</f>
        <v>100</v>
      </c>
      <c r="G32" s="3177" t="s">
        <v>2919</v>
      </c>
      <c r="H32" s="1763">
        <f>SUMIF(100:100,G32,101:101)-SUMIF(100:100,C32,101:101)+100</f>
        <v>95</v>
      </c>
      <c r="I32" s="3177" t="s">
        <v>2919</v>
      </c>
      <c r="J32" s="1712">
        <f>SUMIF(100:100,I32,101:101)-SUMIF(100:100,C32,101:101)+100</f>
        <v>95</v>
      </c>
      <c r="K32" s="1701">
        <v>5</v>
      </c>
      <c r="L32" s="2999"/>
      <c r="M32" s="2995"/>
      <c r="N32" s="2995"/>
      <c r="O32" s="2995"/>
      <c r="P32" s="3469" t="s">
        <v>2276</v>
      </c>
      <c r="Q32" s="1616" t="str">
        <f t="shared" si="11"/>
        <v>建筑类型</v>
      </c>
      <c r="R32" s="1726" t="s">
        <v>28</v>
      </c>
      <c r="S32" s="1727">
        <f t="shared" si="12"/>
        <v>100</v>
      </c>
      <c r="T32" s="1726" t="s">
        <v>28</v>
      </c>
      <c r="U32" s="1727">
        <f t="shared" si="13"/>
        <v>95</v>
      </c>
      <c r="V32" s="1726" t="s">
        <v>28</v>
      </c>
      <c r="W32" s="1727">
        <f t="shared" si="14"/>
        <v>95</v>
      </c>
      <c r="X32" s="1666"/>
      <c r="Y32" s="3472" t="s">
        <v>2276</v>
      </c>
      <c r="Z32" s="1728" t="str">
        <f t="shared" si="15"/>
        <v>建筑类型</v>
      </c>
      <c r="AA32" s="1729">
        <f t="shared" si="3"/>
        <v>1</v>
      </c>
      <c r="AB32" s="1729">
        <f t="shared" si="4"/>
        <v>1.0526315789473684</v>
      </c>
      <c r="AC32" s="1729">
        <f t="shared" si="5"/>
        <v>1.0526315789473684</v>
      </c>
    </row>
    <row r="33" spans="1:29" s="1771" customFormat="1" ht="15">
      <c r="A33" s="1764"/>
      <c r="B33" s="1696" t="s">
        <v>2277</v>
      </c>
      <c r="C33" s="3162">
        <v>353.61</v>
      </c>
      <c r="D33" s="1698">
        <v>100</v>
      </c>
      <c r="E33" s="320">
        <v>354</v>
      </c>
      <c r="F33" s="1700">
        <f>LOOKUP(E33,103:103,104:104)-LOOKUP(C33,103:103,104:104)+100</f>
        <v>100</v>
      </c>
      <c r="G33" s="319">
        <v>188</v>
      </c>
      <c r="H33" s="1698">
        <f>LOOKUP(G33,103:103,104:104)-LOOKUP(C33,103:103,104:104)+100</f>
        <v>101</v>
      </c>
      <c r="I33" s="320">
        <v>188</v>
      </c>
      <c r="J33" s="1698">
        <f>LOOKUP(I33,103:103,104:104)-LOOKUP(C33,103:103,104:104)+100</f>
        <v>101</v>
      </c>
      <c r="K33" s="1710"/>
      <c r="L33" s="2998"/>
      <c r="M33" s="2057"/>
      <c r="N33" s="2057"/>
      <c r="O33" s="2057"/>
      <c r="P33" s="3470"/>
      <c r="Q33" s="1766" t="str">
        <f t="shared" si="11"/>
        <v>项目建筑规模</v>
      </c>
      <c r="R33" s="1767" t="s">
        <v>28</v>
      </c>
      <c r="S33" s="1768">
        <f t="shared" si="12"/>
        <v>100</v>
      </c>
      <c r="T33" s="1767" t="s">
        <v>28</v>
      </c>
      <c r="U33" s="1768">
        <f t="shared" si="13"/>
        <v>101</v>
      </c>
      <c r="V33" s="1767" t="s">
        <v>28</v>
      </c>
      <c r="W33" s="1768">
        <f t="shared" si="14"/>
        <v>101</v>
      </c>
      <c r="X33" s="1769"/>
      <c r="Y33" s="3472"/>
      <c r="Z33" s="1770" t="str">
        <f t="shared" si="15"/>
        <v>项目建筑规模</v>
      </c>
      <c r="AA33" s="1729">
        <f t="shared" si="3"/>
        <v>1</v>
      </c>
      <c r="AB33" s="1729">
        <f t="shared" si="4"/>
        <v>0.99009900990099009</v>
      </c>
      <c r="AC33" s="1729">
        <f t="shared" si="5"/>
        <v>0.99009900990099009</v>
      </c>
    </row>
    <row r="34" spans="1:29" ht="15">
      <c r="A34" s="1772"/>
      <c r="B34" s="1696" t="s">
        <v>2278</v>
      </c>
      <c r="C34" s="3163" t="s">
        <v>2909</v>
      </c>
      <c r="D34" s="1712">
        <v>100</v>
      </c>
      <c r="E34" s="3163" t="s">
        <v>2909</v>
      </c>
      <c r="F34" s="1755">
        <f>SUMIF(105:105,E34,106:106)-SUMIF(105:105,C34,106:106)+100</f>
        <v>100</v>
      </c>
      <c r="G34" s="3163" t="s">
        <v>2909</v>
      </c>
      <c r="H34" s="1712">
        <f>SUMIF(105:105,G34,106:106)-SUMIF(105:105,C34,106:106)+100</f>
        <v>100</v>
      </c>
      <c r="I34" s="3163" t="s">
        <v>2909</v>
      </c>
      <c r="J34" s="1712">
        <f>SUMIF(105:105,I34,106:106)-SUMIF(105:105,C34,106:106)+100</f>
        <v>100</v>
      </c>
      <c r="K34" s="3175">
        <v>1</v>
      </c>
      <c r="L34" s="2999"/>
      <c r="M34" s="2995"/>
      <c r="N34" s="2995"/>
      <c r="O34" s="2995"/>
      <c r="P34" s="3470"/>
      <c r="Q34" s="1616" t="str">
        <f t="shared" si="11"/>
        <v>建筑结构</v>
      </c>
      <c r="R34" s="1726" t="s">
        <v>28</v>
      </c>
      <c r="S34" s="1727">
        <f t="shared" si="12"/>
        <v>100</v>
      </c>
      <c r="T34" s="1726" t="s">
        <v>28</v>
      </c>
      <c r="U34" s="1727">
        <f t="shared" si="13"/>
        <v>100</v>
      </c>
      <c r="V34" s="1726" t="s">
        <v>28</v>
      </c>
      <c r="W34" s="1727">
        <f t="shared" si="14"/>
        <v>100</v>
      </c>
      <c r="X34" s="1666"/>
      <c r="Y34" s="3472"/>
      <c r="Z34" s="1728" t="str">
        <f t="shared" si="15"/>
        <v>建筑结构</v>
      </c>
      <c r="AA34" s="1729">
        <f t="shared" si="3"/>
        <v>1</v>
      </c>
      <c r="AB34" s="1729">
        <f t="shared" si="4"/>
        <v>1</v>
      </c>
      <c r="AC34" s="1729">
        <f t="shared" si="5"/>
        <v>1</v>
      </c>
    </row>
    <row r="35" spans="1:29" ht="15">
      <c r="A35" s="1772"/>
      <c r="B35" s="1696" t="s">
        <v>2279</v>
      </c>
      <c r="C35" s="3163" t="s">
        <v>29</v>
      </c>
      <c r="D35" s="1712">
        <v>100</v>
      </c>
      <c r="E35" s="3163" t="s">
        <v>29</v>
      </c>
      <c r="F35" s="1755">
        <f>SUMIF(107:107,E35,108:108)-SUMIF(107:107,C35,108:108)+100</f>
        <v>100</v>
      </c>
      <c r="G35" s="3163" t="s">
        <v>29</v>
      </c>
      <c r="H35" s="1712">
        <f>SUMIF(107:107,G35,108:108)-SUMIF(107:107,C35,108:108)+100</f>
        <v>100</v>
      </c>
      <c r="I35" s="3163" t="s">
        <v>29</v>
      </c>
      <c r="J35" s="1712">
        <f>SUMIF(107:107,I35,108:108)-SUMIF(107:107,C35,108:108)+100</f>
        <v>100</v>
      </c>
      <c r="K35" s="3175">
        <v>2</v>
      </c>
      <c r="L35" s="2999"/>
      <c r="M35" s="2995"/>
      <c r="N35" s="2995"/>
      <c r="O35" s="2995"/>
      <c r="P35" s="3470"/>
      <c r="Q35" s="1616" t="str">
        <f t="shared" si="11"/>
        <v>建筑品质</v>
      </c>
      <c r="R35" s="1726" t="s">
        <v>28</v>
      </c>
      <c r="S35" s="1727">
        <f t="shared" si="12"/>
        <v>100</v>
      </c>
      <c r="T35" s="1726" t="s">
        <v>28</v>
      </c>
      <c r="U35" s="1727">
        <f t="shared" si="13"/>
        <v>100</v>
      </c>
      <c r="V35" s="1726" t="s">
        <v>28</v>
      </c>
      <c r="W35" s="1727">
        <f t="shared" si="14"/>
        <v>100</v>
      </c>
      <c r="X35" s="1666"/>
      <c r="Y35" s="3472"/>
      <c r="Z35" s="1728" t="str">
        <f t="shared" si="15"/>
        <v>建筑品质</v>
      </c>
      <c r="AA35" s="1729">
        <f t="shared" si="3"/>
        <v>1</v>
      </c>
      <c r="AB35" s="1729">
        <f t="shared" si="4"/>
        <v>1</v>
      </c>
      <c r="AC35" s="1729">
        <f t="shared" si="5"/>
        <v>1</v>
      </c>
    </row>
    <row r="36" spans="1:29" ht="15">
      <c r="A36" s="1772"/>
      <c r="B36" s="1696" t="s">
        <v>2280</v>
      </c>
      <c r="C36" s="3163" t="s">
        <v>2916</v>
      </c>
      <c r="D36" s="1712">
        <v>100</v>
      </c>
      <c r="E36" s="3163" t="s">
        <v>2916</v>
      </c>
      <c r="F36" s="1755">
        <f>SUMIF(109:109,E36,110:110)-SUMIF(109:109,C36,110:110)+100</f>
        <v>100</v>
      </c>
      <c r="G36" s="3163" t="s">
        <v>2916</v>
      </c>
      <c r="H36" s="1712">
        <f>SUMIF(109:109,G36,110:110)-SUMIF(109:109,C36,110:110)+100</f>
        <v>100</v>
      </c>
      <c r="I36" s="3163" t="s">
        <v>2916</v>
      </c>
      <c r="J36" s="1712">
        <f>SUMIF(109:109,I36,110:110)-SUMIF(109:109,C36,110:110)+100</f>
        <v>100</v>
      </c>
      <c r="K36" s="3175">
        <v>2</v>
      </c>
      <c r="L36" s="2999"/>
      <c r="M36" s="2995"/>
      <c r="N36" s="2995"/>
      <c r="O36" s="2995"/>
      <c r="P36" s="3470"/>
      <c r="Q36" s="1616" t="str">
        <f t="shared" si="11"/>
        <v>公共部分装修</v>
      </c>
      <c r="R36" s="1726" t="s">
        <v>28</v>
      </c>
      <c r="S36" s="1727">
        <f t="shared" si="12"/>
        <v>100</v>
      </c>
      <c r="T36" s="1726" t="s">
        <v>28</v>
      </c>
      <c r="U36" s="1727">
        <f t="shared" si="13"/>
        <v>100</v>
      </c>
      <c r="V36" s="1726" t="s">
        <v>28</v>
      </c>
      <c r="W36" s="1727">
        <f t="shared" si="14"/>
        <v>100</v>
      </c>
      <c r="X36" s="1666"/>
      <c r="Y36" s="3472"/>
      <c r="Z36" s="1728" t="str">
        <f t="shared" si="15"/>
        <v>公共部分装修</v>
      </c>
      <c r="AA36" s="1729">
        <f t="shared" si="3"/>
        <v>1</v>
      </c>
      <c r="AB36" s="1729">
        <f t="shared" si="4"/>
        <v>1</v>
      </c>
      <c r="AC36" s="1729">
        <f t="shared" si="5"/>
        <v>1</v>
      </c>
    </row>
    <row r="37" spans="1:29" s="1685" customFormat="1" ht="15">
      <c r="A37" s="1775"/>
      <c r="B37" s="1696" t="s">
        <v>2281</v>
      </c>
      <c r="C37" s="3164">
        <f>'数据-取费表'!E20</f>
        <v>0.81</v>
      </c>
      <c r="D37" s="1698">
        <v>100</v>
      </c>
      <c r="E37" s="3164">
        <f>C37</f>
        <v>0.81</v>
      </c>
      <c r="F37" s="1700">
        <f>LOOKUP(E37,112:112,113:113)-LOOKUP(C37,112:112,113:113)+100</f>
        <v>100</v>
      </c>
      <c r="G37" s="3164">
        <f>C37</f>
        <v>0.81</v>
      </c>
      <c r="H37" s="1698">
        <f>LOOKUP(G37,112:112,113:113)-LOOKUP(C37,112:112,113:113)+100</f>
        <v>100</v>
      </c>
      <c r="I37" s="3164">
        <f>C37</f>
        <v>0.81</v>
      </c>
      <c r="J37" s="1698">
        <f>LOOKUP(I37,112:112,113:113)-LOOKUP(C37,112:112,113:113)+100</f>
        <v>100</v>
      </c>
      <c r="K37" s="3175">
        <v>2</v>
      </c>
      <c r="L37" s="2994"/>
      <c r="M37" s="2967"/>
      <c r="N37" s="2967"/>
      <c r="O37" s="2967"/>
      <c r="P37" s="3470"/>
      <c r="Q37" s="1635" t="str">
        <f t="shared" si="11"/>
        <v>成新度</v>
      </c>
      <c r="R37" s="1681" t="s">
        <v>28</v>
      </c>
      <c r="S37" s="1682">
        <f t="shared" si="12"/>
        <v>100</v>
      </c>
      <c r="T37" s="1681" t="s">
        <v>28</v>
      </c>
      <c r="U37" s="1682">
        <f t="shared" si="13"/>
        <v>100</v>
      </c>
      <c r="V37" s="1681" t="s">
        <v>28</v>
      </c>
      <c r="W37" s="1682">
        <f t="shared" si="14"/>
        <v>100</v>
      </c>
      <c r="X37" s="1683"/>
      <c r="Y37" s="3472"/>
      <c r="Z37" s="1694" t="str">
        <f t="shared" si="15"/>
        <v>成新度</v>
      </c>
      <c r="AA37" s="1684">
        <f t="shared" si="3"/>
        <v>1</v>
      </c>
      <c r="AB37" s="1684">
        <f t="shared" si="4"/>
        <v>1</v>
      </c>
      <c r="AC37" s="1684">
        <f t="shared" si="5"/>
        <v>1</v>
      </c>
    </row>
    <row r="38" spans="1:29" ht="15">
      <c r="A38" s="1772"/>
      <c r="B38" s="1696" t="s">
        <v>2282</v>
      </c>
      <c r="C38" s="3165" t="s">
        <v>2917</v>
      </c>
      <c r="D38" s="1712">
        <v>100</v>
      </c>
      <c r="E38" s="3165" t="s">
        <v>2917</v>
      </c>
      <c r="F38" s="1755">
        <f>SUMIF(114:114,E38,115:115)-SUMIF(114:114,C38,115:115)+100</f>
        <v>100</v>
      </c>
      <c r="G38" s="3165" t="s">
        <v>2917</v>
      </c>
      <c r="H38" s="1712">
        <f>SUMIF(114:114,G38,115:115)-SUMIF(114:114,C38,115:115)+100</f>
        <v>100</v>
      </c>
      <c r="I38" s="3165" t="s">
        <v>2917</v>
      </c>
      <c r="J38" s="1712">
        <f>SUMIF(114:114,I38,115:115)-SUMIF(114:114,C38,115:115)+100</f>
        <v>100</v>
      </c>
      <c r="K38" s="3175">
        <v>1</v>
      </c>
      <c r="L38" s="2999"/>
      <c r="M38" s="2995"/>
      <c r="N38" s="2995"/>
      <c r="O38" s="2995"/>
      <c r="P38" s="3470" t="s">
        <v>2276</v>
      </c>
      <c r="Q38" s="1616" t="str">
        <f t="shared" si="11"/>
        <v>物业管理</v>
      </c>
      <c r="R38" s="1726" t="s">
        <v>28</v>
      </c>
      <c r="S38" s="1727">
        <f t="shared" si="12"/>
        <v>100</v>
      </c>
      <c r="T38" s="1726" t="s">
        <v>28</v>
      </c>
      <c r="U38" s="1727">
        <f t="shared" si="13"/>
        <v>100</v>
      </c>
      <c r="V38" s="1726" t="s">
        <v>28</v>
      </c>
      <c r="W38" s="1727">
        <f t="shared" si="14"/>
        <v>100</v>
      </c>
      <c r="X38" s="1666"/>
      <c r="Y38" s="3472" t="s">
        <v>2276</v>
      </c>
      <c r="Z38" s="1728" t="str">
        <f t="shared" si="15"/>
        <v>物业管理</v>
      </c>
      <c r="AA38" s="1729">
        <f t="shared" si="3"/>
        <v>1</v>
      </c>
      <c r="AB38" s="1729">
        <f t="shared" si="4"/>
        <v>1</v>
      </c>
      <c r="AC38" s="1729">
        <f t="shared" si="5"/>
        <v>1</v>
      </c>
    </row>
    <row r="39" spans="1:29" ht="15">
      <c r="A39" s="1772"/>
      <c r="B39" s="1696" t="s">
        <v>2283</v>
      </c>
      <c r="C39" s="3163" t="s">
        <v>2918</v>
      </c>
      <c r="D39" s="1712">
        <v>100</v>
      </c>
      <c r="E39" s="3163" t="s">
        <v>2918</v>
      </c>
      <c r="F39" s="1755">
        <f>SUMIF(116:116,E39,117:117)-SUMIF(116:116,C39,117:117)+100</f>
        <v>100</v>
      </c>
      <c r="G39" s="3163" t="s">
        <v>2918</v>
      </c>
      <c r="H39" s="1712">
        <f>SUMIF(116:116,G39,117:117)-SUMIF(116:116,C39,117:117)+100</f>
        <v>100</v>
      </c>
      <c r="I39" s="3163" t="s">
        <v>2918</v>
      </c>
      <c r="J39" s="1712">
        <f>SUMIF(116:116,I39,117:117)-SUMIF(116:116,C39,117:117)+100</f>
        <v>100</v>
      </c>
      <c r="K39" s="3175">
        <v>2</v>
      </c>
      <c r="L39" s="2999"/>
      <c r="M39" s="2995"/>
      <c r="N39" s="2995"/>
      <c r="O39" s="2995"/>
      <c r="P39" s="3470"/>
      <c r="Q39" s="1616" t="str">
        <f t="shared" si="11"/>
        <v>市政基础设施</v>
      </c>
      <c r="R39" s="1726" t="s">
        <v>28</v>
      </c>
      <c r="S39" s="1727">
        <f t="shared" si="12"/>
        <v>100</v>
      </c>
      <c r="T39" s="1726" t="s">
        <v>28</v>
      </c>
      <c r="U39" s="1727">
        <f t="shared" si="13"/>
        <v>100</v>
      </c>
      <c r="V39" s="1726" t="s">
        <v>28</v>
      </c>
      <c r="W39" s="1727">
        <f t="shared" si="14"/>
        <v>100</v>
      </c>
      <c r="X39" s="1666"/>
      <c r="Y39" s="3472"/>
      <c r="Z39" s="1728" t="str">
        <f t="shared" si="15"/>
        <v>市政基础设施</v>
      </c>
      <c r="AA39" s="1729">
        <f t="shared" si="3"/>
        <v>1</v>
      </c>
      <c r="AB39" s="1729">
        <f t="shared" si="4"/>
        <v>1</v>
      </c>
      <c r="AC39" s="1729">
        <f t="shared" si="5"/>
        <v>1</v>
      </c>
    </row>
    <row r="40" spans="1:29" ht="15">
      <c r="A40" s="1772"/>
      <c r="B40" s="1696" t="s">
        <v>2284</v>
      </c>
      <c r="C40" s="3163"/>
      <c r="D40" s="1712">
        <v>100</v>
      </c>
      <c r="E40" s="3163"/>
      <c r="F40" s="1755">
        <f>SUMIF(118:118,E40,119:119)-SUMIF(118:118,C40,119:119)+100</f>
        <v>100</v>
      </c>
      <c r="G40" s="3163"/>
      <c r="H40" s="1712">
        <f>SUMIF(118:118,G40,119:119)-SUMIF(118:118,C40,119:119)+100</f>
        <v>100</v>
      </c>
      <c r="I40" s="3163"/>
      <c r="J40" s="1712">
        <f>SUMIF(118:118,I40,119:119)-SUMIF(118:118,C40,119:119)+100</f>
        <v>100</v>
      </c>
      <c r="K40" s="1701"/>
      <c r="L40" s="2999"/>
      <c r="M40" s="2995"/>
      <c r="N40" s="2995"/>
      <c r="O40" s="2995"/>
      <c r="P40" s="3470"/>
      <c r="Q40" s="1616" t="str">
        <f t="shared" si="11"/>
        <v>房型</v>
      </c>
      <c r="R40" s="1726" t="s">
        <v>28</v>
      </c>
      <c r="S40" s="1727">
        <f t="shared" si="12"/>
        <v>100</v>
      </c>
      <c r="T40" s="1726" t="s">
        <v>28</v>
      </c>
      <c r="U40" s="1727">
        <f t="shared" si="13"/>
        <v>100</v>
      </c>
      <c r="V40" s="1726" t="s">
        <v>28</v>
      </c>
      <c r="W40" s="1727">
        <f t="shared" si="14"/>
        <v>100</v>
      </c>
      <c r="X40" s="1666"/>
      <c r="Y40" s="3472"/>
      <c r="Z40" s="1728" t="str">
        <f t="shared" si="15"/>
        <v>房型</v>
      </c>
      <c r="AA40" s="1729">
        <f t="shared" si="3"/>
        <v>1</v>
      </c>
      <c r="AB40" s="1729">
        <f t="shared" si="4"/>
        <v>1</v>
      </c>
      <c r="AC40" s="1729">
        <f t="shared" si="5"/>
        <v>1</v>
      </c>
    </row>
    <row r="41" spans="1:29" s="1771" customFormat="1" ht="28.5">
      <c r="A41" s="1764"/>
      <c r="B41" s="1696" t="s">
        <v>2285</v>
      </c>
      <c r="C41" s="3162"/>
      <c r="D41" s="1698">
        <v>100</v>
      </c>
      <c r="E41" s="3162"/>
      <c r="F41" s="1700">
        <f>SUMIF(120:120,E41,121:121)-SUMIF(120:120,C41,121:121)+100</f>
        <v>100</v>
      </c>
      <c r="G41" s="3162"/>
      <c r="H41" s="1698">
        <f>SUMIF(120:120,G41,121:121)-SUMIF(120:120,C41,121:121)+100</f>
        <v>100</v>
      </c>
      <c r="I41" s="3162"/>
      <c r="J41" s="1712">
        <f>SUMIF(120:120,I41,121:121)-SUMIF(120:120,C41,121:121)+100</f>
        <v>100</v>
      </c>
      <c r="K41" s="1710"/>
      <c r="L41" s="2998"/>
      <c r="M41" s="2057"/>
      <c r="N41" s="2057"/>
      <c r="O41" s="2057"/>
      <c r="P41" s="3470"/>
      <c r="Q41" s="1766" t="str">
        <f t="shared" si="11"/>
        <v>单套/主力户型建筑面积</v>
      </c>
      <c r="R41" s="1767" t="s">
        <v>28</v>
      </c>
      <c r="S41" s="1768">
        <f t="shared" si="12"/>
        <v>100</v>
      </c>
      <c r="T41" s="1767" t="s">
        <v>28</v>
      </c>
      <c r="U41" s="1768">
        <f t="shared" si="13"/>
        <v>100</v>
      </c>
      <c r="V41" s="1767" t="s">
        <v>28</v>
      </c>
      <c r="W41" s="1768">
        <f t="shared" si="14"/>
        <v>100</v>
      </c>
      <c r="X41" s="1769"/>
      <c r="Y41" s="3472"/>
      <c r="Z41" s="1770" t="str">
        <f t="shared" si="15"/>
        <v>单套/主力户型建筑面积</v>
      </c>
      <c r="AA41" s="1729">
        <f t="shared" si="3"/>
        <v>1</v>
      </c>
      <c r="AB41" s="1729">
        <f t="shared" si="4"/>
        <v>1</v>
      </c>
      <c r="AC41" s="1729">
        <f t="shared" si="5"/>
        <v>1</v>
      </c>
    </row>
    <row r="42" spans="1:29" ht="15">
      <c r="A42" s="1772"/>
      <c r="B42" s="1696" t="s">
        <v>2286</v>
      </c>
      <c r="C42" s="3163" t="s">
        <v>2916</v>
      </c>
      <c r="D42" s="1712">
        <v>100</v>
      </c>
      <c r="E42" s="3163" t="s">
        <v>2916</v>
      </c>
      <c r="F42" s="1755">
        <f>SUMIF(122:122,E42,123:123)-SUMIF(122:122,C42,123:123)+100</f>
        <v>100</v>
      </c>
      <c r="G42" s="3163" t="s">
        <v>2916</v>
      </c>
      <c r="H42" s="1712">
        <f>SUMIF(122:122,G42,123:123)-SUMIF(122:122,C42,123:123)+100</f>
        <v>100</v>
      </c>
      <c r="I42" s="3163" t="s">
        <v>2916</v>
      </c>
      <c r="J42" s="1712">
        <f>SUMIF(122:122,I42,123:123)-SUMIF(122:122,C42,123:123)+100</f>
        <v>100</v>
      </c>
      <c r="K42" s="1701">
        <v>2</v>
      </c>
      <c r="L42" s="2999"/>
      <c r="M42" s="2995"/>
      <c r="N42" s="2995"/>
      <c r="O42" s="2995"/>
      <c r="P42" s="3470"/>
      <c r="Q42" s="1616" t="str">
        <f t="shared" si="11"/>
        <v>内部装修</v>
      </c>
      <c r="R42" s="1726" t="s">
        <v>28</v>
      </c>
      <c r="S42" s="1727">
        <f t="shared" si="12"/>
        <v>100</v>
      </c>
      <c r="T42" s="1726" t="s">
        <v>28</v>
      </c>
      <c r="U42" s="1727">
        <f t="shared" si="13"/>
        <v>100</v>
      </c>
      <c r="V42" s="1726" t="s">
        <v>28</v>
      </c>
      <c r="W42" s="1727">
        <f t="shared" si="14"/>
        <v>100</v>
      </c>
      <c r="X42" s="1666"/>
      <c r="Y42" s="3472"/>
      <c r="Z42" s="1728" t="str">
        <f t="shared" si="15"/>
        <v>内部装修</v>
      </c>
      <c r="AA42" s="1729">
        <f t="shared" si="3"/>
        <v>1</v>
      </c>
      <c r="AB42" s="1729">
        <f t="shared" si="4"/>
        <v>1</v>
      </c>
      <c r="AC42" s="1729">
        <f t="shared" si="5"/>
        <v>1</v>
      </c>
    </row>
    <row r="43" spans="1:29" ht="15">
      <c r="A43" s="1772"/>
      <c r="B43" s="1696" t="s">
        <v>2287</v>
      </c>
      <c r="C43" s="3163" t="s">
        <v>29</v>
      </c>
      <c r="D43" s="1712">
        <v>100</v>
      </c>
      <c r="E43" s="3163" t="s">
        <v>29</v>
      </c>
      <c r="F43" s="1755">
        <f>SUMIF(124:124,E43,125:125)-SUMIF(124:124,C43,125:125)+100</f>
        <v>100</v>
      </c>
      <c r="G43" s="3163" t="s">
        <v>29</v>
      </c>
      <c r="H43" s="1712">
        <f>SUMIF(124:124,G43,125:125)-SUMIF(124:124,C43,125:125)+100</f>
        <v>100</v>
      </c>
      <c r="I43" s="3163" t="s">
        <v>29</v>
      </c>
      <c r="J43" s="1712">
        <f>SUMIF(124:124,I43,125:125)-SUMIF(124:124,C43,125:125)+100</f>
        <v>100</v>
      </c>
      <c r="K43" s="1701">
        <v>2</v>
      </c>
      <c r="L43" s="2999"/>
      <c r="M43" s="2995"/>
      <c r="N43" s="2995"/>
      <c r="O43" s="2995"/>
      <c r="P43" s="3470"/>
      <c r="Q43" s="1616" t="str">
        <f t="shared" si="11"/>
        <v>内部装修维护情况</v>
      </c>
      <c r="R43" s="1726" t="s">
        <v>28</v>
      </c>
      <c r="S43" s="1727">
        <f t="shared" si="12"/>
        <v>100</v>
      </c>
      <c r="T43" s="1726" t="s">
        <v>28</v>
      </c>
      <c r="U43" s="1727">
        <f t="shared" si="13"/>
        <v>100</v>
      </c>
      <c r="V43" s="1726" t="s">
        <v>28</v>
      </c>
      <c r="W43" s="1727">
        <f t="shared" si="14"/>
        <v>100</v>
      </c>
      <c r="X43" s="1666"/>
      <c r="Y43" s="3472"/>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2994"/>
      <c r="M44" s="2967"/>
      <c r="N44" s="2967"/>
      <c r="O44" s="2967"/>
      <c r="P44" s="3470"/>
      <c r="Q44" s="1635">
        <f t="shared" si="11"/>
        <v>111</v>
      </c>
      <c r="R44" s="1681" t="s">
        <v>28</v>
      </c>
      <c r="S44" s="1682">
        <f t="shared" si="12"/>
        <v>100</v>
      </c>
      <c r="T44" s="1681" t="s">
        <v>28</v>
      </c>
      <c r="U44" s="1682">
        <f t="shared" si="13"/>
        <v>100</v>
      </c>
      <c r="V44" s="1681" t="s">
        <v>28</v>
      </c>
      <c r="W44" s="1682">
        <f t="shared" si="14"/>
        <v>100</v>
      </c>
      <c r="X44" s="1683"/>
      <c r="Y44" s="3472"/>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70"/>
      <c r="Q45" s="1616">
        <f t="shared" si="11"/>
        <v>111</v>
      </c>
      <c r="R45" s="1726" t="s">
        <v>28</v>
      </c>
      <c r="S45" s="1727">
        <f t="shared" si="12"/>
        <v>100</v>
      </c>
      <c r="T45" s="1726" t="s">
        <v>28</v>
      </c>
      <c r="U45" s="1727">
        <f t="shared" si="13"/>
        <v>100</v>
      </c>
      <c r="V45" s="1726" t="s">
        <v>28</v>
      </c>
      <c r="W45" s="1727">
        <f t="shared" si="14"/>
        <v>100</v>
      </c>
      <c r="X45" s="1666"/>
      <c r="Y45" s="3472"/>
      <c r="Z45" s="1728">
        <f t="shared" si="15"/>
        <v>111</v>
      </c>
      <c r="AA45" s="1729">
        <f t="shared" si="3"/>
        <v>1</v>
      </c>
      <c r="AB45" s="1729">
        <f t="shared" si="4"/>
        <v>1</v>
      </c>
      <c r="AC45" s="1729">
        <f t="shared" si="5"/>
        <v>1</v>
      </c>
    </row>
    <row r="46" spans="1:29" ht="15.75"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71"/>
      <c r="Q46" s="1616">
        <f t="shared" si="11"/>
        <v>111</v>
      </c>
      <c r="R46" s="1726" t="s">
        <v>27</v>
      </c>
      <c r="S46" s="1727">
        <f t="shared" si="12"/>
        <v>100</v>
      </c>
      <c r="T46" s="1726" t="s">
        <v>27</v>
      </c>
      <c r="U46" s="1727">
        <f t="shared" si="13"/>
        <v>100</v>
      </c>
      <c r="V46" s="1726" t="s">
        <v>27</v>
      </c>
      <c r="W46" s="1727">
        <f t="shared" si="14"/>
        <v>100</v>
      </c>
      <c r="X46" s="1666"/>
      <c r="Y46" s="3473"/>
      <c r="Z46" s="1728">
        <f t="shared" si="15"/>
        <v>111</v>
      </c>
      <c r="AA46" s="1729">
        <f t="shared" si="3"/>
        <v>1</v>
      </c>
      <c r="AB46" s="1729">
        <f t="shared" si="4"/>
        <v>1</v>
      </c>
      <c r="AC46" s="1729">
        <f t="shared" si="5"/>
        <v>1</v>
      </c>
    </row>
    <row r="47" spans="1:29" ht="15">
      <c r="A47" s="1779" t="s">
        <v>2288</v>
      </c>
      <c r="B47" s="1780"/>
      <c r="C47" s="1781" t="s">
        <v>26</v>
      </c>
      <c r="D47" s="1782"/>
      <c r="E47" s="1783">
        <f>ROUND(62146*C50,0)</f>
        <v>58417</v>
      </c>
      <c r="F47" s="1784"/>
      <c r="G47" s="1785">
        <f>ROUND(54787*C50,0)</f>
        <v>51500</v>
      </c>
      <c r="H47" s="1786"/>
      <c r="I47" s="1783">
        <f>ROUND(54691*C50,0)</f>
        <v>51410</v>
      </c>
      <c r="J47" s="1786"/>
      <c r="K47" s="1787"/>
      <c r="L47" s="3000"/>
      <c r="N47" s="2995"/>
      <c r="P47" s="3478" t="str">
        <f>A47</f>
        <v>成交单价（元/平方米）</v>
      </c>
      <c r="Q47" s="3478"/>
      <c r="R47" s="3479">
        <f>E47</f>
        <v>58417</v>
      </c>
      <c r="S47" s="3479"/>
      <c r="T47" s="3479">
        <f>G47</f>
        <v>51500</v>
      </c>
      <c r="U47" s="3479"/>
      <c r="V47" s="3479">
        <f>I47</f>
        <v>51410</v>
      </c>
      <c r="W47" s="3479"/>
      <c r="X47" s="1789"/>
      <c r="Y47" s="1790"/>
      <c r="Z47" s="1789"/>
      <c r="AA47" s="1789"/>
      <c r="AB47" s="1789"/>
      <c r="AC47" s="1789"/>
    </row>
    <row r="48" spans="1:29" ht="15.75" thickBot="1">
      <c r="A48" s="1791" t="s">
        <v>2289</v>
      </c>
      <c r="B48" s="1792"/>
      <c r="C48" s="1793">
        <f>R49</f>
        <v>55224</v>
      </c>
      <c r="D48" s="1794" t="s">
        <v>2745</v>
      </c>
      <c r="E48" s="1795">
        <f>R48</f>
        <v>58417</v>
      </c>
      <c r="F48" s="1796"/>
      <c r="G48" s="1793">
        <f>T48</f>
        <v>53674</v>
      </c>
      <c r="H48" s="1796"/>
      <c r="I48" s="1795">
        <f>V48</f>
        <v>53580</v>
      </c>
      <c r="J48" s="1796"/>
      <c r="K48" s="2509">
        <f>F48+H48+J48</f>
        <v>0</v>
      </c>
      <c r="L48" s="3000"/>
      <c r="P48" s="3478" t="str">
        <f>A48</f>
        <v>比较价值（元/平方米）</v>
      </c>
      <c r="Q48" s="3478"/>
      <c r="R48" s="3479">
        <f>IF(E1="售价",ROUND(PRODUCT(R47,AA7:AA46),0),ROUND(PRODUCT(R47,AA7:AA46),1))</f>
        <v>58417</v>
      </c>
      <c r="S48" s="3479"/>
      <c r="T48" s="3482">
        <f>IF(E1="售价",ROUND(PRODUCT(T47,AB7:AB46),0),ROUND(PRODUCT(T47,AB7:AB46),1))</f>
        <v>53674</v>
      </c>
      <c r="U48" s="3483"/>
      <c r="V48" s="3479">
        <f>IF(E1="售价",ROUND(PRODUCT(V47,AC7:AC46),0),ROUND(PRODUCT(V47,AC7:AC46),1))</f>
        <v>53580</v>
      </c>
      <c r="W48" s="3479"/>
      <c r="X48" s="1789"/>
      <c r="Y48" s="1789"/>
      <c r="Z48" s="1789"/>
      <c r="AA48" s="1789"/>
      <c r="AB48" s="1789"/>
      <c r="AC48" s="1789"/>
    </row>
    <row r="49" spans="1:29" ht="15.75" thickBot="1">
      <c r="A49" s="1797" t="s">
        <v>2290</v>
      </c>
      <c r="B49" s="1798"/>
      <c r="C49" s="1799">
        <f>R49</f>
        <v>55224</v>
      </c>
      <c r="D49" s="1800"/>
      <c r="E49" s="1800"/>
      <c r="F49" s="1800"/>
      <c r="G49" s="1800"/>
      <c r="H49" s="1800"/>
      <c r="I49" s="1800"/>
      <c r="J49" s="1800"/>
      <c r="K49" s="1801"/>
      <c r="L49" s="3000"/>
      <c r="P49" s="3484" t="str">
        <f>A49</f>
        <v>估价对象XX用房的比较价值（楼面单价，元/平方米）</v>
      </c>
      <c r="Q49" s="3485"/>
      <c r="R49" s="3486">
        <f>IF(E1="售价",ROUND(IF(D48="简单平均",AVERAGE(R48:V48),R48*F48+T48*H48+V48*J48),0),ROUND(IF(D48="简单平均",AVERAGE(R48:V48),R48*F48+T48*H48+V48*J48),1))</f>
        <v>55224</v>
      </c>
      <c r="S49" s="3486"/>
      <c r="T49" s="3486"/>
      <c r="U49" s="3486"/>
      <c r="V49" s="3486"/>
      <c r="W49" s="3486"/>
      <c r="X49" s="1789"/>
      <c r="Y49" s="1789"/>
      <c r="Z49" s="1789"/>
      <c r="AA49" s="1789"/>
      <c r="AB49" s="1789"/>
      <c r="AC49" s="1789"/>
    </row>
    <row r="50" spans="1:29">
      <c r="C50" s="1667">
        <v>0.94</v>
      </c>
      <c r="G50" s="3004"/>
    </row>
    <row r="52" spans="1:29" ht="13.5" customHeight="1">
      <c r="C52" s="383" t="s">
        <v>2291</v>
      </c>
      <c r="D52" s="1805"/>
      <c r="E52" s="1806">
        <f>IF(E47&lt;E48,E48/E47-1,E47/E48-1)</f>
        <v>0</v>
      </c>
      <c r="F52" s="1807" t="str">
        <f>IF(OR(E52&gt;=0.3,E52&lt;=-0.3),"超过30%","")</f>
        <v/>
      </c>
      <c r="G52" s="1806">
        <f>IF(G47&lt;G48,G48/G47-1,G47/G48-1)</f>
        <v>4.22135922330098E-2</v>
      </c>
      <c r="H52" s="1807" t="str">
        <f>IF(OR(G52&gt;=0.3,G52&lt;=-0.3),"超过30%","")</f>
        <v/>
      </c>
      <c r="I52" s="1806">
        <f>IF(I47&lt;I48,I48/I47-1,I47/I48-1)</f>
        <v>4.2209686831355731E-2</v>
      </c>
      <c r="J52" s="1807" t="str">
        <f>IF(OR(I52&gt;=0.3,I52&lt;=-0.3),"超过30%","")</f>
        <v/>
      </c>
    </row>
    <row r="53" spans="1:29" ht="13.5" customHeight="1">
      <c r="C53" s="383" t="s">
        <v>2292</v>
      </c>
      <c r="D53" s="1808"/>
      <c r="E53" s="1806">
        <f>IF(E48&lt;G48,G48/E48-1,E48/G48-1)</f>
        <v>8.8366807020158644E-2</v>
      </c>
      <c r="F53" s="1807" t="str">
        <f>IF(OR(E53&gt;=0.2,E53&lt;=-0.2),"超过20%","")</f>
        <v/>
      </c>
      <c r="G53" s="1806">
        <f>IF(G48&lt;I48,I48/G48-1,G48/I48-1)</f>
        <v>1.7543859649122862E-3</v>
      </c>
      <c r="H53" s="1807" t="str">
        <f>IF(OR(G53&gt;=0.2,G53&lt;=-0.2),"超过20%","")</f>
        <v/>
      </c>
      <c r="I53" s="1806">
        <f>IF(I48&lt;E48,E48/I48-1,I48/E48-1)</f>
        <v>9.0276222471071366E-2</v>
      </c>
      <c r="J53" s="1807" t="str">
        <f>IF(OR(I53&gt;=0.2,I53&lt;=-0.2),"超过20%","")</f>
        <v/>
      </c>
    </row>
    <row r="54" spans="1:29" s="1811" customFormat="1" ht="13.5" customHeight="1">
      <c r="C54" s="383" t="s">
        <v>2293</v>
      </c>
      <c r="D54" s="1808"/>
      <c r="E54" s="1806">
        <f>IF(E47&lt;G47,G47/E47-1,E47/G47-1)</f>
        <v>0.13431067961165044</v>
      </c>
      <c r="F54" s="1807" t="str">
        <f>IF(OR(E54&gt;=0.3,E54&lt;=-0.3),"超过30%","")</f>
        <v/>
      </c>
      <c r="G54" s="1806">
        <f>IF(G47&lt;I47,I47/G47-1,G47/I47-1)</f>
        <v>1.750632172728972E-3</v>
      </c>
      <c r="H54" s="1807" t="str">
        <f>IF(OR(G54&gt;=0.3,G54&lt;=-0.3),"超过30%","")</f>
        <v/>
      </c>
      <c r="I54" s="1806">
        <f>IF(I47&lt;E47,E47/I47-1,I47/E47-1)</f>
        <v>0.13629644038124877</v>
      </c>
      <c r="J54" s="1807" t="str">
        <f>IF(OR(I54&gt;=0.3,I54&lt;=-0.3),"超过30%","")</f>
        <v/>
      </c>
      <c r="K54" s="3007"/>
      <c r="L54" s="3001"/>
      <c r="P54" s="1810"/>
    </row>
    <row r="55" spans="1:29" s="1811" customFormat="1">
      <c r="B55" s="3005"/>
      <c r="C55" s="3006"/>
      <c r="K55" s="3007"/>
      <c r="L55" s="3001"/>
      <c r="P55" s="1810"/>
    </row>
    <row r="56" spans="1:29">
      <c r="B56" s="3005"/>
      <c r="C56" s="3006"/>
    </row>
    <row r="57" spans="1:29" ht="21.75"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5">
      <c r="A58" s="1820" t="s">
        <v>2295</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2297</v>
      </c>
      <c r="B61" s="1827"/>
      <c r="C61" s="1838" t="s">
        <v>2298</v>
      </c>
      <c r="D61" s="409"/>
      <c r="E61" s="409"/>
      <c r="F61" s="409"/>
      <c r="G61" s="409"/>
      <c r="H61" s="409"/>
      <c r="I61" s="409"/>
      <c r="J61" s="409"/>
      <c r="K61" s="409"/>
      <c r="L61" s="409"/>
      <c r="M61" s="1839"/>
      <c r="N61" s="1840"/>
      <c r="O61" s="1840"/>
      <c r="P61" s="1841"/>
      <c r="Q61" s="1819"/>
    </row>
    <row r="62" spans="1:29" s="1685"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2299</v>
      </c>
      <c r="B63" s="1845" t="s">
        <v>2264</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5.75" thickBot="1">
      <c r="A71" s="1867"/>
      <c r="B71" s="1859"/>
      <c r="C71" s="1872"/>
      <c r="D71" s="1853"/>
      <c r="E71" s="1853"/>
      <c r="F71" s="1853"/>
      <c r="G71" s="1853"/>
      <c r="H71" s="1853"/>
      <c r="I71" s="1853"/>
      <c r="J71" s="1853"/>
      <c r="K71" s="1853"/>
      <c r="L71" s="1853"/>
      <c r="M71" s="1854"/>
      <c r="N71" s="1855"/>
      <c r="O71" s="1855"/>
      <c r="P71" s="1870"/>
      <c r="Q71" s="1871"/>
    </row>
    <row r="72" spans="1:17" s="1771"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5.75" thickBot="1">
      <c r="A73" s="1867"/>
      <c r="B73" s="1859"/>
      <c r="C73" s="1872"/>
      <c r="D73" s="1872"/>
      <c r="E73" s="1872"/>
      <c r="F73" s="1872"/>
      <c r="G73" s="1872"/>
      <c r="H73" s="1875"/>
      <c r="I73" s="1875"/>
      <c r="J73" s="1875"/>
      <c r="K73" s="1875"/>
      <c r="L73" s="1875"/>
      <c r="M73" s="1876"/>
      <c r="N73" s="1869"/>
      <c r="O73" s="1869"/>
      <c r="P73" s="1870"/>
      <c r="Q73" s="1871"/>
    </row>
    <row r="74" spans="1:17" s="1771"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6"/>
      <c r="N83" s="1855"/>
      <c r="O83" s="1855"/>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75" thickTop="1">
      <c r="A86" s="1887"/>
      <c r="B86" s="1856" t="s">
        <v>2321</v>
      </c>
      <c r="C86" s="468"/>
      <c r="D86" s="468"/>
      <c r="E86" s="468"/>
      <c r="F86" s="468"/>
      <c r="G86" s="468"/>
      <c r="H86" s="468"/>
      <c r="I86" s="468"/>
      <c r="J86" s="468"/>
      <c r="K86" s="468"/>
      <c r="L86" s="468"/>
      <c r="M86" s="1888"/>
      <c r="N86" s="1840"/>
      <c r="O86" s="1840"/>
      <c r="P86" s="1850"/>
      <c r="Q86" s="1819"/>
    </row>
    <row r="87" spans="1:17" s="1685"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75" thickTop="1">
      <c r="A88" s="1887"/>
      <c r="B88" s="1856" t="s">
        <v>2322</v>
      </c>
      <c r="C88" s="468"/>
      <c r="D88" s="468"/>
      <c r="E88" s="468"/>
      <c r="F88" s="1890"/>
      <c r="G88" s="468"/>
      <c r="H88" s="468"/>
      <c r="I88" s="468"/>
      <c r="J88" s="468"/>
      <c r="K88" s="468"/>
      <c r="L88" s="468"/>
      <c r="M88" s="1888"/>
      <c r="N88" s="1840"/>
      <c r="O88" s="1840"/>
      <c r="P88" s="1850"/>
      <c r="Q88" s="1819"/>
    </row>
    <row r="89" spans="1:17" s="1685"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71"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8"/>
      <c r="H92" s="1578"/>
      <c r="I92" s="1578"/>
      <c r="J92" s="1578"/>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8"/>
      <c r="H94" s="1578"/>
      <c r="I94" s="1578"/>
      <c r="J94" s="1578"/>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8"/>
      <c r="H96" s="1578"/>
      <c r="I96" s="1578"/>
      <c r="J96" s="1578"/>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2274</v>
      </c>
      <c r="B100" s="1845" t="s">
        <v>2323</v>
      </c>
      <c r="C100" s="3167" t="s">
        <v>2915</v>
      </c>
      <c r="D100" s="3167" t="s">
        <v>2919</v>
      </c>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95</v>
      </c>
      <c r="E101" s="1860">
        <f t="shared" si="22"/>
        <v>90</v>
      </c>
      <c r="F101" s="1860">
        <f t="shared" si="22"/>
        <v>85</v>
      </c>
      <c r="G101" s="1860">
        <f t="shared" si="22"/>
        <v>80</v>
      </c>
      <c r="H101" s="1860">
        <f t="shared" si="22"/>
        <v>75</v>
      </c>
      <c r="I101" s="1860">
        <f t="shared" si="22"/>
        <v>70</v>
      </c>
      <c r="J101" s="1860">
        <f t="shared" si="22"/>
        <v>65</v>
      </c>
      <c r="K101" s="1860">
        <f t="shared" si="22"/>
        <v>60</v>
      </c>
      <c r="L101" s="1860">
        <f t="shared" si="22"/>
        <v>55</v>
      </c>
      <c r="M101" s="1860">
        <f t="shared" si="22"/>
        <v>50</v>
      </c>
      <c r="N101" s="1855"/>
      <c r="O101" s="1855"/>
      <c r="P101" s="1850"/>
      <c r="Q101" s="1819"/>
    </row>
    <row r="102" spans="1:17" ht="15.75" thickTop="1">
      <c r="A102" s="1851"/>
      <c r="B102" s="1856" t="s">
        <v>2324</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3168">
        <v>0</v>
      </c>
      <c r="D103" s="3168">
        <v>100</v>
      </c>
      <c r="E103" s="3168">
        <v>300</v>
      </c>
      <c r="F103" s="3168">
        <v>500</v>
      </c>
      <c r="G103" s="3168">
        <v>800</v>
      </c>
      <c r="H103" s="1899"/>
      <c r="I103" s="1899"/>
      <c r="J103" s="485"/>
      <c r="K103" s="485"/>
      <c r="L103" s="485"/>
      <c r="M103" s="1900"/>
      <c r="N103" s="1869"/>
      <c r="O103" s="1869"/>
      <c r="P103" s="1870"/>
      <c r="Q103" s="1871"/>
    </row>
    <row r="104" spans="1:17" s="1771" customFormat="1" ht="15.75" thickBot="1">
      <c r="A104" s="1867"/>
      <c r="B104" s="1859"/>
      <c r="C104" s="3169">
        <v>100</v>
      </c>
      <c r="D104" s="3170">
        <f>C104-1</f>
        <v>99</v>
      </c>
      <c r="E104" s="3170">
        <f t="shared" ref="E104:G104" si="24">D104-1</f>
        <v>98</v>
      </c>
      <c r="F104" s="3170">
        <f t="shared" si="24"/>
        <v>97</v>
      </c>
      <c r="G104" s="3170">
        <f t="shared" si="24"/>
        <v>96</v>
      </c>
      <c r="H104" s="1853"/>
      <c r="I104" s="1853"/>
      <c r="J104" s="1853"/>
      <c r="K104" s="1853"/>
      <c r="L104" s="1853"/>
      <c r="M104" s="1853"/>
      <c r="N104" s="1855"/>
      <c r="O104" s="1855"/>
      <c r="P104" s="1870"/>
      <c r="Q104" s="1871"/>
    </row>
    <row r="105" spans="1:17" ht="17.25" thickTop="1">
      <c r="A105" s="1901"/>
      <c r="B105" s="1856" t="s">
        <v>2325</v>
      </c>
      <c r="C105" s="3171" t="s">
        <v>2909</v>
      </c>
      <c r="D105" s="3171" t="s">
        <v>2920</v>
      </c>
      <c r="E105" s="1578"/>
      <c r="F105" s="1578"/>
      <c r="G105" s="1578"/>
      <c r="H105" s="1578"/>
      <c r="I105" s="1578"/>
      <c r="J105" s="1578"/>
      <c r="K105" s="473"/>
      <c r="L105" s="473"/>
      <c r="M105" s="1891"/>
      <c r="N105" s="1849"/>
      <c r="O105" s="1849"/>
      <c r="P105" s="1850"/>
      <c r="Q105" s="1819"/>
    </row>
    <row r="106" spans="1:17" ht="15.75" thickBot="1">
      <c r="A106" s="1851"/>
      <c r="B106" s="1859"/>
      <c r="C106" s="1860">
        <v>100</v>
      </c>
      <c r="D106" s="1860">
        <f t="shared" ref="D106:M106" si="25">C106-$K34</f>
        <v>99</v>
      </c>
      <c r="E106" s="1860">
        <f t="shared" si="25"/>
        <v>98</v>
      </c>
      <c r="F106" s="1860">
        <f t="shared" si="25"/>
        <v>97</v>
      </c>
      <c r="G106" s="1860">
        <f t="shared" si="25"/>
        <v>96</v>
      </c>
      <c r="H106" s="1860">
        <f t="shared" si="25"/>
        <v>95</v>
      </c>
      <c r="I106" s="1860">
        <f t="shared" si="25"/>
        <v>94</v>
      </c>
      <c r="J106" s="1860">
        <f t="shared" si="25"/>
        <v>93</v>
      </c>
      <c r="K106" s="1860">
        <f t="shared" si="25"/>
        <v>92</v>
      </c>
      <c r="L106" s="1860">
        <f t="shared" si="25"/>
        <v>91</v>
      </c>
      <c r="M106" s="1860">
        <f t="shared" si="25"/>
        <v>90</v>
      </c>
      <c r="N106" s="1855"/>
      <c r="O106" s="1855"/>
      <c r="P106" s="1850"/>
      <c r="Q106" s="1819"/>
    </row>
    <row r="107" spans="1:17" ht="15" thickTop="1">
      <c r="A107" s="1901"/>
      <c r="B107" s="1856" t="s">
        <v>2326</v>
      </c>
      <c r="C107" s="3172" t="s">
        <v>29</v>
      </c>
      <c r="D107" s="3172" t="s">
        <v>30</v>
      </c>
      <c r="E107" s="3172" t="s">
        <v>31</v>
      </c>
      <c r="F107" s="3172" t="s">
        <v>32</v>
      </c>
      <c r="G107" s="3172" t="s">
        <v>35</v>
      </c>
      <c r="H107" s="1578"/>
      <c r="I107" s="1578"/>
      <c r="J107" s="1578"/>
      <c r="K107" s="473"/>
      <c r="L107" s="473"/>
      <c r="M107" s="1891"/>
      <c r="N107" s="1849"/>
      <c r="O107" s="1849"/>
      <c r="P107" s="1850"/>
      <c r="Q107" s="1819"/>
    </row>
    <row r="108" spans="1:17" ht="15.75" thickBot="1">
      <c r="A108" s="1851"/>
      <c r="B108" s="1859"/>
      <c r="C108" s="1860">
        <v>100</v>
      </c>
      <c r="D108" s="1860">
        <f t="shared" ref="D108:M108" si="26">C108-$K35</f>
        <v>98</v>
      </c>
      <c r="E108" s="1860">
        <f t="shared" si="26"/>
        <v>96</v>
      </c>
      <c r="F108" s="1860">
        <f t="shared" si="26"/>
        <v>94</v>
      </c>
      <c r="G108" s="1860">
        <f t="shared" si="26"/>
        <v>92</v>
      </c>
      <c r="H108" s="1860">
        <f t="shared" si="26"/>
        <v>90</v>
      </c>
      <c r="I108" s="1860">
        <f t="shared" si="26"/>
        <v>88</v>
      </c>
      <c r="J108" s="1860">
        <f t="shared" si="26"/>
        <v>86</v>
      </c>
      <c r="K108" s="1860">
        <f t="shared" si="26"/>
        <v>84</v>
      </c>
      <c r="L108" s="1860">
        <f t="shared" si="26"/>
        <v>82</v>
      </c>
      <c r="M108" s="1860">
        <f t="shared" si="26"/>
        <v>80</v>
      </c>
      <c r="N108" s="1855"/>
      <c r="O108" s="1855"/>
      <c r="P108" s="1850"/>
      <c r="Q108" s="1819"/>
    </row>
    <row r="109" spans="1:17" ht="15" thickTop="1">
      <c r="A109" s="1901"/>
      <c r="B109" s="1856" t="s">
        <v>2327</v>
      </c>
      <c r="C109" s="3173" t="s">
        <v>2916</v>
      </c>
      <c r="D109" s="3173" t="s">
        <v>2921</v>
      </c>
      <c r="E109" s="3173" t="s">
        <v>2922</v>
      </c>
      <c r="F109" s="1578"/>
      <c r="G109" s="1578"/>
      <c r="H109" s="1578"/>
      <c r="I109" s="1578"/>
      <c r="J109" s="1578"/>
      <c r="K109" s="473"/>
      <c r="L109" s="473"/>
      <c r="M109" s="1891"/>
      <c r="N109" s="1849"/>
      <c r="O109" s="1849"/>
      <c r="P109" s="1850"/>
      <c r="Q109" s="1819"/>
    </row>
    <row r="110" spans="1:17" ht="15.75" thickBot="1">
      <c r="A110" s="1851"/>
      <c r="B110" s="1859"/>
      <c r="C110" s="1860">
        <v>100</v>
      </c>
      <c r="D110" s="1860">
        <f t="shared" ref="D110:M110" si="27">C110-$K36</f>
        <v>98</v>
      </c>
      <c r="E110" s="1860">
        <f t="shared" si="27"/>
        <v>96</v>
      </c>
      <c r="F110" s="1860">
        <f t="shared" si="27"/>
        <v>94</v>
      </c>
      <c r="G110" s="1860">
        <f t="shared" si="27"/>
        <v>92</v>
      </c>
      <c r="H110" s="1860">
        <f t="shared" si="27"/>
        <v>90</v>
      </c>
      <c r="I110" s="1860">
        <f t="shared" si="27"/>
        <v>88</v>
      </c>
      <c r="J110" s="1860">
        <f t="shared" si="27"/>
        <v>86</v>
      </c>
      <c r="K110" s="1860">
        <f t="shared" si="27"/>
        <v>84</v>
      </c>
      <c r="L110" s="1860">
        <f t="shared" si="27"/>
        <v>82</v>
      </c>
      <c r="M110" s="1860">
        <f t="shared" si="27"/>
        <v>80</v>
      </c>
      <c r="N110" s="1855"/>
      <c r="O110" s="1855"/>
      <c r="P110" s="1850"/>
      <c r="Q110" s="1819"/>
    </row>
    <row r="111" spans="1:17" s="1771"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5.75" thickBot="1">
      <c r="A113" s="1867"/>
      <c r="B113" s="1859"/>
      <c r="C113" s="1889">
        <v>100</v>
      </c>
      <c r="D113" s="1860">
        <f>C113+$K37</f>
        <v>102</v>
      </c>
      <c r="E113" s="1860">
        <f>D113+$K37</f>
        <v>104</v>
      </c>
      <c r="F113" s="1860">
        <f>E113+$K37</f>
        <v>106</v>
      </c>
      <c r="G113" s="1860">
        <f>F113+$K37</f>
        <v>108</v>
      </c>
      <c r="H113" s="1860">
        <f>G113+$K37</f>
        <v>110</v>
      </c>
      <c r="I113" s="1889"/>
      <c r="J113" s="1905"/>
      <c r="K113" s="1905"/>
      <c r="L113" s="1905"/>
      <c r="M113" s="1906"/>
      <c r="N113" s="1869"/>
      <c r="O113" s="1869"/>
      <c r="P113" s="1870"/>
      <c r="Q113" s="1871"/>
    </row>
    <row r="114" spans="1:17" ht="15" thickTop="1">
      <c r="A114" s="1901"/>
      <c r="B114" s="1856" t="s">
        <v>2329</v>
      </c>
      <c r="C114" s="3174" t="s">
        <v>2917</v>
      </c>
      <c r="D114" s="3174" t="s">
        <v>2923</v>
      </c>
      <c r="E114" s="1578"/>
      <c r="F114" s="1578"/>
      <c r="G114" s="1578"/>
      <c r="H114" s="1578"/>
      <c r="I114" s="1578"/>
      <c r="J114" s="1578"/>
      <c r="K114" s="473"/>
      <c r="L114" s="473"/>
      <c r="M114" s="1891"/>
      <c r="N114" s="1849"/>
      <c r="O114" s="1849"/>
      <c r="P114" s="1850"/>
      <c r="Q114" s="1819"/>
    </row>
    <row r="115" spans="1:17" ht="15.75" thickBot="1">
      <c r="A115" s="1851"/>
      <c r="B115" s="1859"/>
      <c r="C115" s="1860">
        <v>100</v>
      </c>
      <c r="D115" s="1860">
        <f t="shared" ref="D115:M115" si="28">C115-$K38</f>
        <v>99</v>
      </c>
      <c r="E115" s="1860">
        <f t="shared" si="28"/>
        <v>98</v>
      </c>
      <c r="F115" s="1860">
        <f t="shared" si="28"/>
        <v>97</v>
      </c>
      <c r="G115" s="1860">
        <f t="shared" si="28"/>
        <v>96</v>
      </c>
      <c r="H115" s="1860">
        <f t="shared" si="28"/>
        <v>95</v>
      </c>
      <c r="I115" s="1860">
        <f t="shared" si="28"/>
        <v>94</v>
      </c>
      <c r="J115" s="1860">
        <f t="shared" si="28"/>
        <v>93</v>
      </c>
      <c r="K115" s="1860">
        <f t="shared" si="28"/>
        <v>92</v>
      </c>
      <c r="L115" s="1860">
        <f t="shared" si="28"/>
        <v>91</v>
      </c>
      <c r="M115" s="1860">
        <f t="shared" si="28"/>
        <v>90</v>
      </c>
      <c r="N115" s="1855"/>
      <c r="O115" s="1855"/>
      <c r="P115" s="1850"/>
      <c r="Q115" s="1819"/>
    </row>
    <row r="116" spans="1:17" ht="15" thickTop="1">
      <c r="A116" s="1901"/>
      <c r="B116" s="1856" t="s">
        <v>2330</v>
      </c>
      <c r="C116" s="441" t="s">
        <v>2924</v>
      </c>
      <c r="D116" s="441" t="s">
        <v>2918</v>
      </c>
      <c r="E116" s="441" t="s">
        <v>2925</v>
      </c>
      <c r="F116" s="441" t="s">
        <v>2926</v>
      </c>
      <c r="G116" s="441" t="s">
        <v>2927</v>
      </c>
      <c r="H116" s="1578"/>
      <c r="I116" s="1578"/>
      <c r="J116" s="1578"/>
      <c r="K116" s="473"/>
      <c r="L116" s="473"/>
      <c r="M116" s="1891"/>
      <c r="N116" s="1849"/>
      <c r="O116" s="1849"/>
      <c r="P116" s="1850"/>
      <c r="Q116" s="1819"/>
    </row>
    <row r="117" spans="1:17" ht="15.75" thickBot="1">
      <c r="A117" s="1851"/>
      <c r="B117" s="1859"/>
      <c r="C117" s="1860">
        <v>100</v>
      </c>
      <c r="D117" s="1860">
        <f>C117-$K39</f>
        <v>98</v>
      </c>
      <c r="E117" s="1860">
        <f>D117-$K39</f>
        <v>96</v>
      </c>
      <c r="F117" s="1860">
        <f>E117-$K39</f>
        <v>94</v>
      </c>
      <c r="G117" s="1860">
        <f>F117-$K39</f>
        <v>92</v>
      </c>
      <c r="H117" s="1860"/>
      <c r="I117" s="1860"/>
      <c r="J117" s="1860"/>
      <c r="K117" s="1860"/>
      <c r="L117" s="1860"/>
      <c r="M117" s="1861"/>
      <c r="N117" s="1855"/>
      <c r="O117" s="1855"/>
      <c r="P117" s="1850"/>
      <c r="Q117" s="1819"/>
    </row>
    <row r="118" spans="1:17" ht="15" thickTop="1">
      <c r="A118" s="1901"/>
      <c r="B118" s="1856" t="s">
        <v>2331</v>
      </c>
      <c r="C118" s="1578"/>
      <c r="D118" s="1578"/>
      <c r="E118" s="1578"/>
      <c r="F118" s="1578"/>
      <c r="G118" s="1578"/>
      <c r="H118" s="1578"/>
      <c r="I118" s="1578"/>
      <c r="J118" s="1578"/>
      <c r="K118" s="473"/>
      <c r="L118" s="473"/>
      <c r="M118" s="1891"/>
      <c r="N118" s="1849"/>
      <c r="O118" s="1849"/>
      <c r="P118" s="1850"/>
      <c r="Q118" s="1819"/>
    </row>
    <row r="119" spans="1:17" ht="15.75" thickBot="1">
      <c r="A119" s="1851"/>
      <c r="B119" s="1859"/>
      <c r="C119" s="1860">
        <v>100</v>
      </c>
      <c r="D119" s="1860">
        <f t="shared" ref="D119:M119" si="29">C119-$K40</f>
        <v>100</v>
      </c>
      <c r="E119" s="1860">
        <f t="shared" si="29"/>
        <v>100</v>
      </c>
      <c r="F119" s="1860">
        <f t="shared" si="29"/>
        <v>100</v>
      </c>
      <c r="G119" s="1860">
        <f t="shared" si="29"/>
        <v>100</v>
      </c>
      <c r="H119" s="1860">
        <f t="shared" si="29"/>
        <v>100</v>
      </c>
      <c r="I119" s="1860">
        <f t="shared" si="29"/>
        <v>100</v>
      </c>
      <c r="J119" s="1860">
        <f t="shared" si="29"/>
        <v>100</v>
      </c>
      <c r="K119" s="1860">
        <f t="shared" si="29"/>
        <v>100</v>
      </c>
      <c r="L119" s="1860">
        <f t="shared" si="29"/>
        <v>100</v>
      </c>
      <c r="M119" s="1860">
        <f t="shared" si="29"/>
        <v>100</v>
      </c>
      <c r="N119" s="1855"/>
      <c r="O119" s="1855"/>
      <c r="P119" s="1850"/>
      <c r="Q119" s="1819"/>
    </row>
    <row r="120" spans="1:17" s="1771" customFormat="1" ht="28.5" thickTop="1">
      <c r="A120" s="1897"/>
      <c r="B120" s="1856" t="s">
        <v>2285</v>
      </c>
      <c r="C120" s="468"/>
      <c r="D120" s="468"/>
      <c r="E120" s="468"/>
      <c r="F120" s="468"/>
      <c r="G120" s="468"/>
      <c r="H120" s="468"/>
      <c r="I120" s="468"/>
      <c r="J120" s="468"/>
      <c r="K120" s="468"/>
      <c r="L120" s="468"/>
      <c r="M120" s="1888"/>
      <c r="N120" s="1869"/>
      <c r="O120" s="1869"/>
      <c r="P120" s="1870"/>
      <c r="Q120" s="1871"/>
    </row>
    <row r="121" spans="1:17" s="1771"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3173" t="s">
        <v>2916</v>
      </c>
      <c r="D122" s="3173" t="s">
        <v>2921</v>
      </c>
      <c r="E122" s="3173" t="s">
        <v>2922</v>
      </c>
      <c r="F122" s="1578"/>
      <c r="G122" s="1578"/>
      <c r="H122" s="1578"/>
      <c r="I122" s="1578"/>
      <c r="J122" s="1578"/>
      <c r="K122" s="473"/>
      <c r="L122" s="473"/>
      <c r="M122" s="1891"/>
      <c r="N122" s="1849"/>
      <c r="O122" s="1849"/>
      <c r="P122" s="1850"/>
      <c r="Q122" s="1819"/>
    </row>
    <row r="123" spans="1:17" ht="15.75" thickBot="1">
      <c r="A123" s="1851"/>
      <c r="B123" s="1859"/>
      <c r="C123" s="1860">
        <v>100</v>
      </c>
      <c r="D123" s="1860">
        <f t="shared" ref="D123:M123" si="30">C123-$K42</f>
        <v>98</v>
      </c>
      <c r="E123" s="1860">
        <f t="shared" si="30"/>
        <v>96</v>
      </c>
      <c r="F123" s="1860">
        <f t="shared" si="30"/>
        <v>94</v>
      </c>
      <c r="G123" s="1860">
        <f t="shared" si="30"/>
        <v>92</v>
      </c>
      <c r="H123" s="1860">
        <f t="shared" si="30"/>
        <v>90</v>
      </c>
      <c r="I123" s="1860">
        <f t="shared" si="30"/>
        <v>88</v>
      </c>
      <c r="J123" s="1860">
        <f t="shared" si="30"/>
        <v>86</v>
      </c>
      <c r="K123" s="1860">
        <f t="shared" si="30"/>
        <v>84</v>
      </c>
      <c r="L123" s="1860">
        <f t="shared" si="30"/>
        <v>82</v>
      </c>
      <c r="M123" s="1860">
        <f t="shared" si="30"/>
        <v>80</v>
      </c>
      <c r="N123" s="1855"/>
      <c r="O123" s="1855"/>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5.75" thickBot="1">
      <c r="A125" s="1851"/>
      <c r="B125" s="1859"/>
      <c r="C125" s="1860">
        <v>100</v>
      </c>
      <c r="D125" s="1860">
        <f>C125-$K43</f>
        <v>98</v>
      </c>
      <c r="E125" s="1860">
        <f>D125-$K43</f>
        <v>96</v>
      </c>
      <c r="F125" s="1860">
        <f>E125-$K43</f>
        <v>94</v>
      </c>
      <c r="G125" s="1860">
        <f>F125-$K43</f>
        <v>92</v>
      </c>
      <c r="H125" s="1860"/>
      <c r="I125" s="1860"/>
      <c r="J125" s="1860"/>
      <c r="K125" s="1860"/>
      <c r="L125" s="1860"/>
      <c r="M125" s="1861"/>
      <c r="N125" s="1855"/>
      <c r="O125" s="1855"/>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5.75" thickBot="1">
      <c r="B145" s="1940" t="s">
        <v>2350</v>
      </c>
      <c r="C145" s="1941">
        <f>ROUND(MAX(C139:C144)/MIN(C139:C144)-1,3)</f>
        <v>7.2999999999999995E-2</v>
      </c>
      <c r="D145" s="1942"/>
      <c r="E145" s="1942"/>
      <c r="F145" s="1574" t="s">
        <v>2351</v>
      </c>
      <c r="G145" s="1943"/>
      <c r="H145" s="1944"/>
      <c r="I145" s="1945" t="s">
        <v>2348</v>
      </c>
      <c r="J145" s="1946">
        <v>8</v>
      </c>
      <c r="K145" s="1947">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67"/>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1913</v>
      </c>
      <c r="B2" s="1650" t="e">
        <f ca="1">IF(D2="——",IF(C2="元",ROUND(C49*D3,0),ROUND(C49*D3/10000,0)),IF(C2="元",ROUND(C49*D3,0),ROUND(C49*D3/10000,0))-E2)</f>
        <v>#DIV/0!</v>
      </c>
      <c r="C2" s="1651" t="str">
        <f>'数据-取费表'!B3</f>
        <v>元</v>
      </c>
      <c r="D2" s="1652"/>
      <c r="E2" s="2468" t="e">
        <f ca="1">SUMIF(INDIRECT("'"&amp;G2&amp;"'"&amp;"!A:A"),"承租人权益价值",INDIRECT("'"&amp;G2&amp;"'"&amp;"!c:c"))</f>
        <v>#REF!</v>
      </c>
      <c r="F2" s="1654" t="str">
        <f>C2</f>
        <v>元</v>
      </c>
      <c r="G2" s="1655"/>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9" t="s">
        <v>1914</v>
      </c>
      <c r="B3" s="1960" t="e">
        <f ca="1">ROUND(IF(D2="——",C49,IF(C2="万元",B2*10000/D3,B2/D3)),0)</f>
        <v>#DIV/0!</v>
      </c>
      <c r="C3" s="1660" t="s">
        <v>2244</v>
      </c>
      <c r="D3" s="1660">
        <f>IF(C1="仅计算典型户型",'数据-取费表'!E5,'数据-取费表'!B5)</f>
        <v>353.61</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5">
      <c r="A4" s="1663" t="s">
        <v>2245</v>
      </c>
      <c r="B4" s="1664"/>
      <c r="C4" s="3442" t="s">
        <v>2246</v>
      </c>
      <c r="D4" s="3443"/>
      <c r="E4" s="3444" t="s">
        <v>2247</v>
      </c>
      <c r="F4" s="3445"/>
      <c r="G4" s="3442" t="s">
        <v>2248</v>
      </c>
      <c r="H4" s="3443"/>
      <c r="I4" s="3442" t="s">
        <v>2249</v>
      </c>
      <c r="J4" s="3443"/>
      <c r="K4" s="1963" t="s">
        <v>2250</v>
      </c>
      <c r="L4" s="2994"/>
      <c r="M4" s="2995"/>
      <c r="N4" s="2995"/>
      <c r="O4" s="2995"/>
      <c r="P4" s="3446" t="s">
        <v>2251</v>
      </c>
      <c r="Q4" s="3447"/>
      <c r="R4" s="3452" t="s">
        <v>2247</v>
      </c>
      <c r="S4" s="3453"/>
      <c r="T4" s="3452" t="s">
        <v>2248</v>
      </c>
      <c r="U4" s="3453"/>
      <c r="V4" s="3458" t="s">
        <v>2249</v>
      </c>
      <c r="W4" s="3458"/>
      <c r="X4" s="2072"/>
      <c r="Y4" s="3452" t="s">
        <v>2251</v>
      </c>
      <c r="Z4" s="3453"/>
      <c r="AA4" s="3439" t="s">
        <v>2247</v>
      </c>
      <c r="AB4" s="3458" t="s">
        <v>2248</v>
      </c>
      <c r="AC4" s="3439" t="s">
        <v>2249</v>
      </c>
    </row>
    <row r="5" spans="1:29" ht="15">
      <c r="A5" s="1668"/>
      <c r="B5" s="1669"/>
      <c r="C5" s="3461" t="s">
        <v>2252</v>
      </c>
      <c r="D5" s="3462"/>
      <c r="E5" s="3459" t="s">
        <v>2253</v>
      </c>
      <c r="F5" s="3460"/>
      <c r="G5" s="3461" t="s">
        <v>2254</v>
      </c>
      <c r="H5" s="3462"/>
      <c r="I5" s="3461" t="s">
        <v>2255</v>
      </c>
      <c r="J5" s="3462"/>
      <c r="K5" s="1963"/>
      <c r="L5" s="2994"/>
      <c r="M5" s="2995"/>
      <c r="N5" s="2995"/>
      <c r="O5" s="2995"/>
      <c r="P5" s="3448"/>
      <c r="Q5" s="3449"/>
      <c r="R5" s="3454"/>
      <c r="S5" s="3455"/>
      <c r="T5" s="3454"/>
      <c r="U5" s="3455"/>
      <c r="V5" s="3458"/>
      <c r="W5" s="3458"/>
      <c r="X5" s="2072"/>
      <c r="Y5" s="3454"/>
      <c r="Z5" s="3455"/>
      <c r="AA5" s="3440"/>
      <c r="AB5" s="3458"/>
      <c r="AC5" s="3440"/>
    </row>
    <row r="6" spans="1:29" ht="15.75" thickBot="1">
      <c r="A6" s="1671"/>
      <c r="B6" s="1672"/>
      <c r="C6" s="3463" t="s">
        <v>2256</v>
      </c>
      <c r="D6" s="3464"/>
      <c r="E6" s="3465" t="s">
        <v>2256</v>
      </c>
      <c r="F6" s="3466"/>
      <c r="G6" s="3463" t="s">
        <v>2256</v>
      </c>
      <c r="H6" s="3464"/>
      <c r="I6" s="3463" t="s">
        <v>2256</v>
      </c>
      <c r="J6" s="3464"/>
      <c r="K6" s="1963" t="s">
        <v>2257</v>
      </c>
      <c r="L6" s="2994"/>
      <c r="M6" s="2995"/>
      <c r="N6" s="2995"/>
      <c r="O6" s="2995"/>
      <c r="P6" s="3450"/>
      <c r="Q6" s="3451"/>
      <c r="R6" s="3454"/>
      <c r="S6" s="3455"/>
      <c r="T6" s="3456"/>
      <c r="U6" s="3457"/>
      <c r="V6" s="3458"/>
      <c r="W6" s="3458"/>
      <c r="X6" s="2072"/>
      <c r="Y6" s="3456"/>
      <c r="Z6" s="3457"/>
      <c r="AA6" s="3441"/>
      <c r="AB6" s="3458"/>
      <c r="AC6" s="3441"/>
    </row>
    <row r="7" spans="1:29" s="1685" customFormat="1" ht="15.75" thickBot="1">
      <c r="A7" s="1673" t="s">
        <v>2258</v>
      </c>
      <c r="B7" s="1674"/>
      <c r="C7" s="1675">
        <f>'数据-取费表'!B2</f>
        <v>44342</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74" t="s">
        <v>2259</v>
      </c>
      <c r="Q7" s="3476"/>
      <c r="R7" s="1681" t="s">
        <v>25</v>
      </c>
      <c r="S7" s="1682">
        <f t="shared" ref="S7:S15" si="0">F7</f>
        <v>0</v>
      </c>
      <c r="T7" s="1681" t="s">
        <v>25</v>
      </c>
      <c r="U7" s="1682">
        <f t="shared" ref="U7:U15" si="1">H7</f>
        <v>0</v>
      </c>
      <c r="V7" s="1681" t="s">
        <v>25</v>
      </c>
      <c r="W7" s="1682">
        <f t="shared" ref="W7:W15" si="2">J7</f>
        <v>0</v>
      </c>
      <c r="X7" s="1683"/>
      <c r="Y7" s="3474" t="s">
        <v>2259</v>
      </c>
      <c r="Z7" s="347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74" t="s">
        <v>2262</v>
      </c>
      <c r="Q8" s="3475"/>
      <c r="R8" s="1681" t="s">
        <v>25</v>
      </c>
      <c r="S8" s="1682">
        <f t="shared" si="0"/>
        <v>0</v>
      </c>
      <c r="T8" s="1681" t="s">
        <v>25</v>
      </c>
      <c r="U8" s="1682">
        <f t="shared" si="1"/>
        <v>0</v>
      </c>
      <c r="V8" s="1681" t="s">
        <v>25</v>
      </c>
      <c r="W8" s="1682">
        <f t="shared" si="2"/>
        <v>0</v>
      </c>
      <c r="X8" s="1683"/>
      <c r="Y8" s="3474" t="s">
        <v>2262</v>
      </c>
      <c r="Z8" s="3475"/>
      <c r="AA8" s="1684" t="e">
        <f t="shared" ref="AA8:AA46" si="3">D8/F8</f>
        <v>#DIV/0!</v>
      </c>
      <c r="AB8" s="1684" t="e">
        <f t="shared" ref="AB8:AB46" si="4">D8/H8</f>
        <v>#DIV/0!</v>
      </c>
      <c r="AC8" s="1684" t="e">
        <f t="shared" ref="AC8:AC46" si="5">D8/J8</f>
        <v>#DIV/0!</v>
      </c>
    </row>
    <row r="9" spans="1:29" s="1685" customFormat="1">
      <c r="A9" s="2064"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5"/>
      <c r="L9" s="2994"/>
      <c r="M9" s="2967"/>
      <c r="N9" s="2967"/>
      <c r="O9" s="2967"/>
      <c r="P9" s="3477" t="s">
        <v>2265</v>
      </c>
      <c r="Q9" s="2063" t="str">
        <f t="shared" ref="Q9:Q15" si="6">B9</f>
        <v>用途</v>
      </c>
      <c r="R9" s="1681" t="s">
        <v>25</v>
      </c>
      <c r="S9" s="1682">
        <f t="shared" si="0"/>
        <v>100</v>
      </c>
      <c r="T9" s="1681" t="s">
        <v>25</v>
      </c>
      <c r="U9" s="1682">
        <f t="shared" si="1"/>
        <v>100</v>
      </c>
      <c r="V9" s="1681" t="s">
        <v>25</v>
      </c>
      <c r="W9" s="1682">
        <f t="shared" si="2"/>
        <v>100</v>
      </c>
      <c r="X9" s="1683"/>
      <c r="Y9" s="3340"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0"/>
      <c r="L10" s="2996"/>
      <c r="M10" s="2997"/>
      <c r="N10" s="2997"/>
      <c r="O10" s="2997"/>
      <c r="P10" s="3477"/>
      <c r="Q10" s="2063" t="str">
        <f t="shared" si="6"/>
        <v>土地使用年限（年）</v>
      </c>
      <c r="R10" s="1681" t="s">
        <v>25</v>
      </c>
      <c r="S10" s="1682">
        <f t="shared" si="0"/>
        <v>100</v>
      </c>
      <c r="T10" s="1681" t="s">
        <v>25</v>
      </c>
      <c r="U10" s="1682">
        <f t="shared" si="1"/>
        <v>100</v>
      </c>
      <c r="V10" s="1681" t="s">
        <v>25</v>
      </c>
      <c r="W10" s="1682">
        <f t="shared" si="2"/>
        <v>100</v>
      </c>
      <c r="X10" s="1683"/>
      <c r="Y10" s="334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2998"/>
      <c r="M11" s="2995"/>
      <c r="N11" s="2995"/>
      <c r="O11" s="2995"/>
      <c r="P11" s="3477"/>
      <c r="Q11" s="2063" t="str">
        <f t="shared" si="6"/>
        <v>容积率</v>
      </c>
      <c r="R11" s="1681" t="s">
        <v>25</v>
      </c>
      <c r="S11" s="1682" t="e">
        <f t="shared" si="0"/>
        <v>#N/A</v>
      </c>
      <c r="T11" s="1681" t="s">
        <v>25</v>
      </c>
      <c r="U11" s="1682" t="e">
        <f t="shared" si="1"/>
        <v>#N/A</v>
      </c>
      <c r="V11" s="1681" t="s">
        <v>25</v>
      </c>
      <c r="W11" s="1682" t="e">
        <f t="shared" si="2"/>
        <v>#N/A</v>
      </c>
      <c r="X11" s="1683"/>
      <c r="Y11" s="334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2994"/>
      <c r="M12" s="2967"/>
      <c r="N12" s="2967"/>
      <c r="O12" s="2967"/>
      <c r="P12" s="3477"/>
      <c r="Q12" s="2063">
        <f t="shared" si="6"/>
        <v>111</v>
      </c>
      <c r="R12" s="1681" t="s">
        <v>25</v>
      </c>
      <c r="S12" s="1682">
        <f t="shared" si="0"/>
        <v>100</v>
      </c>
      <c r="T12" s="1681" t="s">
        <v>25</v>
      </c>
      <c r="U12" s="1682">
        <f t="shared" si="1"/>
        <v>100</v>
      </c>
      <c r="V12" s="1681" t="s">
        <v>25</v>
      </c>
      <c r="W12" s="1682">
        <f t="shared" si="2"/>
        <v>100</v>
      </c>
      <c r="X12" s="1683"/>
      <c r="Y12" s="334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2999"/>
      <c r="M13" s="2995"/>
      <c r="N13" s="2995"/>
      <c r="O13" s="2995"/>
      <c r="P13" s="3477"/>
      <c r="Q13" s="2063">
        <f t="shared" si="6"/>
        <v>111</v>
      </c>
      <c r="R13" s="1681" t="s">
        <v>25</v>
      </c>
      <c r="S13" s="1682">
        <f t="shared" si="0"/>
        <v>100</v>
      </c>
      <c r="T13" s="1681" t="s">
        <v>25</v>
      </c>
      <c r="U13" s="1682">
        <f t="shared" si="1"/>
        <v>100</v>
      </c>
      <c r="V13" s="1681" t="s">
        <v>25</v>
      </c>
      <c r="W13" s="1682">
        <f t="shared" si="2"/>
        <v>100</v>
      </c>
      <c r="X13" s="1683"/>
      <c r="Y13" s="334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2999"/>
      <c r="M14" s="2995"/>
      <c r="N14" s="2995"/>
      <c r="O14" s="2995"/>
      <c r="P14" s="3477"/>
      <c r="Q14" s="2063">
        <f t="shared" si="6"/>
        <v>111</v>
      </c>
      <c r="R14" s="1681" t="s">
        <v>25</v>
      </c>
      <c r="S14" s="1682">
        <f t="shared" si="0"/>
        <v>100</v>
      </c>
      <c r="T14" s="1681" t="s">
        <v>25</v>
      </c>
      <c r="U14" s="1682">
        <f t="shared" si="1"/>
        <v>100</v>
      </c>
      <c r="V14" s="1681" t="s">
        <v>25</v>
      </c>
      <c r="W14" s="1682">
        <f t="shared" si="2"/>
        <v>100</v>
      </c>
      <c r="X14" s="1683"/>
      <c r="Y14" s="3340"/>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0"/>
      <c r="L15" s="2999"/>
      <c r="M15" s="2995"/>
      <c r="N15" s="2995"/>
      <c r="O15" s="2995"/>
      <c r="P15" s="3480" t="s">
        <v>2270</v>
      </c>
      <c r="Q15" s="2069" t="str">
        <f t="shared" si="6"/>
        <v>商业繁华度</v>
      </c>
      <c r="R15" s="1726" t="s">
        <v>25</v>
      </c>
      <c r="S15" s="1727">
        <f t="shared" si="0"/>
        <v>100</v>
      </c>
      <c r="T15" s="1726" t="s">
        <v>25</v>
      </c>
      <c r="U15" s="1727">
        <f t="shared" si="1"/>
        <v>100</v>
      </c>
      <c r="V15" s="1726" t="s">
        <v>25</v>
      </c>
      <c r="W15" s="1727">
        <f t="shared" si="2"/>
        <v>100</v>
      </c>
      <c r="X15" s="2072"/>
      <c r="Y15" s="3467" t="s">
        <v>2270</v>
      </c>
      <c r="Z15" s="2076" t="str">
        <f t="shared" si="7"/>
        <v>商业繁华度</v>
      </c>
      <c r="AA15" s="2067">
        <f t="shared" si="3"/>
        <v>1</v>
      </c>
      <c r="AB15" s="2067">
        <f t="shared" si="4"/>
        <v>1</v>
      </c>
      <c r="AC15" s="2067">
        <f t="shared" si="5"/>
        <v>1</v>
      </c>
    </row>
    <row r="16" spans="1:29" ht="15">
      <c r="A16" s="1703"/>
      <c r="B16" s="1730"/>
      <c r="C16" s="1731"/>
      <c r="D16" s="1732"/>
      <c r="E16" s="1731"/>
      <c r="F16" s="1734"/>
      <c r="G16" s="1731"/>
      <c r="H16" s="1736"/>
      <c r="I16" s="1731"/>
      <c r="J16" s="1732"/>
      <c r="K16" s="2471"/>
      <c r="L16" s="2999"/>
      <c r="M16" s="2995"/>
      <c r="N16" s="2995"/>
      <c r="O16" s="2995"/>
      <c r="P16" s="3481"/>
      <c r="Q16" s="2069"/>
      <c r="R16" s="1726"/>
      <c r="S16" s="1727"/>
      <c r="T16" s="1726"/>
      <c r="U16" s="1727"/>
      <c r="V16" s="1726"/>
      <c r="W16" s="1727"/>
      <c r="X16" s="2072"/>
      <c r="Y16" s="3468"/>
      <c r="Z16" s="2076"/>
      <c r="AA16" s="2067">
        <v>1</v>
      </c>
      <c r="AB16" s="2067">
        <v>1</v>
      </c>
      <c r="AC16" s="2067">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0"/>
      <c r="L17" s="2999"/>
      <c r="M17" s="2995"/>
      <c r="N17" s="2995"/>
      <c r="O17" s="2995"/>
      <c r="P17" s="3481"/>
      <c r="Q17" s="2069" t="str">
        <f>B17</f>
        <v>交通便捷度</v>
      </c>
      <c r="R17" s="1726" t="s">
        <v>25</v>
      </c>
      <c r="S17" s="1727">
        <f>F17</f>
        <v>100</v>
      </c>
      <c r="T17" s="1726" t="s">
        <v>25</v>
      </c>
      <c r="U17" s="1727">
        <f>H17</f>
        <v>100</v>
      </c>
      <c r="V17" s="1726" t="s">
        <v>25</v>
      </c>
      <c r="W17" s="1727">
        <f>J17</f>
        <v>100</v>
      </c>
      <c r="X17" s="2072"/>
      <c r="Y17" s="3468"/>
      <c r="Z17" s="2076" t="str">
        <f>Q17</f>
        <v>交通便捷度</v>
      </c>
      <c r="AA17" s="2067">
        <f t="shared" si="3"/>
        <v>1</v>
      </c>
      <c r="AB17" s="2067">
        <f t="shared" si="4"/>
        <v>1</v>
      </c>
      <c r="AC17" s="2067">
        <f t="shared" si="5"/>
        <v>1</v>
      </c>
    </row>
    <row r="18" spans="1:29" ht="15">
      <c r="A18" s="1703"/>
      <c r="B18" s="1744"/>
      <c r="C18" s="1745"/>
      <c r="D18" s="1736"/>
      <c r="E18" s="1746"/>
      <c r="F18" s="1741"/>
      <c r="G18" s="1747"/>
      <c r="H18" s="1732"/>
      <c r="I18" s="1746"/>
      <c r="J18" s="1732"/>
      <c r="K18" s="2471"/>
      <c r="L18" s="2999"/>
      <c r="M18" s="2995"/>
      <c r="N18" s="2995"/>
      <c r="O18" s="2995"/>
      <c r="P18" s="3481"/>
      <c r="Q18" s="2069"/>
      <c r="R18" s="1726"/>
      <c r="S18" s="1727"/>
      <c r="T18" s="1726"/>
      <c r="U18" s="1727"/>
      <c r="V18" s="1726"/>
      <c r="W18" s="1727"/>
      <c r="X18" s="2072"/>
      <c r="Y18" s="3468"/>
      <c r="Z18" s="2076"/>
      <c r="AA18" s="2067">
        <v>1</v>
      </c>
      <c r="AB18" s="2067">
        <v>1</v>
      </c>
      <c r="AC18" s="2067">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0"/>
      <c r="L19" s="2999"/>
      <c r="M19" s="2995"/>
      <c r="N19" s="2995"/>
      <c r="O19" s="2995"/>
      <c r="P19" s="3481"/>
      <c r="Q19" s="2069" t="str">
        <f>B19</f>
        <v>公共配套设施</v>
      </c>
      <c r="R19" s="1726" t="s">
        <v>25</v>
      </c>
      <c r="S19" s="1727">
        <f>F19</f>
        <v>100</v>
      </c>
      <c r="T19" s="1726" t="s">
        <v>25</v>
      </c>
      <c r="U19" s="1727">
        <f>H19</f>
        <v>100</v>
      </c>
      <c r="V19" s="1726" t="s">
        <v>25</v>
      </c>
      <c r="W19" s="1727">
        <f>J19</f>
        <v>100</v>
      </c>
      <c r="X19" s="2072"/>
      <c r="Y19" s="3468"/>
      <c r="Z19" s="2076" t="str">
        <f>Q19</f>
        <v>公共配套设施</v>
      </c>
      <c r="AA19" s="2067">
        <f t="shared" si="3"/>
        <v>1</v>
      </c>
      <c r="AB19" s="2067">
        <f t="shared" si="4"/>
        <v>1</v>
      </c>
      <c r="AC19" s="2067">
        <f t="shared" si="5"/>
        <v>1</v>
      </c>
    </row>
    <row r="20" spans="1:29" ht="15">
      <c r="A20" s="1703"/>
      <c r="B20" s="1744"/>
      <c r="C20" s="1731"/>
      <c r="D20" s="1732"/>
      <c r="E20" s="1733"/>
      <c r="F20" s="1734"/>
      <c r="G20" s="1735"/>
      <c r="H20" s="1732"/>
      <c r="I20" s="1733"/>
      <c r="J20" s="1732"/>
      <c r="K20" s="2471"/>
      <c r="L20" s="2999"/>
      <c r="M20" s="2995"/>
      <c r="N20" s="2995"/>
      <c r="O20" s="2995"/>
      <c r="P20" s="3481"/>
      <c r="Q20" s="2069"/>
      <c r="R20" s="1726"/>
      <c r="S20" s="1727"/>
      <c r="T20" s="1726"/>
      <c r="U20" s="1727"/>
      <c r="V20" s="1726"/>
      <c r="W20" s="1727"/>
      <c r="X20" s="2072"/>
      <c r="Y20" s="3468"/>
      <c r="Z20" s="2076"/>
      <c r="AA20" s="2067">
        <v>1</v>
      </c>
      <c r="AB20" s="2067">
        <v>1</v>
      </c>
      <c r="AC20" s="2067">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0"/>
      <c r="L21" s="2999"/>
      <c r="M21" s="2995"/>
      <c r="N21" s="2995"/>
      <c r="O21" s="2995"/>
      <c r="P21" s="3481"/>
      <c r="Q21" s="2069" t="str">
        <f>B21</f>
        <v>基础设施水平</v>
      </c>
      <c r="R21" s="1726" t="s">
        <v>25</v>
      </c>
      <c r="S21" s="1727">
        <f>F21</f>
        <v>100</v>
      </c>
      <c r="T21" s="1726" t="s">
        <v>25</v>
      </c>
      <c r="U21" s="1727">
        <f>H21</f>
        <v>100</v>
      </c>
      <c r="V21" s="1726" t="s">
        <v>25</v>
      </c>
      <c r="W21" s="1727">
        <f>J21</f>
        <v>100</v>
      </c>
      <c r="X21" s="2072"/>
      <c r="Y21" s="3468"/>
      <c r="Z21" s="2076" t="str">
        <f>Q21</f>
        <v>基础设施水平</v>
      </c>
      <c r="AA21" s="2067">
        <f t="shared" ref="AA21" si="8">D21/F21</f>
        <v>1</v>
      </c>
      <c r="AB21" s="2067">
        <f t="shared" ref="AB21" si="9">D21/H21</f>
        <v>1</v>
      </c>
      <c r="AC21" s="2067">
        <f t="shared" ref="AC21" si="10">D21/J21</f>
        <v>1</v>
      </c>
    </row>
    <row r="22" spans="1:29" ht="15">
      <c r="A22" s="1703"/>
      <c r="B22" s="1751"/>
      <c r="C22" s="1745"/>
      <c r="D22" s="1732"/>
      <c r="E22" s="1731"/>
      <c r="F22" s="1734"/>
      <c r="G22" s="1731"/>
      <c r="H22" s="1732"/>
      <c r="I22" s="1731"/>
      <c r="J22" s="1732"/>
      <c r="K22" s="2472"/>
      <c r="L22" s="2999"/>
      <c r="M22" s="2995"/>
      <c r="N22" s="2995"/>
      <c r="O22" s="2995"/>
      <c r="P22" s="3481"/>
      <c r="Q22" s="2069"/>
      <c r="R22" s="1726"/>
      <c r="S22" s="1727"/>
      <c r="T22" s="1726"/>
      <c r="U22" s="1727"/>
      <c r="V22" s="1726"/>
      <c r="W22" s="1727"/>
      <c r="X22" s="2072"/>
      <c r="Y22" s="3468"/>
      <c r="Z22" s="2076"/>
      <c r="AA22" s="2067">
        <v>1</v>
      </c>
      <c r="AB22" s="2067">
        <v>1</v>
      </c>
      <c r="AC22" s="2067">
        <v>1</v>
      </c>
    </row>
    <row r="23" spans="1:29" ht="57">
      <c r="A23" s="1703"/>
      <c r="B23" s="1738" t="s">
        <v>1707</v>
      </c>
      <c r="C23" s="2473"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0"/>
      <c r="L23" s="2999"/>
      <c r="M23" s="2995"/>
      <c r="N23" s="2995"/>
      <c r="O23" s="2995"/>
      <c r="P23" s="3481"/>
      <c r="Q23" s="2069" t="str">
        <f>B23</f>
        <v>自然及人文环境</v>
      </c>
      <c r="R23" s="1726" t="s">
        <v>25</v>
      </c>
      <c r="S23" s="1727">
        <f>F23</f>
        <v>100</v>
      </c>
      <c r="T23" s="1726" t="s">
        <v>25</v>
      </c>
      <c r="U23" s="1727">
        <f>H23</f>
        <v>100</v>
      </c>
      <c r="V23" s="1726" t="s">
        <v>25</v>
      </c>
      <c r="W23" s="1727">
        <f>J23</f>
        <v>100</v>
      </c>
      <c r="X23" s="2072"/>
      <c r="Y23" s="3468"/>
      <c r="Z23" s="2076" t="str">
        <f>Q23</f>
        <v>自然及人文环境</v>
      </c>
      <c r="AA23" s="2067">
        <f t="shared" si="3"/>
        <v>1</v>
      </c>
      <c r="AB23" s="2067">
        <f t="shared" si="4"/>
        <v>1</v>
      </c>
      <c r="AC23" s="2067">
        <f t="shared" si="5"/>
        <v>1</v>
      </c>
    </row>
    <row r="24" spans="1:29" ht="15">
      <c r="A24" s="1703"/>
      <c r="B24" s="1744"/>
      <c r="C24" s="1731"/>
      <c r="D24" s="1732"/>
      <c r="E24" s="1733"/>
      <c r="F24" s="1734"/>
      <c r="G24" s="1735"/>
      <c r="H24" s="1732"/>
      <c r="I24" s="1733"/>
      <c r="J24" s="1732"/>
      <c r="K24" s="2471"/>
      <c r="L24" s="2999"/>
      <c r="M24" s="2995"/>
      <c r="N24" s="2995"/>
      <c r="O24" s="2995"/>
      <c r="P24" s="3481"/>
      <c r="Q24" s="2069"/>
      <c r="R24" s="1726"/>
      <c r="S24" s="1727"/>
      <c r="T24" s="1726"/>
      <c r="U24" s="1727"/>
      <c r="V24" s="1726"/>
      <c r="W24" s="1727"/>
      <c r="X24" s="2072"/>
      <c r="Y24" s="3468"/>
      <c r="Z24" s="2076"/>
      <c r="AA24" s="2067">
        <v>1</v>
      </c>
      <c r="AB24" s="2067">
        <v>1</v>
      </c>
      <c r="AC24" s="2067">
        <v>1</v>
      </c>
    </row>
    <row r="25" spans="1:29" ht="15">
      <c r="A25" s="1703"/>
      <c r="B25" s="1696" t="s">
        <v>2358</v>
      </c>
      <c r="C25" s="1989"/>
      <c r="D25" s="1712">
        <v>100</v>
      </c>
      <c r="E25" s="1989"/>
      <c r="F25" s="1755">
        <f>SUMIF(86:86,E25,87:87)-SUMIF(86:86,C25,87:87)+100</f>
        <v>100</v>
      </c>
      <c r="G25" s="1989"/>
      <c r="H25" s="1712">
        <f>SUMIF(86:86,G25,87:87)-SUMIF(86:86,C25,87:87)+100</f>
        <v>100</v>
      </c>
      <c r="I25" s="1989"/>
      <c r="J25" s="1712">
        <f>SUMIF(86:86,I25,87:87)-SUMIF(86:86,C25,87:87)+100</f>
        <v>100</v>
      </c>
      <c r="K25" s="1990"/>
      <c r="L25" s="2999"/>
      <c r="M25" s="2995"/>
      <c r="N25" s="2995"/>
      <c r="O25" s="2995"/>
      <c r="P25" s="3481"/>
      <c r="Q25" s="2069" t="str">
        <f t="shared" ref="Q25:Q46" si="11">B25</f>
        <v>临街状况</v>
      </c>
      <c r="R25" s="1726" t="s">
        <v>25</v>
      </c>
      <c r="S25" s="1727">
        <f>F25</f>
        <v>100</v>
      </c>
      <c r="T25" s="1726" t="s">
        <v>25</v>
      </c>
      <c r="U25" s="1727">
        <f>H25</f>
        <v>100</v>
      </c>
      <c r="V25" s="1726" t="s">
        <v>25</v>
      </c>
      <c r="W25" s="1727">
        <f>J25</f>
        <v>100</v>
      </c>
      <c r="X25" s="2072"/>
      <c r="Y25" s="3468"/>
      <c r="Z25" s="2076" t="str">
        <f>Q25</f>
        <v>临街状况</v>
      </c>
      <c r="AA25" s="2067">
        <f t="shared" si="3"/>
        <v>1</v>
      </c>
      <c r="AB25" s="2067">
        <f t="shared" si="4"/>
        <v>1</v>
      </c>
      <c r="AC25" s="2067">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87"/>
      <c r="L26" s="2999"/>
      <c r="M26" s="2995"/>
      <c r="N26" s="2995"/>
      <c r="O26" s="2995"/>
      <c r="P26" s="3481"/>
      <c r="Q26" s="2069" t="str">
        <f t="shared" si="11"/>
        <v>平面位置/可视性</v>
      </c>
      <c r="R26" s="1726" t="s">
        <v>25</v>
      </c>
      <c r="S26" s="1727">
        <f>F26</f>
        <v>100</v>
      </c>
      <c r="T26" s="1726" t="s">
        <v>25</v>
      </c>
      <c r="U26" s="1727">
        <f>H26</f>
        <v>100</v>
      </c>
      <c r="V26" s="1726" t="s">
        <v>25</v>
      </c>
      <c r="W26" s="1727">
        <f>J26</f>
        <v>100</v>
      </c>
      <c r="X26" s="2072"/>
      <c r="Y26" s="3468"/>
      <c r="Z26" s="2076" t="str">
        <f>Q26</f>
        <v>平面位置/可视性</v>
      </c>
      <c r="AA26" s="2067">
        <f t="shared" si="3"/>
        <v>1</v>
      </c>
      <c r="AB26" s="2067">
        <f t="shared" si="4"/>
        <v>1</v>
      </c>
      <c r="AC26" s="2067">
        <f t="shared" si="5"/>
        <v>1</v>
      </c>
    </row>
    <row r="27" spans="1:29" s="1685" customFormat="1" ht="15">
      <c r="A27" s="1706"/>
      <c r="B27" s="1738" t="s">
        <v>2360</v>
      </c>
      <c r="C27" s="2474"/>
      <c r="D27" s="1757">
        <v>100</v>
      </c>
      <c r="E27" s="2474"/>
      <c r="F27" s="1759">
        <f>SUMIF(90:90,E27,91:91)-SUMIF(90:90,C27,91:91)+100</f>
        <v>100</v>
      </c>
      <c r="G27" s="2474"/>
      <c r="H27" s="1757">
        <f>SUMIF(90:90,G27,91:91)-SUMIF(90:90,C27,91:91)+100</f>
        <v>100</v>
      </c>
      <c r="I27" s="2474"/>
      <c r="J27" s="1757">
        <f>SUMIF(90:90,I27,91:91)-SUMIF(90:90,C27,91:91)+100</f>
        <v>100</v>
      </c>
      <c r="K27" s="1990"/>
      <c r="L27" s="2994"/>
      <c r="M27" s="2967"/>
      <c r="N27" s="2967"/>
      <c r="O27" s="2967"/>
      <c r="P27" s="3481"/>
      <c r="Q27" s="2063" t="str">
        <f t="shared" si="11"/>
        <v>人流量</v>
      </c>
      <c r="R27" s="1681" t="s">
        <v>25</v>
      </c>
      <c r="S27" s="1682">
        <f>F27</f>
        <v>100</v>
      </c>
      <c r="T27" s="1681" t="s">
        <v>25</v>
      </c>
      <c r="U27" s="1682">
        <f>H27</f>
        <v>100</v>
      </c>
      <c r="V27" s="1681" t="s">
        <v>25</v>
      </c>
      <c r="W27" s="1682">
        <f>J27</f>
        <v>100</v>
      </c>
      <c r="X27" s="1683"/>
      <c r="Y27" s="3468"/>
      <c r="Z27" s="1694" t="str">
        <f>Q27</f>
        <v>人流量</v>
      </c>
      <c r="AA27" s="2067">
        <f>D27/F27</f>
        <v>1</v>
      </c>
      <c r="AB27" s="2067">
        <f>D27/H27</f>
        <v>1</v>
      </c>
      <c r="AC27" s="2067">
        <f>D27/J27</f>
        <v>1</v>
      </c>
    </row>
    <row r="28" spans="1:29" ht="15">
      <c r="A28" s="1703"/>
      <c r="B28" s="1696" t="s">
        <v>2361</v>
      </c>
      <c r="C28" s="1989"/>
      <c r="D28" s="1712">
        <v>100</v>
      </c>
      <c r="E28" s="1989"/>
      <c r="F28" s="1755">
        <f>SUMIF(92:92,E28,93:93)-SUMIF(92:92,C28,93:93)+100</f>
        <v>100</v>
      </c>
      <c r="G28" s="1989"/>
      <c r="H28" s="1712">
        <f>SUMIF(92:92,G28,93:93)-SUMIF(92:92,C28,93:93)+100</f>
        <v>100</v>
      </c>
      <c r="I28" s="1989"/>
      <c r="J28" s="1712">
        <f>SUMIF(92:92,I28,93:93)-SUMIF(92:92,C28,93:93)+100</f>
        <v>100</v>
      </c>
      <c r="K28" s="1987"/>
      <c r="L28" s="2999"/>
      <c r="M28" s="2995"/>
      <c r="N28" s="2995"/>
      <c r="O28" s="2995"/>
      <c r="P28" s="3481"/>
      <c r="Q28" s="2069" t="str">
        <f t="shared" si="11"/>
        <v>楼层</v>
      </c>
      <c r="R28" s="1726" t="s">
        <v>25</v>
      </c>
      <c r="S28" s="1727">
        <f t="shared" ref="S28:S46" si="12">F28</f>
        <v>100</v>
      </c>
      <c r="T28" s="1726" t="s">
        <v>25</v>
      </c>
      <c r="U28" s="1727">
        <f t="shared" ref="U28:U46" si="13">H28</f>
        <v>100</v>
      </c>
      <c r="V28" s="1726" t="s">
        <v>25</v>
      </c>
      <c r="W28" s="1727">
        <f t="shared" ref="W28:W46" si="14">J28</f>
        <v>100</v>
      </c>
      <c r="X28" s="2072"/>
      <c r="Y28" s="3468"/>
      <c r="Z28" s="2076" t="str">
        <f t="shared" ref="Z28:Z46" si="15">Q28</f>
        <v>楼层</v>
      </c>
      <c r="AA28" s="2067">
        <f t="shared" si="3"/>
        <v>1</v>
      </c>
      <c r="AB28" s="2067">
        <f t="shared" si="4"/>
        <v>1</v>
      </c>
      <c r="AC28" s="2067">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2999"/>
      <c r="M29" s="2995"/>
      <c r="N29" s="2995"/>
      <c r="O29" s="2995"/>
      <c r="P29" s="3481"/>
      <c r="Q29" s="2069">
        <f t="shared" si="11"/>
        <v>111</v>
      </c>
      <c r="R29" s="1726" t="s">
        <v>25</v>
      </c>
      <c r="S29" s="1727">
        <f t="shared" si="12"/>
        <v>100</v>
      </c>
      <c r="T29" s="1726" t="s">
        <v>25</v>
      </c>
      <c r="U29" s="1727">
        <f t="shared" si="13"/>
        <v>100</v>
      </c>
      <c r="V29" s="1726" t="s">
        <v>25</v>
      </c>
      <c r="W29" s="1727">
        <f t="shared" si="14"/>
        <v>100</v>
      </c>
      <c r="X29" s="2072"/>
      <c r="Y29" s="3468"/>
      <c r="Z29" s="2076">
        <f t="shared" si="15"/>
        <v>111</v>
      </c>
      <c r="AA29" s="2067">
        <f t="shared" si="3"/>
        <v>1</v>
      </c>
      <c r="AB29" s="2067">
        <f t="shared" si="4"/>
        <v>1</v>
      </c>
      <c r="AC29" s="2067">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2999"/>
      <c r="M30" s="2995"/>
      <c r="N30" s="2995"/>
      <c r="O30" s="2995"/>
      <c r="P30" s="3481"/>
      <c r="Q30" s="2069">
        <f t="shared" si="11"/>
        <v>111</v>
      </c>
      <c r="R30" s="1726" t="s">
        <v>25</v>
      </c>
      <c r="S30" s="1727">
        <f t="shared" si="12"/>
        <v>100</v>
      </c>
      <c r="T30" s="1726" t="s">
        <v>25</v>
      </c>
      <c r="U30" s="1727">
        <f t="shared" si="13"/>
        <v>100</v>
      </c>
      <c r="V30" s="1726" t="s">
        <v>25</v>
      </c>
      <c r="W30" s="1727">
        <f t="shared" si="14"/>
        <v>100</v>
      </c>
      <c r="X30" s="2072"/>
      <c r="Y30" s="3468"/>
      <c r="Z30" s="2076">
        <f t="shared" si="15"/>
        <v>111</v>
      </c>
      <c r="AA30" s="2067">
        <f t="shared" si="3"/>
        <v>1</v>
      </c>
      <c r="AB30" s="2067">
        <f t="shared" si="4"/>
        <v>1</v>
      </c>
      <c r="AC30" s="2067">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2999"/>
      <c r="M31" s="2995"/>
      <c r="N31" s="2995"/>
      <c r="O31" s="2995"/>
      <c r="P31" s="3481"/>
      <c r="Q31" s="2069">
        <f t="shared" si="11"/>
        <v>111</v>
      </c>
      <c r="R31" s="1726" t="s">
        <v>25</v>
      </c>
      <c r="S31" s="1727">
        <f t="shared" si="12"/>
        <v>100</v>
      </c>
      <c r="T31" s="1726" t="s">
        <v>25</v>
      </c>
      <c r="U31" s="1727">
        <f t="shared" si="13"/>
        <v>100</v>
      </c>
      <c r="V31" s="1726" t="s">
        <v>25</v>
      </c>
      <c r="W31" s="1727">
        <f t="shared" si="14"/>
        <v>100</v>
      </c>
      <c r="X31" s="2072"/>
      <c r="Y31" s="3468"/>
      <c r="Z31" s="2076">
        <f t="shared" si="15"/>
        <v>111</v>
      </c>
      <c r="AA31" s="2067">
        <f t="shared" si="3"/>
        <v>1</v>
      </c>
      <c r="AB31" s="2067">
        <f t="shared" si="4"/>
        <v>1</v>
      </c>
      <c r="AC31" s="2067">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2999"/>
      <c r="M32" s="2995"/>
      <c r="N32" s="2995"/>
      <c r="O32" s="2995"/>
      <c r="P32" s="3469" t="s">
        <v>2276</v>
      </c>
      <c r="Q32" s="2069" t="str">
        <f t="shared" si="11"/>
        <v>商业类型</v>
      </c>
      <c r="R32" s="1726" t="s">
        <v>25</v>
      </c>
      <c r="S32" s="1727">
        <f t="shared" si="12"/>
        <v>100</v>
      </c>
      <c r="T32" s="1726" t="s">
        <v>25</v>
      </c>
      <c r="U32" s="1727">
        <f t="shared" si="13"/>
        <v>100</v>
      </c>
      <c r="V32" s="1726" t="s">
        <v>25</v>
      </c>
      <c r="W32" s="1727">
        <f t="shared" si="14"/>
        <v>100</v>
      </c>
      <c r="X32" s="2072"/>
      <c r="Y32" s="3472" t="s">
        <v>2276</v>
      </c>
      <c r="Z32" s="2076" t="str">
        <f t="shared" si="15"/>
        <v>商业类型</v>
      </c>
      <c r="AA32" s="2067">
        <f t="shared" si="3"/>
        <v>1</v>
      </c>
      <c r="AB32" s="2067">
        <f t="shared" si="4"/>
        <v>1</v>
      </c>
      <c r="AC32" s="2067">
        <f t="shared" si="5"/>
        <v>1</v>
      </c>
    </row>
    <row r="33" spans="1:29" s="1771" customFormat="1" ht="15">
      <c r="A33" s="1764"/>
      <c r="B33" s="1696" t="s">
        <v>2277</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2998"/>
      <c r="M33" s="2057"/>
      <c r="N33" s="2057"/>
      <c r="O33" s="2057"/>
      <c r="P33" s="3470"/>
      <c r="Q33" s="1766" t="str">
        <f t="shared" si="11"/>
        <v>项目建筑规模</v>
      </c>
      <c r="R33" s="1767" t="s">
        <v>25</v>
      </c>
      <c r="S33" s="1768" t="e">
        <f t="shared" si="12"/>
        <v>#N/A</v>
      </c>
      <c r="T33" s="1767" t="s">
        <v>25</v>
      </c>
      <c r="U33" s="1768" t="e">
        <f t="shared" si="13"/>
        <v>#N/A</v>
      </c>
      <c r="V33" s="1767" t="s">
        <v>25</v>
      </c>
      <c r="W33" s="1768" t="e">
        <f t="shared" si="14"/>
        <v>#N/A</v>
      </c>
      <c r="X33" s="1769"/>
      <c r="Y33" s="3472"/>
      <c r="Z33" s="1770" t="str">
        <f t="shared" si="15"/>
        <v>项目建筑规模</v>
      </c>
      <c r="AA33" s="2067" t="e">
        <f t="shared" si="3"/>
        <v>#N/A</v>
      </c>
      <c r="AB33" s="2067" t="e">
        <f t="shared" si="4"/>
        <v>#N/A</v>
      </c>
      <c r="AC33" s="2067" t="e">
        <f t="shared" si="5"/>
        <v>#N/A</v>
      </c>
    </row>
    <row r="34" spans="1:29" ht="15">
      <c r="A34" s="1772"/>
      <c r="B34" s="1696" t="s">
        <v>2278</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2999"/>
      <c r="M34" s="2995"/>
      <c r="N34" s="2995"/>
      <c r="O34" s="2995"/>
      <c r="P34" s="3470"/>
      <c r="Q34" s="2069" t="str">
        <f t="shared" si="11"/>
        <v>建筑结构</v>
      </c>
      <c r="R34" s="1726" t="s">
        <v>25</v>
      </c>
      <c r="S34" s="1727">
        <f t="shared" si="12"/>
        <v>100</v>
      </c>
      <c r="T34" s="1726" t="s">
        <v>25</v>
      </c>
      <c r="U34" s="1727">
        <f t="shared" si="13"/>
        <v>100</v>
      </c>
      <c r="V34" s="1726" t="s">
        <v>25</v>
      </c>
      <c r="W34" s="1727">
        <f t="shared" si="14"/>
        <v>100</v>
      </c>
      <c r="X34" s="2072"/>
      <c r="Y34" s="3472"/>
      <c r="Z34" s="2076" t="str">
        <f t="shared" si="15"/>
        <v>建筑结构</v>
      </c>
      <c r="AA34" s="2067">
        <f t="shared" si="3"/>
        <v>1</v>
      </c>
      <c r="AB34" s="2067">
        <f t="shared" si="4"/>
        <v>1</v>
      </c>
      <c r="AC34" s="2067">
        <f t="shared" si="5"/>
        <v>1</v>
      </c>
    </row>
    <row r="35" spans="1:29" ht="15">
      <c r="A35" s="1772"/>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2999"/>
      <c r="M35" s="2995"/>
      <c r="N35" s="2995"/>
      <c r="O35" s="2995"/>
      <c r="P35" s="3470"/>
      <c r="Q35" s="2069" t="str">
        <f t="shared" si="11"/>
        <v>公共部分装修</v>
      </c>
      <c r="R35" s="1726" t="s">
        <v>25</v>
      </c>
      <c r="S35" s="1727">
        <f t="shared" si="12"/>
        <v>100</v>
      </c>
      <c r="T35" s="1726" t="s">
        <v>25</v>
      </c>
      <c r="U35" s="1727">
        <f t="shared" si="13"/>
        <v>100</v>
      </c>
      <c r="V35" s="1726" t="s">
        <v>25</v>
      </c>
      <c r="W35" s="1727">
        <f t="shared" si="14"/>
        <v>100</v>
      </c>
      <c r="X35" s="2072"/>
      <c r="Y35" s="3472"/>
      <c r="Z35" s="2076" t="str">
        <f t="shared" si="15"/>
        <v>公共部分装修</v>
      </c>
      <c r="AA35" s="2067">
        <f t="shared" si="3"/>
        <v>1</v>
      </c>
      <c r="AB35" s="2067">
        <f t="shared" si="4"/>
        <v>1</v>
      </c>
      <c r="AC35" s="2067">
        <f t="shared" si="5"/>
        <v>1</v>
      </c>
    </row>
    <row r="36" spans="1:29" ht="15">
      <c r="A36" s="1772"/>
      <c r="B36" s="1696" t="s">
        <v>2364</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2999"/>
      <c r="M36" s="2995"/>
      <c r="N36" s="2995"/>
      <c r="O36" s="2995"/>
      <c r="P36" s="3470"/>
      <c r="Q36" s="2069" t="str">
        <f t="shared" si="11"/>
        <v>成新度</v>
      </c>
      <c r="R36" s="1726" t="s">
        <v>25</v>
      </c>
      <c r="S36" s="1727" t="e">
        <f t="shared" si="12"/>
        <v>#N/A</v>
      </c>
      <c r="T36" s="1726" t="s">
        <v>25</v>
      </c>
      <c r="U36" s="1727" t="e">
        <f t="shared" si="13"/>
        <v>#N/A</v>
      </c>
      <c r="V36" s="1726" t="s">
        <v>25</v>
      </c>
      <c r="W36" s="1727" t="e">
        <f t="shared" si="14"/>
        <v>#N/A</v>
      </c>
      <c r="X36" s="2072"/>
      <c r="Y36" s="3472"/>
      <c r="Z36" s="2076" t="str">
        <f t="shared" si="15"/>
        <v>成新度</v>
      </c>
      <c r="AA36" s="2067" t="e">
        <f t="shared" si="3"/>
        <v>#N/A</v>
      </c>
      <c r="AB36" s="2067" t="e">
        <f t="shared" si="4"/>
        <v>#N/A</v>
      </c>
      <c r="AC36" s="2067" t="e">
        <f t="shared" si="5"/>
        <v>#N/A</v>
      </c>
    </row>
    <row r="37" spans="1:29" s="1685" customFormat="1" ht="15">
      <c r="A37" s="1775"/>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2994"/>
      <c r="M37" s="2967"/>
      <c r="N37" s="2967"/>
      <c r="O37" s="2967"/>
      <c r="P37" s="3470"/>
      <c r="Q37" s="2063" t="str">
        <f t="shared" si="11"/>
        <v>市政基础设施</v>
      </c>
      <c r="R37" s="1681" t="s">
        <v>25</v>
      </c>
      <c r="S37" s="1682">
        <f t="shared" si="12"/>
        <v>100</v>
      </c>
      <c r="T37" s="1681" t="s">
        <v>25</v>
      </c>
      <c r="U37" s="1682">
        <f t="shared" si="13"/>
        <v>100</v>
      </c>
      <c r="V37" s="1681" t="s">
        <v>25</v>
      </c>
      <c r="W37" s="1682">
        <f t="shared" si="14"/>
        <v>100</v>
      </c>
      <c r="X37" s="1683"/>
      <c r="Y37" s="3472"/>
      <c r="Z37" s="1694" t="str">
        <f t="shared" si="15"/>
        <v>市政基础设施</v>
      </c>
      <c r="AA37" s="1684">
        <f t="shared" si="3"/>
        <v>1</v>
      </c>
      <c r="AB37" s="1684">
        <f t="shared" si="4"/>
        <v>1</v>
      </c>
      <c r="AC37" s="1684">
        <f t="shared" si="5"/>
        <v>1</v>
      </c>
    </row>
    <row r="38" spans="1:29" ht="15">
      <c r="A38" s="1772"/>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2999"/>
      <c r="M38" s="2995"/>
      <c r="N38" s="2995"/>
      <c r="O38" s="2995"/>
      <c r="P38" s="3470" t="s">
        <v>2276</v>
      </c>
      <c r="Q38" s="2069" t="str">
        <f t="shared" si="11"/>
        <v>业态</v>
      </c>
      <c r="R38" s="1726" t="s">
        <v>25</v>
      </c>
      <c r="S38" s="1727">
        <f t="shared" si="12"/>
        <v>100</v>
      </c>
      <c r="T38" s="1726" t="s">
        <v>25</v>
      </c>
      <c r="U38" s="1727">
        <f t="shared" si="13"/>
        <v>100</v>
      </c>
      <c r="V38" s="1726" t="s">
        <v>25</v>
      </c>
      <c r="W38" s="1727">
        <f t="shared" si="14"/>
        <v>100</v>
      </c>
      <c r="X38" s="2072"/>
      <c r="Y38" s="3472" t="s">
        <v>2276</v>
      </c>
      <c r="Z38" s="2076" t="str">
        <f t="shared" si="15"/>
        <v>业态</v>
      </c>
      <c r="AA38" s="2067">
        <f t="shared" si="3"/>
        <v>1</v>
      </c>
      <c r="AB38" s="2067">
        <f t="shared" si="4"/>
        <v>1</v>
      </c>
      <c r="AC38" s="2067">
        <f t="shared" si="5"/>
        <v>1</v>
      </c>
    </row>
    <row r="39" spans="1:29" ht="15">
      <c r="A39" s="1772"/>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2999"/>
      <c r="M39" s="2995"/>
      <c r="N39" s="2995"/>
      <c r="O39" s="2995"/>
      <c r="P39" s="3470"/>
      <c r="Q39" s="2069" t="str">
        <f t="shared" si="11"/>
        <v>层高</v>
      </c>
      <c r="R39" s="1726" t="s">
        <v>25</v>
      </c>
      <c r="S39" s="1727">
        <f t="shared" si="12"/>
        <v>100</v>
      </c>
      <c r="T39" s="1726" t="s">
        <v>25</v>
      </c>
      <c r="U39" s="1727">
        <f t="shared" si="13"/>
        <v>100</v>
      </c>
      <c r="V39" s="1726" t="s">
        <v>25</v>
      </c>
      <c r="W39" s="1727">
        <f t="shared" si="14"/>
        <v>100</v>
      </c>
      <c r="X39" s="2072"/>
      <c r="Y39" s="3472"/>
      <c r="Z39" s="2076" t="str">
        <f t="shared" si="15"/>
        <v>层高</v>
      </c>
      <c r="AA39" s="2067">
        <f t="shared" si="3"/>
        <v>1</v>
      </c>
      <c r="AB39" s="2067">
        <f t="shared" si="4"/>
        <v>1</v>
      </c>
      <c r="AC39" s="2067">
        <f t="shared" si="5"/>
        <v>1</v>
      </c>
    </row>
    <row r="40" spans="1:29" ht="15">
      <c r="A40" s="1772"/>
      <c r="B40" s="1696" t="s">
        <v>2368</v>
      </c>
      <c r="C40" s="2475"/>
      <c r="D40" s="1712">
        <v>100</v>
      </c>
      <c r="E40" s="2476"/>
      <c r="F40" s="1755">
        <f>SUMIF(118:118,E40,119:119)-SUMIF(118:118,C40,119:119)+100</f>
        <v>100</v>
      </c>
      <c r="G40" s="2476"/>
      <c r="H40" s="1712">
        <f>SUMIF(118:118,G40,119:119)-SUMIF(118:118,C40,119:119)+100</f>
        <v>100</v>
      </c>
      <c r="I40" s="2476"/>
      <c r="J40" s="1712">
        <f>SUMIF(118:118,I40,119:119)-SUMIF(118:118,C40,119:119)+100</f>
        <v>100</v>
      </c>
      <c r="K40" s="1987"/>
      <c r="L40" s="2999"/>
      <c r="M40" s="2995"/>
      <c r="N40" s="2995"/>
      <c r="O40" s="2995"/>
      <c r="P40" s="3470"/>
      <c r="Q40" s="2069" t="str">
        <f t="shared" si="11"/>
        <v>单套建筑面积</v>
      </c>
      <c r="R40" s="1726" t="s">
        <v>25</v>
      </c>
      <c r="S40" s="1727">
        <f t="shared" si="12"/>
        <v>100</v>
      </c>
      <c r="T40" s="1726" t="s">
        <v>25</v>
      </c>
      <c r="U40" s="1727">
        <f t="shared" si="13"/>
        <v>100</v>
      </c>
      <c r="V40" s="1726" t="s">
        <v>25</v>
      </c>
      <c r="W40" s="1727">
        <f t="shared" si="14"/>
        <v>100</v>
      </c>
      <c r="X40" s="2072"/>
      <c r="Y40" s="3472"/>
      <c r="Z40" s="2076" t="str">
        <f t="shared" si="15"/>
        <v>单套建筑面积</v>
      </c>
      <c r="AA40" s="2067">
        <f t="shared" si="3"/>
        <v>1</v>
      </c>
      <c r="AB40" s="2067">
        <f t="shared" si="4"/>
        <v>1</v>
      </c>
      <c r="AC40" s="2067">
        <f t="shared" si="5"/>
        <v>1</v>
      </c>
    </row>
    <row r="41" spans="1:29" s="1771" customFormat="1" ht="15">
      <c r="A41" s="1764"/>
      <c r="B41" s="2068" t="s">
        <v>2369</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2998"/>
      <c r="M41" s="2057"/>
      <c r="N41" s="2057"/>
      <c r="O41" s="2057"/>
      <c r="P41" s="3470"/>
      <c r="Q41" s="1766" t="str">
        <f t="shared" si="11"/>
        <v>进深比</v>
      </c>
      <c r="R41" s="1767" t="s">
        <v>25</v>
      </c>
      <c r="S41" s="1768">
        <f t="shared" si="12"/>
        <v>100</v>
      </c>
      <c r="T41" s="1767" t="s">
        <v>25</v>
      </c>
      <c r="U41" s="1768">
        <f t="shared" si="13"/>
        <v>100</v>
      </c>
      <c r="V41" s="1767" t="s">
        <v>25</v>
      </c>
      <c r="W41" s="1768">
        <f t="shared" si="14"/>
        <v>100</v>
      </c>
      <c r="X41" s="1769"/>
      <c r="Y41" s="3472"/>
      <c r="Z41" s="1770" t="str">
        <f t="shared" si="15"/>
        <v>进深比</v>
      </c>
      <c r="AA41" s="2067">
        <f t="shared" si="3"/>
        <v>1</v>
      </c>
      <c r="AB41" s="2067">
        <f t="shared" si="4"/>
        <v>1</v>
      </c>
      <c r="AC41" s="2067">
        <f t="shared" si="5"/>
        <v>1</v>
      </c>
    </row>
    <row r="42" spans="1:29" ht="15">
      <c r="A42" s="1772"/>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2999"/>
      <c r="M42" s="2995"/>
      <c r="N42" s="2995"/>
      <c r="O42" s="2995"/>
      <c r="P42" s="3470"/>
      <c r="Q42" s="2069" t="str">
        <f t="shared" si="11"/>
        <v>内部装修</v>
      </c>
      <c r="R42" s="1726" t="s">
        <v>25</v>
      </c>
      <c r="S42" s="1727">
        <f t="shared" si="12"/>
        <v>100</v>
      </c>
      <c r="T42" s="1726" t="s">
        <v>25</v>
      </c>
      <c r="U42" s="1727">
        <f t="shared" si="13"/>
        <v>100</v>
      </c>
      <c r="V42" s="1726" t="s">
        <v>25</v>
      </c>
      <c r="W42" s="1727">
        <f t="shared" si="14"/>
        <v>100</v>
      </c>
      <c r="X42" s="2072"/>
      <c r="Y42" s="3472"/>
      <c r="Z42" s="2076" t="str">
        <f t="shared" si="15"/>
        <v>内部装修</v>
      </c>
      <c r="AA42" s="2067">
        <f t="shared" si="3"/>
        <v>1</v>
      </c>
      <c r="AB42" s="2067">
        <f t="shared" si="4"/>
        <v>1</v>
      </c>
      <c r="AC42" s="2067">
        <f t="shared" si="5"/>
        <v>1</v>
      </c>
    </row>
    <row r="43" spans="1:29" ht="15">
      <c r="A43" s="1772"/>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2999"/>
      <c r="M43" s="2995"/>
      <c r="N43" s="2995"/>
      <c r="O43" s="2995"/>
      <c r="P43" s="3470"/>
      <c r="Q43" s="2069" t="str">
        <f t="shared" si="11"/>
        <v>内部装修维护情况</v>
      </c>
      <c r="R43" s="1726" t="s">
        <v>25</v>
      </c>
      <c r="S43" s="1727">
        <f t="shared" si="12"/>
        <v>100</v>
      </c>
      <c r="T43" s="1726" t="s">
        <v>25</v>
      </c>
      <c r="U43" s="1727">
        <f t="shared" si="13"/>
        <v>100</v>
      </c>
      <c r="V43" s="1726" t="s">
        <v>25</v>
      </c>
      <c r="W43" s="1727">
        <f t="shared" si="14"/>
        <v>100</v>
      </c>
      <c r="X43" s="2072"/>
      <c r="Y43" s="3472"/>
      <c r="Z43" s="2076" t="str">
        <f t="shared" si="15"/>
        <v>内部装修维护情况</v>
      </c>
      <c r="AA43" s="2067">
        <f t="shared" si="3"/>
        <v>1</v>
      </c>
      <c r="AB43" s="2067">
        <f t="shared" si="4"/>
        <v>1</v>
      </c>
      <c r="AC43" s="2067">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2994"/>
      <c r="M44" s="2967"/>
      <c r="N44" s="2967"/>
      <c r="O44" s="2967"/>
      <c r="P44" s="3470"/>
      <c r="Q44" s="2063">
        <f t="shared" si="11"/>
        <v>111</v>
      </c>
      <c r="R44" s="1681" t="s">
        <v>25</v>
      </c>
      <c r="S44" s="1682">
        <f t="shared" si="12"/>
        <v>100</v>
      </c>
      <c r="T44" s="1681" t="s">
        <v>25</v>
      </c>
      <c r="U44" s="1682">
        <f t="shared" si="13"/>
        <v>100</v>
      </c>
      <c r="V44" s="1681" t="s">
        <v>25</v>
      </c>
      <c r="W44" s="1682">
        <f t="shared" si="14"/>
        <v>100</v>
      </c>
      <c r="X44" s="1683"/>
      <c r="Y44" s="3472"/>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2999"/>
      <c r="M45" s="2995"/>
      <c r="N45" s="2995"/>
      <c r="O45" s="2995"/>
      <c r="P45" s="3470"/>
      <c r="Q45" s="2069">
        <f t="shared" si="11"/>
        <v>111</v>
      </c>
      <c r="R45" s="1726" t="s">
        <v>25</v>
      </c>
      <c r="S45" s="1727">
        <f t="shared" si="12"/>
        <v>100</v>
      </c>
      <c r="T45" s="1726" t="s">
        <v>25</v>
      </c>
      <c r="U45" s="1727">
        <f t="shared" si="13"/>
        <v>100</v>
      </c>
      <c r="V45" s="1726" t="s">
        <v>25</v>
      </c>
      <c r="W45" s="1727">
        <f t="shared" si="14"/>
        <v>100</v>
      </c>
      <c r="X45" s="2072"/>
      <c r="Y45" s="3472"/>
      <c r="Z45" s="2076">
        <f t="shared" si="15"/>
        <v>111</v>
      </c>
      <c r="AA45" s="2067">
        <f t="shared" si="3"/>
        <v>1</v>
      </c>
      <c r="AB45" s="2067">
        <f t="shared" si="4"/>
        <v>1</v>
      </c>
      <c r="AC45" s="2067">
        <f t="shared" si="5"/>
        <v>1</v>
      </c>
    </row>
    <row r="46" spans="1:29" ht="15.75"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2999"/>
      <c r="M46" s="2995"/>
      <c r="N46" s="2995"/>
      <c r="O46" s="2995"/>
      <c r="P46" s="3471"/>
      <c r="Q46" s="2069">
        <f t="shared" si="11"/>
        <v>111</v>
      </c>
      <c r="R46" s="1726" t="s">
        <v>25</v>
      </c>
      <c r="S46" s="1727">
        <f t="shared" si="12"/>
        <v>100</v>
      </c>
      <c r="T46" s="1726" t="s">
        <v>25</v>
      </c>
      <c r="U46" s="1727">
        <f t="shared" si="13"/>
        <v>100</v>
      </c>
      <c r="V46" s="1726" t="s">
        <v>25</v>
      </c>
      <c r="W46" s="1727">
        <f t="shared" si="14"/>
        <v>100</v>
      </c>
      <c r="X46" s="2072"/>
      <c r="Y46" s="3473"/>
      <c r="Z46" s="2076">
        <f t="shared" si="15"/>
        <v>111</v>
      </c>
      <c r="AA46" s="2067">
        <f t="shared" si="3"/>
        <v>1</v>
      </c>
      <c r="AB46" s="2067">
        <f t="shared" si="4"/>
        <v>1</v>
      </c>
      <c r="AC46" s="2067">
        <f t="shared" si="5"/>
        <v>1</v>
      </c>
    </row>
    <row r="47" spans="1:29" ht="15">
      <c r="A47" s="1779" t="s">
        <v>2288</v>
      </c>
      <c r="B47" s="1780"/>
      <c r="C47" s="1781" t="s">
        <v>1</v>
      </c>
      <c r="D47" s="1782"/>
      <c r="E47" s="1783"/>
      <c r="F47" s="1784"/>
      <c r="G47" s="1785"/>
      <c r="H47" s="1786"/>
      <c r="I47" s="1783"/>
      <c r="J47" s="1786"/>
      <c r="K47" s="2011"/>
      <c r="L47" s="3000"/>
      <c r="N47" s="2995"/>
      <c r="P47" s="3478" t="str">
        <f>A47</f>
        <v>成交单价（元/平方米）</v>
      </c>
      <c r="Q47" s="3478"/>
      <c r="R47" s="3479">
        <f>E47</f>
        <v>0</v>
      </c>
      <c r="S47" s="3479"/>
      <c r="T47" s="3479">
        <f>G47</f>
        <v>0</v>
      </c>
      <c r="U47" s="3479"/>
      <c r="V47" s="3479">
        <f>I47</f>
        <v>0</v>
      </c>
      <c r="W47" s="3479"/>
      <c r="X47" s="1789"/>
      <c r="Y47" s="2071"/>
      <c r="Z47" s="1789"/>
      <c r="AA47" s="1789"/>
      <c r="AB47" s="1789"/>
      <c r="AC47" s="1789"/>
    </row>
    <row r="48" spans="1:29" ht="15.75" thickBot="1">
      <c r="A48" s="1791" t="s">
        <v>2371</v>
      </c>
      <c r="B48" s="1792"/>
      <c r="C48" s="1793" t="e">
        <f>R49</f>
        <v>#DIV/0!</v>
      </c>
      <c r="D48" s="1794" t="s">
        <v>2745</v>
      </c>
      <c r="E48" s="1795" t="e">
        <f>R48</f>
        <v>#DIV/0!</v>
      </c>
      <c r="F48" s="1796"/>
      <c r="G48" s="1793" t="e">
        <f>T48</f>
        <v>#DIV/0!</v>
      </c>
      <c r="H48" s="1796"/>
      <c r="I48" s="1795" t="e">
        <f>V48</f>
        <v>#DIV/0!</v>
      </c>
      <c r="J48" s="1796"/>
      <c r="K48" s="2508">
        <f>F48+H48+J48</f>
        <v>0</v>
      </c>
      <c r="L48" s="3000"/>
      <c r="N48" s="2995"/>
      <c r="P48" s="3478" t="str">
        <f>A48</f>
        <v>比较价值（元/平方米）</v>
      </c>
      <c r="Q48" s="3478"/>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789"/>
      <c r="Y48" s="1789"/>
      <c r="Z48" s="1789"/>
      <c r="AA48" s="1789"/>
      <c r="AB48" s="1789"/>
      <c r="AC48" s="1789"/>
    </row>
    <row r="49" spans="1:29" ht="15.75" thickBot="1">
      <c r="A49" s="1797" t="s">
        <v>2372</v>
      </c>
      <c r="B49" s="1798"/>
      <c r="C49" s="1800" t="e">
        <f>R49</f>
        <v>#DIV/0!</v>
      </c>
      <c r="D49" s="1800"/>
      <c r="E49" s="1800"/>
      <c r="F49" s="1800"/>
      <c r="G49" s="1800"/>
      <c r="H49" s="1800"/>
      <c r="I49" s="1800"/>
      <c r="J49" s="1800"/>
      <c r="K49" s="2016"/>
      <c r="L49" s="3000"/>
      <c r="N49" s="2995"/>
      <c r="P49" s="3484" t="str">
        <f>A49</f>
        <v>估价对象XX用房的比较价值（楼面单价，元/平方米）</v>
      </c>
      <c r="Q49" s="3485"/>
      <c r="R49" s="3486" t="e">
        <f>IF(E1="售价",ROUND(IF(D48="简单平均",AVERAGE(R48:V48),R48*F48+T48*H48+V48*J48),0),ROUND(IF(D48="简单平均",AVERAGE(R48:V48),R48*F48+T48*H48+V48*J48),1))</f>
        <v>#DIV/0!</v>
      </c>
      <c r="S49" s="3486"/>
      <c r="T49" s="3486"/>
      <c r="U49" s="3486"/>
      <c r="V49" s="3486"/>
      <c r="W49" s="3486"/>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1.75"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5">
      <c r="A61" s="1837" t="s">
        <v>2260</v>
      </c>
      <c r="B61" s="1827"/>
      <c r="C61" s="1838" t="s">
        <v>2261</v>
      </c>
      <c r="D61" s="409"/>
      <c r="E61" s="409"/>
      <c r="F61" s="409"/>
      <c r="G61" s="409"/>
      <c r="H61" s="409"/>
      <c r="I61" s="409"/>
      <c r="J61" s="409"/>
      <c r="K61" s="409"/>
      <c r="L61" s="409"/>
      <c r="M61" s="1839"/>
      <c r="N61" s="3012"/>
      <c r="O61" s="3012"/>
      <c r="P61" s="1841"/>
      <c r="Q61" s="1819"/>
    </row>
    <row r="62" spans="1:29" s="1685"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2299</v>
      </c>
      <c r="B63" s="1845" t="s">
        <v>2264</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1"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71" customFormat="1" ht="15.75" thickBot="1">
      <c r="A71" s="1867"/>
      <c r="B71" s="1859"/>
      <c r="C71" s="1872"/>
      <c r="D71" s="1853"/>
      <c r="E71" s="1853"/>
      <c r="F71" s="1853"/>
      <c r="G71" s="1853"/>
      <c r="H71" s="1853"/>
      <c r="I71" s="1853"/>
      <c r="J71" s="1853"/>
      <c r="K71" s="1853"/>
      <c r="L71" s="1853"/>
      <c r="M71" s="1854"/>
      <c r="N71" s="3014"/>
      <c r="O71" s="3014"/>
      <c r="P71" s="1870"/>
      <c r="Q71" s="1871"/>
    </row>
    <row r="72" spans="1:17" s="1771"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71" customFormat="1" ht="15.75" thickBot="1">
      <c r="A73" s="1867"/>
      <c r="B73" s="1859"/>
      <c r="C73" s="1872"/>
      <c r="D73" s="1853"/>
      <c r="E73" s="1853"/>
      <c r="F73" s="1853"/>
      <c r="G73" s="1872"/>
      <c r="H73" s="1875"/>
      <c r="I73" s="1875"/>
      <c r="J73" s="1875"/>
      <c r="K73" s="1875"/>
      <c r="L73" s="1875"/>
      <c r="M73" s="1876"/>
      <c r="N73" s="3015"/>
      <c r="O73" s="3015"/>
      <c r="P73" s="1870"/>
      <c r="Q73" s="1871"/>
    </row>
    <row r="74" spans="1:17" s="1771"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71"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6"/>
      <c r="N83" s="3014"/>
      <c r="O83" s="3014"/>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75" thickTop="1">
      <c r="A86" s="1887"/>
      <c r="B86" s="1856" t="s">
        <v>2377</v>
      </c>
      <c r="C86" s="468"/>
      <c r="D86" s="468"/>
      <c r="E86" s="468"/>
      <c r="F86" s="468"/>
      <c r="G86" s="468"/>
      <c r="H86" s="468"/>
      <c r="I86" s="468"/>
      <c r="J86" s="468"/>
      <c r="K86" s="468"/>
      <c r="L86" s="468"/>
      <c r="M86" s="1888"/>
      <c r="N86" s="3012"/>
      <c r="O86" s="3012"/>
      <c r="P86" s="1850"/>
      <c r="Q86" s="1819"/>
    </row>
    <row r="87" spans="1:17" s="1685"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5.75" thickBot="1">
      <c r="A89" s="1887"/>
      <c r="B89" s="1859"/>
      <c r="C89" s="1872"/>
      <c r="D89" s="1853"/>
      <c r="E89" s="1853"/>
      <c r="F89" s="1853"/>
      <c r="G89" s="1853"/>
      <c r="H89" s="1853"/>
      <c r="I89" s="1853"/>
      <c r="J89" s="1853"/>
      <c r="K89" s="1853"/>
      <c r="L89" s="1853"/>
      <c r="M89" s="1853"/>
      <c r="N89" s="3014"/>
      <c r="O89" s="3014"/>
      <c r="P89" s="1850"/>
      <c r="Q89" s="1819"/>
    </row>
    <row r="90" spans="1:17" s="1771"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71"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8"/>
      <c r="H94" s="1578"/>
      <c r="I94" s="1578"/>
      <c r="J94" s="1578"/>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8"/>
      <c r="H96" s="1578"/>
      <c r="I96" s="1578"/>
      <c r="J96" s="1578"/>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1" customFormat="1">
      <c r="A103" s="1897"/>
      <c r="B103" s="1898"/>
      <c r="C103" s="1899"/>
      <c r="D103" s="1899"/>
      <c r="E103" s="1899"/>
      <c r="F103" s="1899"/>
      <c r="G103" s="1899"/>
      <c r="H103" s="1899"/>
      <c r="I103" s="1899"/>
      <c r="J103" s="485"/>
      <c r="K103" s="485"/>
      <c r="L103" s="485"/>
      <c r="M103" s="1900"/>
      <c r="N103" s="3015"/>
      <c r="O103" s="3015"/>
      <c r="P103" s="1870"/>
      <c r="Q103" s="1871"/>
    </row>
    <row r="104" spans="1:17" s="1771"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8"/>
      <c r="F105" s="1578"/>
      <c r="G105" s="1578"/>
      <c r="H105" s="1578"/>
      <c r="I105" s="1578"/>
      <c r="J105" s="1578"/>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8"/>
      <c r="G107" s="1578"/>
      <c r="H107" s="1578"/>
      <c r="I107" s="1578"/>
      <c r="J107" s="1578"/>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1" customFormat="1" ht="15" thickTop="1">
      <c r="A112" s="1897"/>
      <c r="B112" s="1856" t="s">
        <v>2330</v>
      </c>
      <c r="C112" s="468"/>
      <c r="D112" s="468"/>
      <c r="E112" s="468"/>
      <c r="F112" s="468"/>
      <c r="G112" s="468"/>
      <c r="H112" s="1578"/>
      <c r="I112" s="1578"/>
      <c r="J112" s="1578"/>
      <c r="K112" s="473"/>
      <c r="L112" s="473"/>
      <c r="M112" s="1891"/>
      <c r="N112" s="3015"/>
      <c r="O112" s="3015"/>
      <c r="P112" s="1870"/>
      <c r="Q112" s="1871"/>
    </row>
    <row r="113" spans="1:17" s="1771"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8"/>
      <c r="F114" s="1578"/>
      <c r="G114" s="1578"/>
      <c r="H114" s="1578"/>
      <c r="I114" s="1578"/>
      <c r="J114" s="1578"/>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8"/>
      <c r="I116" s="1578"/>
      <c r="J116" s="1578"/>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71" customFormat="1" ht="15" thickTop="1">
      <c r="A120" s="1897"/>
      <c r="B120" s="1856" t="s">
        <v>2382</v>
      </c>
      <c r="C120" s="1578"/>
      <c r="D120" s="1578"/>
      <c r="E120" s="1578"/>
      <c r="F120" s="1578"/>
      <c r="G120" s="443"/>
      <c r="H120" s="443"/>
      <c r="I120" s="443"/>
      <c r="J120" s="443"/>
      <c r="K120" s="443"/>
      <c r="L120" s="443"/>
      <c r="M120" s="1868"/>
      <c r="N120" s="3015"/>
      <c r="O120" s="3015"/>
      <c r="P120" s="1870"/>
      <c r="Q120" s="1871"/>
    </row>
    <row r="121" spans="1:17" s="1771"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8"/>
      <c r="G122" s="1578"/>
      <c r="H122" s="1578"/>
      <c r="I122" s="1578"/>
      <c r="J122" s="1578"/>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71"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4"/>
      <c r="AC1" s="1647"/>
    </row>
    <row r="2" spans="1:29" s="1957" customFormat="1" ht="28.5" customHeight="1" thickTop="1">
      <c r="A2" s="1649" t="s">
        <v>1913</v>
      </c>
      <c r="B2" s="1650" t="e">
        <f ca="1">IF(D2="——",IF(C2="元",ROUND(C50*D3,0),ROUND(C50*D3/10000,0)),IF(C2="元",ROUND(C50*D3,0),ROUND(C50*D3/10000,0))-E2)</f>
        <v>#DIV/0!</v>
      </c>
      <c r="C2" s="1651" t="str">
        <f>'数据-取费表'!B3</f>
        <v>元</v>
      </c>
      <c r="D2" s="1652"/>
      <c r="E2" s="2485"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9" t="s">
        <v>1914</v>
      </c>
      <c r="B3" s="1960" t="e">
        <f ca="1">ROUND(IF(D2="——",C50,IF(C2="万元",B2*10000/D3,B2/D3)),0)</f>
        <v>#DIV/0!</v>
      </c>
      <c r="C3" s="1660" t="s">
        <v>2244</v>
      </c>
      <c r="D3" s="1660">
        <f>IF(C1="仅计算典型户型",'数据-取费表'!E5,'数据-取费表'!B5)</f>
        <v>353.61</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5">
      <c r="A4" s="1663" t="s">
        <v>2245</v>
      </c>
      <c r="B4" s="1664"/>
      <c r="C4" s="3442" t="s">
        <v>2246</v>
      </c>
      <c r="D4" s="3443"/>
      <c r="E4" s="3444" t="s">
        <v>2247</v>
      </c>
      <c r="F4" s="3445"/>
      <c r="G4" s="3442" t="s">
        <v>2248</v>
      </c>
      <c r="H4" s="3443"/>
      <c r="I4" s="3442" t="s">
        <v>2249</v>
      </c>
      <c r="J4" s="3443"/>
      <c r="K4" s="1963" t="s">
        <v>2250</v>
      </c>
      <c r="L4" s="2994"/>
      <c r="M4" s="2995"/>
      <c r="N4" s="2995"/>
      <c r="O4" s="2995"/>
      <c r="P4" s="3446" t="s">
        <v>2251</v>
      </c>
      <c r="Q4" s="3447"/>
      <c r="R4" s="3452" t="s">
        <v>2247</v>
      </c>
      <c r="S4" s="3453"/>
      <c r="T4" s="3452" t="s">
        <v>2248</v>
      </c>
      <c r="U4" s="3453"/>
      <c r="V4" s="3458" t="s">
        <v>2249</v>
      </c>
      <c r="W4" s="3458"/>
      <c r="X4" s="2072"/>
      <c r="Y4" s="3452" t="s">
        <v>2251</v>
      </c>
      <c r="Z4" s="3453"/>
      <c r="AA4" s="3439" t="s">
        <v>2247</v>
      </c>
      <c r="AB4" s="3439" t="s">
        <v>2248</v>
      </c>
      <c r="AC4" s="3439" t="s">
        <v>2249</v>
      </c>
    </row>
    <row r="5" spans="1:29" ht="15">
      <c r="A5" s="1668"/>
      <c r="B5" s="1669"/>
      <c r="C5" s="3461" t="s">
        <v>2252</v>
      </c>
      <c r="D5" s="3462"/>
      <c r="E5" s="3459" t="s">
        <v>2253</v>
      </c>
      <c r="F5" s="3460"/>
      <c r="G5" s="3461" t="s">
        <v>2254</v>
      </c>
      <c r="H5" s="3462"/>
      <c r="I5" s="3461" t="s">
        <v>2255</v>
      </c>
      <c r="J5" s="3462"/>
      <c r="K5" s="1963"/>
      <c r="L5" s="2994"/>
      <c r="M5" s="2995"/>
      <c r="N5" s="2995"/>
      <c r="O5" s="2995"/>
      <c r="P5" s="3448"/>
      <c r="Q5" s="3449"/>
      <c r="R5" s="3454"/>
      <c r="S5" s="3455"/>
      <c r="T5" s="3454"/>
      <c r="U5" s="3455"/>
      <c r="V5" s="3458"/>
      <c r="W5" s="3458"/>
      <c r="X5" s="2072"/>
      <c r="Y5" s="3454"/>
      <c r="Z5" s="3455"/>
      <c r="AA5" s="3440"/>
      <c r="AB5" s="3440"/>
      <c r="AC5" s="3440"/>
    </row>
    <row r="6" spans="1:29" ht="15.75" thickBot="1">
      <c r="A6" s="1671"/>
      <c r="B6" s="1672"/>
      <c r="C6" s="3463" t="s">
        <v>2256</v>
      </c>
      <c r="D6" s="3464"/>
      <c r="E6" s="3465" t="s">
        <v>2256</v>
      </c>
      <c r="F6" s="3466"/>
      <c r="G6" s="3463" t="s">
        <v>2256</v>
      </c>
      <c r="H6" s="3464"/>
      <c r="I6" s="3463" t="s">
        <v>2256</v>
      </c>
      <c r="J6" s="3464"/>
      <c r="K6" s="1963" t="s">
        <v>2257</v>
      </c>
      <c r="L6" s="2994"/>
      <c r="M6" s="2995"/>
      <c r="N6" s="2995"/>
      <c r="O6" s="2995"/>
      <c r="P6" s="3450"/>
      <c r="Q6" s="3451"/>
      <c r="R6" s="3454"/>
      <c r="S6" s="3455"/>
      <c r="T6" s="3456"/>
      <c r="U6" s="3457"/>
      <c r="V6" s="3458"/>
      <c r="W6" s="3458"/>
      <c r="X6" s="2072"/>
      <c r="Y6" s="3456"/>
      <c r="Z6" s="3457"/>
      <c r="AA6" s="3441"/>
      <c r="AB6" s="3441"/>
      <c r="AC6" s="3441"/>
    </row>
    <row r="7" spans="1:29" s="1685" customFormat="1" ht="15.75" thickBot="1">
      <c r="A7" s="1673" t="s">
        <v>2258</v>
      </c>
      <c r="B7" s="1674"/>
      <c r="C7" s="1675">
        <f>'数据-取费表'!B2</f>
        <v>44342</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74" t="s">
        <v>2259</v>
      </c>
      <c r="Q7" s="3476"/>
      <c r="R7" s="1681" t="s">
        <v>25</v>
      </c>
      <c r="S7" s="1682">
        <f t="shared" ref="S7:S15" si="0">F7</f>
        <v>0</v>
      </c>
      <c r="T7" s="1681" t="s">
        <v>25</v>
      </c>
      <c r="U7" s="1682">
        <f t="shared" ref="U7:U15" si="1">H7</f>
        <v>0</v>
      </c>
      <c r="V7" s="1681" t="s">
        <v>25</v>
      </c>
      <c r="W7" s="1682">
        <f t="shared" ref="W7:W15" si="2">J7</f>
        <v>0</v>
      </c>
      <c r="X7" s="1683"/>
      <c r="Y7" s="3474" t="s">
        <v>2259</v>
      </c>
      <c r="Z7" s="347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74" t="s">
        <v>2262</v>
      </c>
      <c r="Q8" s="3475"/>
      <c r="R8" s="1681" t="s">
        <v>25</v>
      </c>
      <c r="S8" s="1682">
        <f t="shared" si="0"/>
        <v>0</v>
      </c>
      <c r="T8" s="1681" t="s">
        <v>25</v>
      </c>
      <c r="U8" s="1682">
        <f t="shared" si="1"/>
        <v>0</v>
      </c>
      <c r="V8" s="1681" t="s">
        <v>25</v>
      </c>
      <c r="W8" s="1682">
        <f t="shared" si="2"/>
        <v>0</v>
      </c>
      <c r="X8" s="1683"/>
      <c r="Y8" s="3474" t="s">
        <v>2262</v>
      </c>
      <c r="Z8" s="3475"/>
      <c r="AA8" s="1684" t="e">
        <f t="shared" ref="AA8:AA47" si="3">D8/F8</f>
        <v>#DIV/0!</v>
      </c>
      <c r="AB8" s="1684" t="e">
        <f t="shared" ref="AB8:AB47" si="4">D8/H8</f>
        <v>#DIV/0!</v>
      </c>
      <c r="AC8" s="1684" t="e">
        <f t="shared" ref="AC8:AC47" si="5">D8/J8</f>
        <v>#DIV/0!</v>
      </c>
    </row>
    <row r="9" spans="1:29" s="1685" customFormat="1">
      <c r="A9" s="2064"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5"/>
      <c r="L9" s="2994"/>
      <c r="M9" s="2967"/>
      <c r="N9" s="2967"/>
      <c r="O9" s="2967"/>
      <c r="P9" s="3478" t="s">
        <v>2265</v>
      </c>
      <c r="Q9" s="2912" t="str">
        <f t="shared" ref="Q9:Q15" si="6">B9</f>
        <v>用途</v>
      </c>
      <c r="R9" s="1681" t="s">
        <v>25</v>
      </c>
      <c r="S9" s="1682">
        <f t="shared" si="0"/>
        <v>100</v>
      </c>
      <c r="T9" s="1681" t="s">
        <v>25</v>
      </c>
      <c r="U9" s="1682">
        <f t="shared" si="1"/>
        <v>100</v>
      </c>
      <c r="V9" s="1681" t="s">
        <v>25</v>
      </c>
      <c r="W9" s="1682">
        <f t="shared" si="2"/>
        <v>100</v>
      </c>
      <c r="X9" s="1683"/>
      <c r="Y9" s="3340"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0"/>
      <c r="L10" s="2996"/>
      <c r="M10" s="2997"/>
      <c r="N10" s="2997"/>
      <c r="O10" s="2997"/>
      <c r="P10" s="3478"/>
      <c r="Q10" s="2912" t="str">
        <f t="shared" si="6"/>
        <v>土地使用年限（年）</v>
      </c>
      <c r="R10" s="1681" t="s">
        <v>25</v>
      </c>
      <c r="S10" s="1682">
        <f t="shared" si="0"/>
        <v>100</v>
      </c>
      <c r="T10" s="1681" t="s">
        <v>25</v>
      </c>
      <c r="U10" s="1682">
        <f t="shared" si="1"/>
        <v>100</v>
      </c>
      <c r="V10" s="1681" t="s">
        <v>25</v>
      </c>
      <c r="W10" s="1682">
        <f t="shared" si="2"/>
        <v>100</v>
      </c>
      <c r="X10" s="1683"/>
      <c r="Y10" s="3340"/>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2998"/>
      <c r="M11" s="2995"/>
      <c r="N11" s="2995"/>
      <c r="O11" s="2995"/>
      <c r="P11" s="3478"/>
      <c r="Q11" s="2912" t="str">
        <f t="shared" si="6"/>
        <v>容积率</v>
      </c>
      <c r="R11" s="1681" t="s">
        <v>25</v>
      </c>
      <c r="S11" s="1682" t="e">
        <f t="shared" si="0"/>
        <v>#N/A</v>
      </c>
      <c r="T11" s="1681" t="s">
        <v>25</v>
      </c>
      <c r="U11" s="1682" t="e">
        <f t="shared" si="1"/>
        <v>#N/A</v>
      </c>
      <c r="V11" s="1681" t="s">
        <v>25</v>
      </c>
      <c r="W11" s="1682" t="e">
        <f t="shared" si="2"/>
        <v>#N/A</v>
      </c>
      <c r="X11" s="1683"/>
      <c r="Y11" s="334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8"/>
      <c r="H12" s="1698">
        <f>SUMIF(71:71,G12,72:72)-SUMIF(71:71,C12,72:72)+100</f>
        <v>100</v>
      </c>
      <c r="I12" s="1708"/>
      <c r="J12" s="1698">
        <f>SUMIF(71:71,I12,72:72)-SUMIF(71:71,C12,72:72)+100</f>
        <v>100</v>
      </c>
      <c r="K12" s="1987"/>
      <c r="L12" s="2994"/>
      <c r="M12" s="2967"/>
      <c r="N12" s="2967"/>
      <c r="O12" s="2967"/>
      <c r="P12" s="3478"/>
      <c r="Q12" s="2912">
        <f t="shared" si="6"/>
        <v>111</v>
      </c>
      <c r="R12" s="1681" t="s">
        <v>25</v>
      </c>
      <c r="S12" s="1682">
        <f t="shared" si="0"/>
        <v>100</v>
      </c>
      <c r="T12" s="1681" t="s">
        <v>25</v>
      </c>
      <c r="U12" s="1682">
        <f t="shared" si="1"/>
        <v>100</v>
      </c>
      <c r="V12" s="1681" t="s">
        <v>25</v>
      </c>
      <c r="W12" s="1682">
        <f t="shared" si="2"/>
        <v>100</v>
      </c>
      <c r="X12" s="1683"/>
      <c r="Y12" s="334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8"/>
      <c r="H13" s="1712">
        <f>SUMIF(73:73,G13,74:74)-SUMIF(73:73,C13,74:74)+100</f>
        <v>100</v>
      </c>
      <c r="I13" s="1708"/>
      <c r="J13" s="1712">
        <f>SUMIF(73:73,I13,74:74)-SUMIF(73:73,C13,74:74)+100</f>
        <v>100</v>
      </c>
      <c r="K13" s="1987"/>
      <c r="L13" s="2999"/>
      <c r="M13" s="2995"/>
      <c r="N13" s="2995"/>
      <c r="O13" s="2995"/>
      <c r="P13" s="3478"/>
      <c r="Q13" s="2912">
        <f t="shared" si="6"/>
        <v>111</v>
      </c>
      <c r="R13" s="1681" t="s">
        <v>25</v>
      </c>
      <c r="S13" s="1682">
        <f t="shared" si="0"/>
        <v>100</v>
      </c>
      <c r="T13" s="1681" t="s">
        <v>25</v>
      </c>
      <c r="U13" s="1682">
        <f t="shared" si="1"/>
        <v>100</v>
      </c>
      <c r="V13" s="1681" t="s">
        <v>25</v>
      </c>
      <c r="W13" s="1682">
        <f t="shared" si="2"/>
        <v>100</v>
      </c>
      <c r="X13" s="1683"/>
      <c r="Y13" s="3340"/>
      <c r="Z13" s="1694">
        <f t="shared" si="7"/>
        <v>111</v>
      </c>
      <c r="AA13" s="1684">
        <f t="shared" si="3"/>
        <v>1</v>
      </c>
      <c r="AB13" s="1684">
        <f t="shared" si="4"/>
        <v>1</v>
      </c>
      <c r="AC13" s="1684">
        <f t="shared" si="5"/>
        <v>1</v>
      </c>
    </row>
    <row r="14" spans="1:29" ht="15.75" thickBot="1">
      <c r="A14" s="1713"/>
      <c r="B14" s="1714">
        <v>111</v>
      </c>
      <c r="C14" s="1715"/>
      <c r="D14" s="1716">
        <v>100</v>
      </c>
      <c r="E14" s="2489"/>
      <c r="F14" s="1716">
        <f>SUMIF(75:75,E14,76:76)-SUMIF(75:75,C14,76:76)+100</f>
        <v>100</v>
      </c>
      <c r="G14" s="2488"/>
      <c r="H14" s="1716">
        <f>SUMIF(75:75,G14,76:76)-SUMIF(75:75,C14,76:76)+100</f>
        <v>100</v>
      </c>
      <c r="I14" s="1708"/>
      <c r="J14" s="1716">
        <f>SUMIF(75:75,I14,76:76)-SUMIF(75:75,C14,76:76)+100</f>
        <v>100</v>
      </c>
      <c r="K14" s="1987"/>
      <c r="L14" s="2999"/>
      <c r="M14" s="2995"/>
      <c r="N14" s="2995"/>
      <c r="O14" s="2995"/>
      <c r="P14" s="3478"/>
      <c r="Q14" s="2912">
        <f t="shared" si="6"/>
        <v>111</v>
      </c>
      <c r="R14" s="1681" t="s">
        <v>25</v>
      </c>
      <c r="S14" s="1682">
        <f t="shared" si="0"/>
        <v>100</v>
      </c>
      <c r="T14" s="1681" t="s">
        <v>25</v>
      </c>
      <c r="U14" s="1682">
        <f t="shared" si="1"/>
        <v>100</v>
      </c>
      <c r="V14" s="1681" t="s">
        <v>25</v>
      </c>
      <c r="W14" s="1682">
        <f t="shared" si="2"/>
        <v>100</v>
      </c>
      <c r="X14" s="1683"/>
      <c r="Y14" s="3340"/>
      <c r="Z14" s="1694">
        <f t="shared" si="7"/>
        <v>111</v>
      </c>
      <c r="AA14" s="1684">
        <f t="shared" si="3"/>
        <v>1</v>
      </c>
      <c r="AB14" s="1684">
        <f t="shared" si="4"/>
        <v>1</v>
      </c>
      <c r="AC14" s="1684">
        <f t="shared" si="5"/>
        <v>1</v>
      </c>
    </row>
    <row r="15" spans="1:29" ht="71.25">
      <c r="A15" s="1718" t="s">
        <v>2269</v>
      </c>
      <c r="B15" s="2490" t="s">
        <v>2384</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0"/>
      <c r="L15" s="2999"/>
      <c r="M15" s="2995"/>
      <c r="N15" s="2995"/>
      <c r="O15" s="2995"/>
      <c r="P15" s="3467" t="s">
        <v>2270</v>
      </c>
      <c r="Q15" s="2913" t="str">
        <f t="shared" si="6"/>
        <v>办公集聚程度</v>
      </c>
      <c r="R15" s="1726" t="s">
        <v>25</v>
      </c>
      <c r="S15" s="1727">
        <f t="shared" si="0"/>
        <v>100</v>
      </c>
      <c r="T15" s="1726" t="s">
        <v>25</v>
      </c>
      <c r="U15" s="1727">
        <f t="shared" si="1"/>
        <v>100</v>
      </c>
      <c r="V15" s="1726" t="s">
        <v>25</v>
      </c>
      <c r="W15" s="1727">
        <f t="shared" si="2"/>
        <v>100</v>
      </c>
      <c r="X15" s="2072"/>
      <c r="Y15" s="3467" t="s">
        <v>2270</v>
      </c>
      <c r="Z15" s="2076" t="str">
        <f t="shared" si="7"/>
        <v>办公集聚程度</v>
      </c>
      <c r="AA15" s="2067">
        <f t="shared" si="3"/>
        <v>1</v>
      </c>
      <c r="AB15" s="2067">
        <f t="shared" si="4"/>
        <v>1</v>
      </c>
      <c r="AC15" s="2067">
        <f t="shared" si="5"/>
        <v>1</v>
      </c>
    </row>
    <row r="16" spans="1:29" ht="15">
      <c r="A16" s="1703"/>
      <c r="B16" s="2491"/>
      <c r="C16" s="1973"/>
      <c r="D16" s="1732"/>
      <c r="E16" s="1731"/>
      <c r="F16" s="1732"/>
      <c r="G16" s="1973"/>
      <c r="H16" s="1736"/>
      <c r="I16" s="1731"/>
      <c r="J16" s="1732"/>
      <c r="K16" s="2471"/>
      <c r="L16" s="2999"/>
      <c r="M16" s="2995"/>
      <c r="N16" s="2995"/>
      <c r="O16" s="2995"/>
      <c r="P16" s="3468"/>
      <c r="Q16" s="2913"/>
      <c r="R16" s="1726"/>
      <c r="S16" s="1727"/>
      <c r="T16" s="1726"/>
      <c r="U16" s="1727"/>
      <c r="V16" s="1726"/>
      <c r="W16" s="1727"/>
      <c r="X16" s="2072"/>
      <c r="Y16" s="3468"/>
      <c r="Z16" s="2076"/>
      <c r="AA16" s="2067">
        <v>1</v>
      </c>
      <c r="AB16" s="2067">
        <v>1</v>
      </c>
      <c r="AC16" s="2067">
        <v>1</v>
      </c>
    </row>
    <row r="17" spans="1:29" ht="85.5">
      <c r="A17" s="1703"/>
      <c r="B17" s="2492" t="s">
        <v>1705</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0"/>
      <c r="L17" s="2999"/>
      <c r="M17" s="2995"/>
      <c r="N17" s="2995"/>
      <c r="O17" s="2995"/>
      <c r="P17" s="3468"/>
      <c r="Q17" s="2913" t="str">
        <f>B17</f>
        <v>交通便捷度</v>
      </c>
      <c r="R17" s="1726" t="s">
        <v>25</v>
      </c>
      <c r="S17" s="1727">
        <f>F17</f>
        <v>100</v>
      </c>
      <c r="T17" s="1726" t="s">
        <v>25</v>
      </c>
      <c r="U17" s="1727">
        <f>H17</f>
        <v>100</v>
      </c>
      <c r="V17" s="1726" t="s">
        <v>25</v>
      </c>
      <c r="W17" s="1727">
        <f>J17</f>
        <v>100</v>
      </c>
      <c r="X17" s="2072"/>
      <c r="Y17" s="3468"/>
      <c r="Z17" s="2076" t="str">
        <f>Q17</f>
        <v>交通便捷度</v>
      </c>
      <c r="AA17" s="2067">
        <f t="shared" si="3"/>
        <v>1</v>
      </c>
      <c r="AB17" s="2067">
        <f t="shared" si="4"/>
        <v>1</v>
      </c>
      <c r="AC17" s="2067">
        <f t="shared" si="5"/>
        <v>1</v>
      </c>
    </row>
    <row r="18" spans="1:29" ht="15">
      <c r="A18" s="1703"/>
      <c r="B18" s="2493"/>
      <c r="C18" s="1977"/>
      <c r="D18" s="1736"/>
      <c r="E18" s="1747"/>
      <c r="F18" s="1736"/>
      <c r="G18" s="1746"/>
      <c r="H18" s="1732"/>
      <c r="I18" s="1746"/>
      <c r="J18" s="1732"/>
      <c r="K18" s="2471"/>
      <c r="L18" s="2999"/>
      <c r="M18" s="2995"/>
      <c r="N18" s="2995"/>
      <c r="O18" s="2995"/>
      <c r="P18" s="3468"/>
      <c r="Q18" s="2913"/>
      <c r="R18" s="1726"/>
      <c r="S18" s="1727"/>
      <c r="T18" s="1726"/>
      <c r="U18" s="1727"/>
      <c r="V18" s="1726"/>
      <c r="W18" s="1727"/>
      <c r="X18" s="2072"/>
      <c r="Y18" s="3468"/>
      <c r="Z18" s="2076"/>
      <c r="AA18" s="2067">
        <v>1</v>
      </c>
      <c r="AB18" s="2067">
        <v>1</v>
      </c>
      <c r="AC18" s="2067">
        <v>1</v>
      </c>
    </row>
    <row r="19" spans="1:29" ht="42.75">
      <c r="A19" s="1703"/>
      <c r="B19" s="2492" t="s">
        <v>2385</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0"/>
      <c r="L19" s="2999"/>
      <c r="M19" s="2995"/>
      <c r="N19" s="2995"/>
      <c r="O19" s="2995"/>
      <c r="P19" s="3468"/>
      <c r="Q19" s="2913" t="str">
        <f>B19</f>
        <v>公共配套设施</v>
      </c>
      <c r="R19" s="1726" t="s">
        <v>25</v>
      </c>
      <c r="S19" s="1727">
        <f>F19</f>
        <v>100</v>
      </c>
      <c r="T19" s="1726" t="s">
        <v>25</v>
      </c>
      <c r="U19" s="1727">
        <f>H19</f>
        <v>100</v>
      </c>
      <c r="V19" s="1726" t="s">
        <v>25</v>
      </c>
      <c r="W19" s="1727">
        <f>J19</f>
        <v>100</v>
      </c>
      <c r="X19" s="2072"/>
      <c r="Y19" s="3468"/>
      <c r="Z19" s="2076" t="str">
        <f>Q19</f>
        <v>公共配套设施</v>
      </c>
      <c r="AA19" s="2067">
        <f t="shared" si="3"/>
        <v>1</v>
      </c>
      <c r="AB19" s="2067">
        <f t="shared" si="4"/>
        <v>1</v>
      </c>
      <c r="AC19" s="2067">
        <f t="shared" si="5"/>
        <v>1</v>
      </c>
    </row>
    <row r="20" spans="1:29" ht="15">
      <c r="A20" s="1703"/>
      <c r="B20" s="2493"/>
      <c r="C20" s="1973"/>
      <c r="D20" s="1732"/>
      <c r="E20" s="1735"/>
      <c r="F20" s="1732"/>
      <c r="G20" s="1733"/>
      <c r="H20" s="1732"/>
      <c r="I20" s="1733"/>
      <c r="J20" s="1732"/>
      <c r="K20" s="2471"/>
      <c r="L20" s="2999"/>
      <c r="M20" s="2995"/>
      <c r="N20" s="2995"/>
      <c r="O20" s="2995"/>
      <c r="P20" s="3468"/>
      <c r="Q20" s="2913"/>
      <c r="R20" s="1726"/>
      <c r="S20" s="1727"/>
      <c r="T20" s="1726"/>
      <c r="U20" s="1727"/>
      <c r="V20" s="1726"/>
      <c r="W20" s="1727"/>
      <c r="X20" s="2072"/>
      <c r="Y20" s="3468"/>
      <c r="Z20" s="2076"/>
      <c r="AA20" s="2067">
        <v>1</v>
      </c>
      <c r="AB20" s="2067">
        <v>1</v>
      </c>
      <c r="AC20" s="2067">
        <v>1</v>
      </c>
    </row>
    <row r="21" spans="1:29" ht="28.5">
      <c r="A21" s="1703"/>
      <c r="B21" s="2494" t="s">
        <v>2386</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0"/>
      <c r="L21" s="2999"/>
      <c r="M21" s="2995"/>
      <c r="N21" s="2995"/>
      <c r="O21" s="2995"/>
      <c r="P21" s="3468"/>
      <c r="Q21" s="2913" t="str">
        <f>B21</f>
        <v>基础设施水平</v>
      </c>
      <c r="R21" s="1726" t="s">
        <v>25</v>
      </c>
      <c r="S21" s="1727">
        <f>F21</f>
        <v>100</v>
      </c>
      <c r="T21" s="1726" t="s">
        <v>25</v>
      </c>
      <c r="U21" s="1727">
        <f>H21</f>
        <v>100</v>
      </c>
      <c r="V21" s="1726" t="s">
        <v>25</v>
      </c>
      <c r="W21" s="1727">
        <f>J21</f>
        <v>100</v>
      </c>
      <c r="X21" s="2072"/>
      <c r="Y21" s="3468"/>
      <c r="Z21" s="2076" t="str">
        <f>Q21</f>
        <v>基础设施水平</v>
      </c>
      <c r="AA21" s="2067">
        <f t="shared" ref="AA21" si="8">D21/F21</f>
        <v>1</v>
      </c>
      <c r="AB21" s="2067">
        <f t="shared" ref="AB21" si="9">D21/H21</f>
        <v>1</v>
      </c>
      <c r="AC21" s="2067">
        <f t="shared" ref="AC21" si="10">D21/J21</f>
        <v>1</v>
      </c>
    </row>
    <row r="22" spans="1:29" ht="15">
      <c r="A22" s="1703"/>
      <c r="B22" s="2494"/>
      <c r="C22" s="1977"/>
      <c r="D22" s="1732"/>
      <c r="E22" s="1731"/>
      <c r="F22" s="1732"/>
      <c r="G22" s="1973"/>
      <c r="H22" s="1732"/>
      <c r="I22" s="1973"/>
      <c r="J22" s="1732"/>
      <c r="K22" s="2472"/>
      <c r="L22" s="2999"/>
      <c r="M22" s="2995"/>
      <c r="N22" s="2995"/>
      <c r="O22" s="2995"/>
      <c r="P22" s="3468"/>
      <c r="Q22" s="2913"/>
      <c r="R22" s="1726"/>
      <c r="S22" s="1727"/>
      <c r="T22" s="1726"/>
      <c r="U22" s="1727"/>
      <c r="V22" s="1726"/>
      <c r="W22" s="1727"/>
      <c r="X22" s="2072"/>
      <c r="Y22" s="3468"/>
      <c r="Z22" s="2076"/>
      <c r="AA22" s="2067">
        <v>1</v>
      </c>
      <c r="AB22" s="2067">
        <v>1</v>
      </c>
      <c r="AC22" s="2067">
        <v>1</v>
      </c>
    </row>
    <row r="23" spans="1:29" ht="57">
      <c r="A23" s="1703"/>
      <c r="B23" s="2492" t="s">
        <v>2387</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0"/>
      <c r="L23" s="2999"/>
      <c r="M23" s="2995"/>
      <c r="N23" s="2995"/>
      <c r="O23" s="2995"/>
      <c r="P23" s="3468"/>
      <c r="Q23" s="2913" t="str">
        <f>B23</f>
        <v>环境质量</v>
      </c>
      <c r="R23" s="1726" t="s">
        <v>25</v>
      </c>
      <c r="S23" s="1727">
        <f>F23</f>
        <v>100</v>
      </c>
      <c r="T23" s="1726" t="s">
        <v>25</v>
      </c>
      <c r="U23" s="1727">
        <f>H23</f>
        <v>100</v>
      </c>
      <c r="V23" s="1726" t="s">
        <v>25</v>
      </c>
      <c r="W23" s="1727">
        <f>J23</f>
        <v>100</v>
      </c>
      <c r="X23" s="2072"/>
      <c r="Y23" s="3468"/>
      <c r="Z23" s="2076" t="str">
        <f>Q23</f>
        <v>环境质量</v>
      </c>
      <c r="AA23" s="2067">
        <f t="shared" si="3"/>
        <v>1</v>
      </c>
      <c r="AB23" s="2067">
        <f t="shared" si="4"/>
        <v>1</v>
      </c>
      <c r="AC23" s="2067">
        <f t="shared" si="5"/>
        <v>1</v>
      </c>
    </row>
    <row r="24" spans="1:29" ht="15">
      <c r="A24" s="1703"/>
      <c r="B24" s="2494"/>
      <c r="C24" s="1973"/>
      <c r="D24" s="1732"/>
      <c r="E24" s="1735"/>
      <c r="F24" s="1732"/>
      <c r="G24" s="1733"/>
      <c r="H24" s="1732"/>
      <c r="I24" s="1733"/>
      <c r="J24" s="1732"/>
      <c r="K24" s="2471"/>
      <c r="L24" s="2999"/>
      <c r="M24" s="2995"/>
      <c r="N24" s="2995"/>
      <c r="O24" s="2995"/>
      <c r="P24" s="3468"/>
      <c r="Q24" s="2913"/>
      <c r="R24" s="1726"/>
      <c r="S24" s="1727"/>
      <c r="T24" s="1726"/>
      <c r="U24" s="1727"/>
      <c r="V24" s="1726"/>
      <c r="W24" s="1727"/>
      <c r="X24" s="2072"/>
      <c r="Y24" s="3468"/>
      <c r="Z24" s="2076"/>
      <c r="AA24" s="2067">
        <v>1</v>
      </c>
      <c r="AB24" s="2067">
        <v>1</v>
      </c>
      <c r="AC24" s="2067">
        <v>1</v>
      </c>
    </row>
    <row r="25" spans="1:29" ht="27">
      <c r="A25" s="1668"/>
      <c r="B25" s="2492" t="s">
        <v>2388</v>
      </c>
      <c r="C25" s="2495"/>
      <c r="D25" s="1712">
        <v>100</v>
      </c>
      <c r="E25" s="1711"/>
      <c r="F25" s="1712">
        <f>SUMIF(87:87,E26,88:88)-SUMIF(87:87,C26,88:88)+100</f>
        <v>100</v>
      </c>
      <c r="G25" s="2495"/>
      <c r="H25" s="1712">
        <f>SUMIF(87:87,G26,88:88)-SUMIF(87:87,C26,88:88)+100</f>
        <v>100</v>
      </c>
      <c r="I25" s="1711"/>
      <c r="J25" s="1712">
        <f>SUMIF(87:87,I26,88:88)-SUMIF(87:87,C26,88:88)+100</f>
        <v>100</v>
      </c>
      <c r="K25" s="2470"/>
      <c r="L25" s="2999"/>
      <c r="M25" s="2995"/>
      <c r="N25" s="2995"/>
      <c r="O25" s="2995"/>
      <c r="P25" s="3468"/>
      <c r="Q25" s="2913" t="str">
        <f>B25</f>
        <v>毗邻道路的类型与等级</v>
      </c>
      <c r="R25" s="1726" t="s">
        <v>25</v>
      </c>
      <c r="S25" s="1727">
        <f>F25</f>
        <v>100</v>
      </c>
      <c r="T25" s="1726" t="s">
        <v>25</v>
      </c>
      <c r="U25" s="1727">
        <f>H25</f>
        <v>100</v>
      </c>
      <c r="V25" s="1726" t="s">
        <v>25</v>
      </c>
      <c r="W25" s="1727">
        <f>J25</f>
        <v>100</v>
      </c>
      <c r="X25" s="2072"/>
      <c r="Y25" s="3468"/>
      <c r="Z25" s="2076" t="str">
        <f>Q25</f>
        <v>毗邻道路的类型与等级</v>
      </c>
      <c r="AA25" s="2067">
        <f t="shared" si="3"/>
        <v>1</v>
      </c>
      <c r="AB25" s="2067">
        <f t="shared" si="4"/>
        <v>1</v>
      </c>
      <c r="AC25" s="2067">
        <f t="shared" si="5"/>
        <v>1</v>
      </c>
    </row>
    <row r="26" spans="1:29" ht="15">
      <c r="A26" s="1668"/>
      <c r="B26" s="2493"/>
      <c r="C26" s="1981"/>
      <c r="D26" s="1712"/>
      <c r="E26" s="1989"/>
      <c r="F26" s="1712"/>
      <c r="G26" s="1981"/>
      <c r="H26" s="1712"/>
      <c r="I26" s="1989"/>
      <c r="J26" s="1712"/>
      <c r="K26" s="2471"/>
      <c r="L26" s="2999"/>
      <c r="M26" s="2995"/>
      <c r="N26" s="2995"/>
      <c r="O26" s="2995"/>
      <c r="P26" s="3468"/>
      <c r="Q26" s="2913"/>
      <c r="R26" s="1726"/>
      <c r="S26" s="1727"/>
      <c r="T26" s="1726"/>
      <c r="U26" s="1727"/>
      <c r="V26" s="1726"/>
      <c r="W26" s="1727"/>
      <c r="X26" s="2072"/>
      <c r="Y26" s="3468"/>
      <c r="Z26" s="2076"/>
      <c r="AA26" s="2067">
        <v>1</v>
      </c>
      <c r="AB26" s="2067">
        <v>1</v>
      </c>
      <c r="AC26" s="2067">
        <v>1</v>
      </c>
    </row>
    <row r="27" spans="1:29" ht="15">
      <c r="A27" s="1703"/>
      <c r="B27" s="2493" t="s">
        <v>2361</v>
      </c>
      <c r="C27" s="1981"/>
      <c r="D27" s="1712">
        <v>100</v>
      </c>
      <c r="E27" s="1989"/>
      <c r="F27" s="1712">
        <f>SUMIF(89:89,E27,90:90)-SUMIF(89:89,C27,90:90)+100</f>
        <v>100</v>
      </c>
      <c r="G27" s="1981"/>
      <c r="H27" s="1712">
        <f>SUMIF(89:89,G27,90:90)-SUMIF(89:89,C27,90:90)+100</f>
        <v>100</v>
      </c>
      <c r="I27" s="1989"/>
      <c r="J27" s="1712">
        <f>SUMIF(89:89,I27,90:90)-SUMIF(89:89,C27,90:90)+100</f>
        <v>100</v>
      </c>
      <c r="K27" s="1990"/>
      <c r="L27" s="2999"/>
      <c r="M27" s="2995"/>
      <c r="N27" s="2995"/>
      <c r="O27" s="2995"/>
      <c r="P27" s="3468"/>
      <c r="Q27" s="2913" t="str">
        <f t="shared" ref="Q27:Q47" si="11">B27</f>
        <v>楼层</v>
      </c>
      <c r="R27" s="1726" t="s">
        <v>25</v>
      </c>
      <c r="S27" s="1727">
        <f>F27</f>
        <v>100</v>
      </c>
      <c r="T27" s="1726" t="s">
        <v>25</v>
      </c>
      <c r="U27" s="1727">
        <f>H27</f>
        <v>100</v>
      </c>
      <c r="V27" s="1726" t="s">
        <v>25</v>
      </c>
      <c r="W27" s="1727">
        <f>J27</f>
        <v>100</v>
      </c>
      <c r="X27" s="2072"/>
      <c r="Y27" s="3468"/>
      <c r="Z27" s="2076" t="str">
        <f>Q27</f>
        <v>楼层</v>
      </c>
      <c r="AA27" s="2067">
        <f t="shared" si="3"/>
        <v>1</v>
      </c>
      <c r="AB27" s="2067">
        <f t="shared" si="4"/>
        <v>1</v>
      </c>
      <c r="AC27" s="2067">
        <f t="shared" si="5"/>
        <v>1</v>
      </c>
    </row>
    <row r="28" spans="1:29" s="1685" customFormat="1" ht="15">
      <c r="A28" s="1706"/>
      <c r="B28" s="2492" t="s">
        <v>2389</v>
      </c>
      <c r="C28" s="2496"/>
      <c r="D28" s="1757">
        <v>100</v>
      </c>
      <c r="E28" s="2474"/>
      <c r="F28" s="1757">
        <f>SUMIF(91:91,E28,92:92)-SUMIF(91:91,C28,92:92)+100</f>
        <v>100</v>
      </c>
      <c r="G28" s="2496"/>
      <c r="H28" s="1757">
        <f>SUMIF(91:91,G28,92:92)-SUMIF(91:91,C28,92:92)+100</f>
        <v>100</v>
      </c>
      <c r="I28" s="2474"/>
      <c r="J28" s="1757">
        <f>SUMIF(91:91,I28,92:92)-SUMIF(91:91,C28,92:92)+100</f>
        <v>100</v>
      </c>
      <c r="K28" s="1990"/>
      <c r="L28" s="2994"/>
      <c r="M28" s="2967"/>
      <c r="N28" s="2967"/>
      <c r="O28" s="2967"/>
      <c r="P28" s="3468"/>
      <c r="Q28" s="2912" t="str">
        <f t="shared" si="11"/>
        <v>朝向</v>
      </c>
      <c r="R28" s="1681" t="s">
        <v>25</v>
      </c>
      <c r="S28" s="1682">
        <f>F28</f>
        <v>100</v>
      </c>
      <c r="T28" s="1681" t="s">
        <v>25</v>
      </c>
      <c r="U28" s="1682">
        <f>H28</f>
        <v>100</v>
      </c>
      <c r="V28" s="1681" t="s">
        <v>25</v>
      </c>
      <c r="W28" s="1682">
        <f>J28</f>
        <v>100</v>
      </c>
      <c r="X28" s="1683"/>
      <c r="Y28" s="3468"/>
      <c r="Z28" s="1694" t="str">
        <f>Q28</f>
        <v>朝向</v>
      </c>
      <c r="AA28" s="2067">
        <f>D28/F28</f>
        <v>1</v>
      </c>
      <c r="AB28" s="2067">
        <f>D28/H28</f>
        <v>1</v>
      </c>
      <c r="AC28" s="2067">
        <f>D28/J28</f>
        <v>1</v>
      </c>
    </row>
    <row r="29" spans="1:29" ht="15">
      <c r="A29" s="1703"/>
      <c r="B29" s="2497">
        <v>111</v>
      </c>
      <c r="C29" s="2495"/>
      <c r="D29" s="1712">
        <v>100</v>
      </c>
      <c r="E29" s="1708"/>
      <c r="F29" s="1712">
        <f>SUMIF(93:93,E29,94:94)-SUMIF(93:93,C29,94:94)+100</f>
        <v>100</v>
      </c>
      <c r="G29" s="2488"/>
      <c r="H29" s="1712">
        <f>SUMIF(93:93,G29,94:94)-SUMIF(93:93,C29,94:94)+100</f>
        <v>100</v>
      </c>
      <c r="I29" s="1708"/>
      <c r="J29" s="1712">
        <f>SUMIF(93:93,I29,94:94)-SUMIF(93:93,C29,94:94)+100</f>
        <v>100</v>
      </c>
      <c r="K29" s="1987"/>
      <c r="L29" s="2999"/>
      <c r="M29" s="2995"/>
      <c r="N29" s="2995"/>
      <c r="O29" s="2995"/>
      <c r="P29" s="3468"/>
      <c r="Q29" s="2913">
        <f t="shared" si="11"/>
        <v>111</v>
      </c>
      <c r="R29" s="1726" t="s">
        <v>25</v>
      </c>
      <c r="S29" s="1727">
        <f t="shared" ref="S29:S47" si="12">F29</f>
        <v>100</v>
      </c>
      <c r="T29" s="1726" t="s">
        <v>25</v>
      </c>
      <c r="U29" s="1727">
        <f t="shared" ref="U29:U47" si="13">H29</f>
        <v>100</v>
      </c>
      <c r="V29" s="1726" t="s">
        <v>25</v>
      </c>
      <c r="W29" s="1727">
        <f t="shared" ref="W29:W47" si="14">J29</f>
        <v>100</v>
      </c>
      <c r="X29" s="2072"/>
      <c r="Y29" s="3468"/>
      <c r="Z29" s="2076">
        <f t="shared" ref="Z29:Z47" si="15">Q29</f>
        <v>111</v>
      </c>
      <c r="AA29" s="2067">
        <f t="shared" si="3"/>
        <v>1</v>
      </c>
      <c r="AB29" s="2067">
        <f t="shared" si="4"/>
        <v>1</v>
      </c>
      <c r="AC29" s="2067">
        <f t="shared" si="5"/>
        <v>1</v>
      </c>
    </row>
    <row r="30" spans="1:29" ht="15">
      <c r="A30" s="1703"/>
      <c r="B30" s="2497">
        <v>111</v>
      </c>
      <c r="C30" s="2495"/>
      <c r="D30" s="1712">
        <v>100</v>
      </c>
      <c r="E30" s="1708"/>
      <c r="F30" s="1712">
        <f>SUMIF(95:95,E30,96:96)-SUMIF(95:95,C30,96:96)+100</f>
        <v>100</v>
      </c>
      <c r="G30" s="2488"/>
      <c r="H30" s="1712">
        <f>SUMIF(95:95,G30,96:96)-SUMIF(95:95,C30,96:96)+100</f>
        <v>100</v>
      </c>
      <c r="I30" s="1708"/>
      <c r="J30" s="1712">
        <f>SUMIF(95:95,I30,96:96)-SUMIF(95:95,C30,96:96)+100</f>
        <v>100</v>
      </c>
      <c r="K30" s="1987"/>
      <c r="L30" s="2999"/>
      <c r="M30" s="2995"/>
      <c r="N30" s="2995"/>
      <c r="O30" s="2995"/>
      <c r="P30" s="3468"/>
      <c r="Q30" s="2913">
        <f t="shared" si="11"/>
        <v>111</v>
      </c>
      <c r="R30" s="1726" t="s">
        <v>25</v>
      </c>
      <c r="S30" s="1727">
        <f t="shared" si="12"/>
        <v>100</v>
      </c>
      <c r="T30" s="1726" t="s">
        <v>25</v>
      </c>
      <c r="U30" s="1727">
        <f t="shared" si="13"/>
        <v>100</v>
      </c>
      <c r="V30" s="1726" t="s">
        <v>25</v>
      </c>
      <c r="W30" s="1727">
        <f t="shared" si="14"/>
        <v>100</v>
      </c>
      <c r="X30" s="2072"/>
      <c r="Y30" s="3468"/>
      <c r="Z30" s="2076">
        <f t="shared" si="15"/>
        <v>111</v>
      </c>
      <c r="AA30" s="2067">
        <f t="shared" si="3"/>
        <v>1</v>
      </c>
      <c r="AB30" s="2067">
        <f t="shared" si="4"/>
        <v>1</v>
      </c>
      <c r="AC30" s="2067">
        <f t="shared" si="5"/>
        <v>1</v>
      </c>
    </row>
    <row r="31" spans="1:29" ht="15">
      <c r="A31" s="1703"/>
      <c r="B31" s="2497">
        <v>111</v>
      </c>
      <c r="C31" s="2495"/>
      <c r="D31" s="1712">
        <v>100</v>
      </c>
      <c r="E31" s="1708"/>
      <c r="F31" s="1712">
        <f>SUMIF(97:97,E31,98:98)-SUMIF(97:97,C31,98:98)+100</f>
        <v>100</v>
      </c>
      <c r="G31" s="2488"/>
      <c r="H31" s="1712">
        <f>SUMIF(97:97,G31,98:98)-SUMIF(97:97,C31,98:98)+100</f>
        <v>100</v>
      </c>
      <c r="I31" s="1708"/>
      <c r="J31" s="1712">
        <f>SUMIF(97:97,I31,98:98)-SUMIF(97:97,C31,98:98)+100</f>
        <v>100</v>
      </c>
      <c r="K31" s="1987"/>
      <c r="L31" s="2999"/>
      <c r="M31" s="2995"/>
      <c r="N31" s="2995"/>
      <c r="O31" s="2995"/>
      <c r="P31" s="3468"/>
      <c r="Q31" s="2913">
        <f t="shared" si="11"/>
        <v>111</v>
      </c>
      <c r="R31" s="1726" t="s">
        <v>25</v>
      </c>
      <c r="S31" s="1727">
        <f t="shared" si="12"/>
        <v>100</v>
      </c>
      <c r="T31" s="1726" t="s">
        <v>25</v>
      </c>
      <c r="U31" s="1727">
        <f t="shared" si="13"/>
        <v>100</v>
      </c>
      <c r="V31" s="1726" t="s">
        <v>25</v>
      </c>
      <c r="W31" s="1727">
        <f t="shared" si="14"/>
        <v>100</v>
      </c>
      <c r="X31" s="2072"/>
      <c r="Y31" s="3468"/>
      <c r="Z31" s="2076">
        <f t="shared" si="15"/>
        <v>111</v>
      </c>
      <c r="AA31" s="2067">
        <f t="shared" si="3"/>
        <v>1</v>
      </c>
      <c r="AB31" s="2067">
        <f t="shared" si="4"/>
        <v>1</v>
      </c>
      <c r="AC31" s="2067">
        <f t="shared" si="5"/>
        <v>1</v>
      </c>
    </row>
    <row r="32" spans="1:29" ht="15.75" thickBot="1">
      <c r="A32" s="1713"/>
      <c r="B32" s="2498">
        <v>111</v>
      </c>
      <c r="C32" s="2499"/>
      <c r="D32" s="1716">
        <v>100</v>
      </c>
      <c r="E32" s="2489"/>
      <c r="F32" s="1716">
        <f>SUMIF(99:99,E32,100:100)-SUMIF(99:99,C32,100:100)+100</f>
        <v>100</v>
      </c>
      <c r="G32" s="2488"/>
      <c r="H32" s="1716">
        <f>SUMIF(99:99,G32,100:100)-SUMIF(99:99,C32,100:100)+100</f>
        <v>100</v>
      </c>
      <c r="I32" s="1708"/>
      <c r="J32" s="1716">
        <f>SUMIF(99:99,I32,100:100)-SUMIF(99:99,C32,100:100)+100</f>
        <v>100</v>
      </c>
      <c r="K32" s="1987"/>
      <c r="L32" s="2999"/>
      <c r="M32" s="2995"/>
      <c r="N32" s="2995"/>
      <c r="O32" s="2995"/>
      <c r="P32" s="3468"/>
      <c r="Q32" s="2913">
        <f t="shared" si="11"/>
        <v>111</v>
      </c>
      <c r="R32" s="1726" t="s">
        <v>25</v>
      </c>
      <c r="S32" s="1727">
        <f t="shared" si="12"/>
        <v>100</v>
      </c>
      <c r="T32" s="1726" t="s">
        <v>25</v>
      </c>
      <c r="U32" s="1727">
        <f t="shared" si="13"/>
        <v>100</v>
      </c>
      <c r="V32" s="1726" t="s">
        <v>25</v>
      </c>
      <c r="W32" s="1727">
        <f t="shared" si="14"/>
        <v>100</v>
      </c>
      <c r="X32" s="2072"/>
      <c r="Y32" s="3468"/>
      <c r="Z32" s="2076">
        <f t="shared" si="15"/>
        <v>111</v>
      </c>
      <c r="AA32" s="2067">
        <f t="shared" si="3"/>
        <v>1</v>
      </c>
      <c r="AB32" s="2067">
        <f t="shared" si="4"/>
        <v>1</v>
      </c>
      <c r="AC32" s="2067">
        <f t="shared" si="5"/>
        <v>1</v>
      </c>
    </row>
    <row r="33" spans="1:29" ht="15">
      <c r="A33" s="1718" t="s">
        <v>2274</v>
      </c>
      <c r="B33" s="1688" t="s">
        <v>2390</v>
      </c>
      <c r="C33" s="2500"/>
      <c r="D33" s="1763">
        <v>100</v>
      </c>
      <c r="E33" s="2500"/>
      <c r="F33" s="1755">
        <f>SUMIF(101:101,E33,102:102)-SUMIF(101:101,C33,102:102)+100</f>
        <v>100</v>
      </c>
      <c r="G33" s="2500"/>
      <c r="H33" s="1712">
        <f>SUMIF(101:101,G33,102:102)-SUMIF(101:101,C33,102:102)+100</f>
        <v>100</v>
      </c>
      <c r="I33" s="2500"/>
      <c r="J33" s="1763">
        <f>SUMIF(101:101,I33,102:102)-SUMIF(101:101,C33,102:102)+100</f>
        <v>100</v>
      </c>
      <c r="K33" s="1990"/>
      <c r="L33" s="2999"/>
      <c r="M33" s="2995"/>
      <c r="N33" s="2995"/>
      <c r="O33" s="2995"/>
      <c r="P33" s="3487" t="s">
        <v>2276</v>
      </c>
      <c r="Q33" s="2913" t="str">
        <f t="shared" si="11"/>
        <v>建筑类型</v>
      </c>
      <c r="R33" s="1726" t="s">
        <v>25</v>
      </c>
      <c r="S33" s="1727">
        <f t="shared" si="12"/>
        <v>100</v>
      </c>
      <c r="T33" s="1726" t="s">
        <v>25</v>
      </c>
      <c r="U33" s="1727">
        <f t="shared" si="13"/>
        <v>100</v>
      </c>
      <c r="V33" s="1726" t="s">
        <v>25</v>
      </c>
      <c r="W33" s="1727">
        <f t="shared" si="14"/>
        <v>100</v>
      </c>
      <c r="X33" s="2072"/>
      <c r="Y33" s="3472" t="s">
        <v>2276</v>
      </c>
      <c r="Z33" s="2076" t="str">
        <f t="shared" si="15"/>
        <v>建筑类型</v>
      </c>
      <c r="AA33" s="2067">
        <f t="shared" si="3"/>
        <v>1</v>
      </c>
      <c r="AB33" s="2067">
        <f t="shared" si="4"/>
        <v>1</v>
      </c>
      <c r="AC33" s="2067">
        <f t="shared" si="5"/>
        <v>1</v>
      </c>
    </row>
    <row r="34" spans="1:29" s="1771" customFormat="1" ht="15">
      <c r="A34" s="1764"/>
      <c r="B34" s="1696" t="s">
        <v>2277</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2998"/>
      <c r="M34" s="2057"/>
      <c r="N34" s="2057"/>
      <c r="O34" s="2057"/>
      <c r="P34" s="3472"/>
      <c r="Q34" s="1766" t="str">
        <f t="shared" si="11"/>
        <v>项目建筑规模</v>
      </c>
      <c r="R34" s="1767" t="s">
        <v>25</v>
      </c>
      <c r="S34" s="1768" t="e">
        <f t="shared" si="12"/>
        <v>#N/A</v>
      </c>
      <c r="T34" s="1767" t="s">
        <v>25</v>
      </c>
      <c r="U34" s="1768" t="e">
        <f t="shared" si="13"/>
        <v>#N/A</v>
      </c>
      <c r="V34" s="1767" t="s">
        <v>25</v>
      </c>
      <c r="W34" s="1768" t="e">
        <f t="shared" si="14"/>
        <v>#N/A</v>
      </c>
      <c r="X34" s="1769"/>
      <c r="Y34" s="3472"/>
      <c r="Z34" s="1770" t="str">
        <f t="shared" si="15"/>
        <v>项目建筑规模</v>
      </c>
      <c r="AA34" s="2067" t="e">
        <f t="shared" si="3"/>
        <v>#N/A</v>
      </c>
      <c r="AB34" s="2067" t="e">
        <f t="shared" si="4"/>
        <v>#N/A</v>
      </c>
      <c r="AC34" s="2067" t="e">
        <f t="shared" si="5"/>
        <v>#N/A</v>
      </c>
    </row>
    <row r="35" spans="1:29" ht="15">
      <c r="A35" s="1772"/>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2999"/>
      <c r="M35" s="2995"/>
      <c r="N35" s="2995"/>
      <c r="O35" s="2995"/>
      <c r="P35" s="3472"/>
      <c r="Q35" s="2913" t="str">
        <f t="shared" si="11"/>
        <v>建筑结构</v>
      </c>
      <c r="R35" s="1726" t="s">
        <v>25</v>
      </c>
      <c r="S35" s="1727">
        <f t="shared" si="12"/>
        <v>100</v>
      </c>
      <c r="T35" s="1726" t="s">
        <v>25</v>
      </c>
      <c r="U35" s="1727">
        <f t="shared" si="13"/>
        <v>100</v>
      </c>
      <c r="V35" s="1726" t="s">
        <v>25</v>
      </c>
      <c r="W35" s="1727">
        <f t="shared" si="14"/>
        <v>100</v>
      </c>
      <c r="X35" s="2072"/>
      <c r="Y35" s="3472"/>
      <c r="Z35" s="2076" t="str">
        <f t="shared" si="15"/>
        <v>建筑结构</v>
      </c>
      <c r="AA35" s="2067">
        <f t="shared" si="3"/>
        <v>1</v>
      </c>
      <c r="AB35" s="2067">
        <f t="shared" si="4"/>
        <v>1</v>
      </c>
      <c r="AC35" s="2067">
        <f t="shared" si="5"/>
        <v>1</v>
      </c>
    </row>
    <row r="36" spans="1:29" ht="15">
      <c r="A36" s="1772"/>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2999"/>
      <c r="M36" s="2995"/>
      <c r="N36" s="2995"/>
      <c r="O36" s="2995"/>
      <c r="P36" s="3472"/>
      <c r="Q36" s="2913" t="str">
        <f t="shared" si="11"/>
        <v>公共部分装修</v>
      </c>
      <c r="R36" s="1726" t="s">
        <v>25</v>
      </c>
      <c r="S36" s="1727">
        <f t="shared" si="12"/>
        <v>100</v>
      </c>
      <c r="T36" s="1726" t="s">
        <v>25</v>
      </c>
      <c r="U36" s="1727">
        <f t="shared" si="13"/>
        <v>100</v>
      </c>
      <c r="V36" s="1726" t="s">
        <v>25</v>
      </c>
      <c r="W36" s="1727">
        <f t="shared" si="14"/>
        <v>100</v>
      </c>
      <c r="X36" s="2072"/>
      <c r="Y36" s="3472"/>
      <c r="Z36" s="2076" t="str">
        <f t="shared" si="15"/>
        <v>公共部分装修</v>
      </c>
      <c r="AA36" s="2067">
        <f t="shared" si="3"/>
        <v>1</v>
      </c>
      <c r="AB36" s="2067">
        <f t="shared" si="4"/>
        <v>1</v>
      </c>
      <c r="AC36" s="2067">
        <f t="shared" si="5"/>
        <v>1</v>
      </c>
    </row>
    <row r="37" spans="1:29" ht="15">
      <c r="A37" s="1772"/>
      <c r="B37" s="1696" t="s">
        <v>2364</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2999"/>
      <c r="M37" s="2995"/>
      <c r="N37" s="2995"/>
      <c r="O37" s="2995"/>
      <c r="P37" s="3472"/>
      <c r="Q37" s="2913" t="str">
        <f t="shared" si="11"/>
        <v>成新度</v>
      </c>
      <c r="R37" s="1726" t="s">
        <v>25</v>
      </c>
      <c r="S37" s="1727" t="e">
        <f t="shared" si="12"/>
        <v>#N/A</v>
      </c>
      <c r="T37" s="1726" t="s">
        <v>25</v>
      </c>
      <c r="U37" s="1727" t="e">
        <f t="shared" si="13"/>
        <v>#N/A</v>
      </c>
      <c r="V37" s="1726" t="s">
        <v>25</v>
      </c>
      <c r="W37" s="1727" t="e">
        <f t="shared" si="14"/>
        <v>#N/A</v>
      </c>
      <c r="X37" s="2072"/>
      <c r="Y37" s="3472"/>
      <c r="Z37" s="2076" t="str">
        <f t="shared" si="15"/>
        <v>成新度</v>
      </c>
      <c r="AA37" s="2067" t="e">
        <f t="shared" si="3"/>
        <v>#N/A</v>
      </c>
      <c r="AB37" s="2067" t="e">
        <f t="shared" si="4"/>
        <v>#N/A</v>
      </c>
      <c r="AC37" s="2067" t="e">
        <f t="shared" si="5"/>
        <v>#N/A</v>
      </c>
    </row>
    <row r="38" spans="1:29" s="1685" customFormat="1" ht="15">
      <c r="A38" s="1775"/>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2994"/>
      <c r="M38" s="2967"/>
      <c r="N38" s="2967"/>
      <c r="O38" s="2967"/>
      <c r="P38" s="3472"/>
      <c r="Q38" s="2912" t="str">
        <f t="shared" si="11"/>
        <v>写字楼等级</v>
      </c>
      <c r="R38" s="1681" t="s">
        <v>25</v>
      </c>
      <c r="S38" s="1682">
        <f t="shared" si="12"/>
        <v>100</v>
      </c>
      <c r="T38" s="1681" t="s">
        <v>25</v>
      </c>
      <c r="U38" s="1682">
        <f t="shared" si="13"/>
        <v>100</v>
      </c>
      <c r="V38" s="1681" t="s">
        <v>25</v>
      </c>
      <c r="W38" s="1682">
        <f t="shared" si="14"/>
        <v>100</v>
      </c>
      <c r="X38" s="1683"/>
      <c r="Y38" s="3472"/>
      <c r="Z38" s="1694" t="str">
        <f t="shared" si="15"/>
        <v>写字楼等级</v>
      </c>
      <c r="AA38" s="1684">
        <f t="shared" si="3"/>
        <v>1</v>
      </c>
      <c r="AB38" s="1684">
        <f t="shared" si="4"/>
        <v>1</v>
      </c>
      <c r="AC38" s="1684">
        <f t="shared" si="5"/>
        <v>1</v>
      </c>
    </row>
    <row r="39" spans="1:29" ht="15">
      <c r="A39" s="1772"/>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2999"/>
      <c r="M39" s="2995"/>
      <c r="N39" s="2995"/>
      <c r="O39" s="2995"/>
      <c r="P39" s="3472" t="s">
        <v>2276</v>
      </c>
      <c r="Q39" s="2913" t="str">
        <f t="shared" si="11"/>
        <v>物业管理</v>
      </c>
      <c r="R39" s="1726" t="s">
        <v>25</v>
      </c>
      <c r="S39" s="1727">
        <f t="shared" si="12"/>
        <v>100</v>
      </c>
      <c r="T39" s="1726" t="s">
        <v>25</v>
      </c>
      <c r="U39" s="1727">
        <f t="shared" si="13"/>
        <v>100</v>
      </c>
      <c r="V39" s="1726" t="s">
        <v>25</v>
      </c>
      <c r="W39" s="1727">
        <f t="shared" si="14"/>
        <v>100</v>
      </c>
      <c r="X39" s="2072"/>
      <c r="Y39" s="3472" t="s">
        <v>2276</v>
      </c>
      <c r="Z39" s="2076" t="str">
        <f t="shared" si="15"/>
        <v>物业管理</v>
      </c>
      <c r="AA39" s="2067">
        <f t="shared" si="3"/>
        <v>1</v>
      </c>
      <c r="AB39" s="2067">
        <f t="shared" si="4"/>
        <v>1</v>
      </c>
      <c r="AC39" s="2067">
        <f t="shared" si="5"/>
        <v>1</v>
      </c>
    </row>
    <row r="40" spans="1:29" ht="15">
      <c r="A40" s="1772"/>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2999"/>
      <c r="M40" s="2995"/>
      <c r="N40" s="2995"/>
      <c r="O40" s="2995"/>
      <c r="P40" s="3472"/>
      <c r="Q40" s="2913" t="str">
        <f t="shared" si="11"/>
        <v>市政基础设施</v>
      </c>
      <c r="R40" s="1726" t="s">
        <v>25</v>
      </c>
      <c r="S40" s="1727">
        <f t="shared" si="12"/>
        <v>100</v>
      </c>
      <c r="T40" s="1726" t="s">
        <v>25</v>
      </c>
      <c r="U40" s="1727">
        <f t="shared" si="13"/>
        <v>100</v>
      </c>
      <c r="V40" s="1726" t="s">
        <v>25</v>
      </c>
      <c r="W40" s="1727">
        <f t="shared" si="14"/>
        <v>100</v>
      </c>
      <c r="X40" s="2072"/>
      <c r="Y40" s="3472"/>
      <c r="Z40" s="2076" t="str">
        <f t="shared" si="15"/>
        <v>市政基础设施</v>
      </c>
      <c r="AA40" s="2067">
        <f t="shared" si="3"/>
        <v>1</v>
      </c>
      <c r="AB40" s="2067">
        <f t="shared" si="4"/>
        <v>1</v>
      </c>
      <c r="AC40" s="2067">
        <f t="shared" si="5"/>
        <v>1</v>
      </c>
    </row>
    <row r="41" spans="1:29" ht="15">
      <c r="A41" s="1772"/>
      <c r="B41" s="1696" t="s">
        <v>2367</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2999"/>
      <c r="M41" s="2995"/>
      <c r="N41" s="2995"/>
      <c r="O41" s="2995"/>
      <c r="P41" s="3472"/>
      <c r="Q41" s="2913" t="str">
        <f t="shared" si="11"/>
        <v>层高</v>
      </c>
      <c r="R41" s="1726" t="s">
        <v>25</v>
      </c>
      <c r="S41" s="1727">
        <f t="shared" si="12"/>
        <v>100</v>
      </c>
      <c r="T41" s="1726" t="s">
        <v>25</v>
      </c>
      <c r="U41" s="1727">
        <f t="shared" si="13"/>
        <v>100</v>
      </c>
      <c r="V41" s="1726" t="s">
        <v>25</v>
      </c>
      <c r="W41" s="1727">
        <f t="shared" si="14"/>
        <v>100</v>
      </c>
      <c r="X41" s="2072"/>
      <c r="Y41" s="3472"/>
      <c r="Z41" s="2076" t="str">
        <f t="shared" si="15"/>
        <v>层高</v>
      </c>
      <c r="AA41" s="2067">
        <f t="shared" si="3"/>
        <v>1</v>
      </c>
      <c r="AB41" s="2067">
        <f t="shared" si="4"/>
        <v>1</v>
      </c>
      <c r="AC41" s="2067">
        <f t="shared" si="5"/>
        <v>1</v>
      </c>
    </row>
    <row r="42" spans="1:29" s="1771" customFormat="1" ht="15">
      <c r="A42" s="1764"/>
      <c r="B42" s="2068"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2998"/>
      <c r="M42" s="2057"/>
      <c r="N42" s="2057"/>
      <c r="O42" s="2057"/>
      <c r="P42" s="3472"/>
      <c r="Q42" s="1766" t="str">
        <f t="shared" si="11"/>
        <v>单套建筑面积</v>
      </c>
      <c r="R42" s="1767" t="s">
        <v>25</v>
      </c>
      <c r="S42" s="1768">
        <f t="shared" si="12"/>
        <v>100</v>
      </c>
      <c r="T42" s="1767" t="s">
        <v>25</v>
      </c>
      <c r="U42" s="1768">
        <f t="shared" si="13"/>
        <v>100</v>
      </c>
      <c r="V42" s="1767" t="s">
        <v>25</v>
      </c>
      <c r="W42" s="1768">
        <f t="shared" si="14"/>
        <v>100</v>
      </c>
      <c r="X42" s="1769"/>
      <c r="Y42" s="3472"/>
      <c r="Z42" s="1770" t="str">
        <f t="shared" si="15"/>
        <v>单套建筑面积</v>
      </c>
      <c r="AA42" s="2067">
        <f t="shared" si="3"/>
        <v>1</v>
      </c>
      <c r="AB42" s="2067">
        <f t="shared" si="4"/>
        <v>1</v>
      </c>
      <c r="AC42" s="2067">
        <f t="shared" si="5"/>
        <v>1</v>
      </c>
    </row>
    <row r="43" spans="1:29" ht="15">
      <c r="A43" s="1772"/>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2999"/>
      <c r="M43" s="2995"/>
      <c r="N43" s="2995"/>
      <c r="O43" s="2995"/>
      <c r="P43" s="3472"/>
      <c r="Q43" s="2913" t="str">
        <f t="shared" si="11"/>
        <v>内部装修</v>
      </c>
      <c r="R43" s="1726" t="s">
        <v>25</v>
      </c>
      <c r="S43" s="1727">
        <f t="shared" si="12"/>
        <v>100</v>
      </c>
      <c r="T43" s="1726" t="s">
        <v>25</v>
      </c>
      <c r="U43" s="1727">
        <f t="shared" si="13"/>
        <v>100</v>
      </c>
      <c r="V43" s="1726" t="s">
        <v>25</v>
      </c>
      <c r="W43" s="1727">
        <f t="shared" si="14"/>
        <v>100</v>
      </c>
      <c r="X43" s="2072"/>
      <c r="Y43" s="3472"/>
      <c r="Z43" s="2076" t="str">
        <f t="shared" si="15"/>
        <v>内部装修</v>
      </c>
      <c r="AA43" s="2067">
        <f t="shared" si="3"/>
        <v>1</v>
      </c>
      <c r="AB43" s="2067">
        <f t="shared" si="4"/>
        <v>1</v>
      </c>
      <c r="AC43" s="2067">
        <f t="shared" si="5"/>
        <v>1</v>
      </c>
    </row>
    <row r="44" spans="1:29" ht="15">
      <c r="A44" s="1772"/>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2999"/>
      <c r="M44" s="2995"/>
      <c r="N44" s="2995"/>
      <c r="O44" s="2995"/>
      <c r="P44" s="3472"/>
      <c r="Q44" s="2913" t="str">
        <f t="shared" si="11"/>
        <v>内部装修维护情况</v>
      </c>
      <c r="R44" s="1726" t="s">
        <v>25</v>
      </c>
      <c r="S44" s="1727">
        <f t="shared" si="12"/>
        <v>100</v>
      </c>
      <c r="T44" s="1726" t="s">
        <v>25</v>
      </c>
      <c r="U44" s="1727">
        <f t="shared" si="13"/>
        <v>100</v>
      </c>
      <c r="V44" s="1726" t="s">
        <v>25</v>
      </c>
      <c r="W44" s="1727">
        <f t="shared" si="14"/>
        <v>100</v>
      </c>
      <c r="X44" s="2072"/>
      <c r="Y44" s="3472"/>
      <c r="Z44" s="2076" t="str">
        <f t="shared" si="15"/>
        <v>内部装修维护情况</v>
      </c>
      <c r="AA44" s="2067">
        <f t="shared" si="3"/>
        <v>1</v>
      </c>
      <c r="AB44" s="2067">
        <f t="shared" si="4"/>
        <v>1</v>
      </c>
      <c r="AC44" s="2067">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2994"/>
      <c r="M45" s="2967"/>
      <c r="N45" s="2967"/>
      <c r="O45" s="2967"/>
      <c r="P45" s="3472"/>
      <c r="Q45" s="2912">
        <f t="shared" si="11"/>
        <v>111</v>
      </c>
      <c r="R45" s="1681" t="s">
        <v>25</v>
      </c>
      <c r="S45" s="1682">
        <f t="shared" si="12"/>
        <v>100</v>
      </c>
      <c r="T45" s="1681" t="s">
        <v>25</v>
      </c>
      <c r="U45" s="1682">
        <f t="shared" si="13"/>
        <v>100</v>
      </c>
      <c r="V45" s="1681" t="s">
        <v>25</v>
      </c>
      <c r="W45" s="1682">
        <f t="shared" si="14"/>
        <v>100</v>
      </c>
      <c r="X45" s="1683"/>
      <c r="Y45" s="3472"/>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2999"/>
      <c r="M46" s="2995"/>
      <c r="N46" s="2995"/>
      <c r="O46" s="2995"/>
      <c r="P46" s="3472"/>
      <c r="Q46" s="2913">
        <f t="shared" si="11"/>
        <v>111</v>
      </c>
      <c r="R46" s="1726" t="s">
        <v>25</v>
      </c>
      <c r="S46" s="1727">
        <f t="shared" si="12"/>
        <v>100</v>
      </c>
      <c r="T46" s="1726" t="s">
        <v>25</v>
      </c>
      <c r="U46" s="1727">
        <f t="shared" si="13"/>
        <v>100</v>
      </c>
      <c r="V46" s="1726" t="s">
        <v>25</v>
      </c>
      <c r="W46" s="1727">
        <f t="shared" si="14"/>
        <v>100</v>
      </c>
      <c r="X46" s="2072"/>
      <c r="Y46" s="3472"/>
      <c r="Z46" s="2076">
        <f t="shared" si="15"/>
        <v>111</v>
      </c>
      <c r="AA46" s="2067">
        <f t="shared" si="3"/>
        <v>1</v>
      </c>
      <c r="AB46" s="2067">
        <f t="shared" si="4"/>
        <v>1</v>
      </c>
      <c r="AC46" s="2067">
        <f t="shared" si="5"/>
        <v>1</v>
      </c>
    </row>
    <row r="47" spans="1:29" ht="15.75"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2999"/>
      <c r="M47" s="2995"/>
      <c r="N47" s="2995"/>
      <c r="O47" s="2995"/>
      <c r="P47" s="3473"/>
      <c r="Q47" s="2913">
        <f t="shared" si="11"/>
        <v>111</v>
      </c>
      <c r="R47" s="1726" t="s">
        <v>25</v>
      </c>
      <c r="S47" s="1727">
        <f t="shared" si="12"/>
        <v>100</v>
      </c>
      <c r="T47" s="1726" t="s">
        <v>25</v>
      </c>
      <c r="U47" s="1727">
        <f t="shared" si="13"/>
        <v>100</v>
      </c>
      <c r="V47" s="1726" t="s">
        <v>25</v>
      </c>
      <c r="W47" s="1727">
        <f t="shared" si="14"/>
        <v>100</v>
      </c>
      <c r="X47" s="2072"/>
      <c r="Y47" s="3473"/>
      <c r="Z47" s="2076">
        <f t="shared" si="15"/>
        <v>111</v>
      </c>
      <c r="AA47" s="2067">
        <f t="shared" si="3"/>
        <v>1</v>
      </c>
      <c r="AB47" s="2067">
        <f t="shared" si="4"/>
        <v>1</v>
      </c>
      <c r="AC47" s="2067">
        <f t="shared" si="5"/>
        <v>1</v>
      </c>
    </row>
    <row r="48" spans="1:29" ht="15">
      <c r="A48" s="1779" t="s">
        <v>2288</v>
      </c>
      <c r="B48" s="1780"/>
      <c r="C48" s="1781" t="s">
        <v>1</v>
      </c>
      <c r="D48" s="1782"/>
      <c r="E48" s="1783"/>
      <c r="F48" s="1784"/>
      <c r="G48" s="1785"/>
      <c r="H48" s="1786"/>
      <c r="I48" s="1783"/>
      <c r="J48" s="1786"/>
      <c r="K48" s="2011"/>
      <c r="L48" s="3000"/>
      <c r="M48" s="2995"/>
      <c r="N48" s="2995"/>
      <c r="O48" s="2995"/>
      <c r="P48" s="3478" t="str">
        <f>A48</f>
        <v>成交单价（元/平方米）</v>
      </c>
      <c r="Q48" s="3478"/>
      <c r="R48" s="3479">
        <f>E48</f>
        <v>0</v>
      </c>
      <c r="S48" s="3479"/>
      <c r="T48" s="3479">
        <f>G48</f>
        <v>0</v>
      </c>
      <c r="U48" s="3479"/>
      <c r="V48" s="3479">
        <f>I48</f>
        <v>0</v>
      </c>
      <c r="W48" s="3479"/>
      <c r="X48" s="1789"/>
      <c r="Y48" s="2071"/>
      <c r="Z48" s="1789"/>
      <c r="AA48" s="1789"/>
      <c r="AB48" s="1789"/>
      <c r="AC48" s="1789"/>
    </row>
    <row r="49" spans="1:29" ht="15.75" thickBot="1">
      <c r="A49" s="1791" t="s">
        <v>2371</v>
      </c>
      <c r="B49" s="1792"/>
      <c r="C49" s="1793" t="e">
        <f>R50</f>
        <v>#DIV/0!</v>
      </c>
      <c r="D49" s="1794" t="s">
        <v>2745</v>
      </c>
      <c r="E49" s="1795" t="e">
        <f>R49</f>
        <v>#DIV/0!</v>
      </c>
      <c r="F49" s="1796"/>
      <c r="G49" s="1793" t="e">
        <f>T49</f>
        <v>#DIV/0!</v>
      </c>
      <c r="H49" s="1796"/>
      <c r="I49" s="1795" t="e">
        <f>V49</f>
        <v>#DIV/0!</v>
      </c>
      <c r="J49" s="1796"/>
      <c r="K49" s="2508">
        <f>F49+H49+J49</f>
        <v>0</v>
      </c>
      <c r="L49" s="3000"/>
      <c r="M49" s="2995"/>
      <c r="N49" s="2995"/>
      <c r="O49" s="2995"/>
      <c r="P49" s="3478" t="str">
        <f>A49</f>
        <v>比较价值（元/平方米）</v>
      </c>
      <c r="Q49" s="3478"/>
      <c r="R49" s="3479" t="e">
        <f>IF(E1="售价",ROUND(PRODUCT(R48,AA7:AA47),0),ROUND(PRODUCT(R48,AA7:AA47),1))</f>
        <v>#DIV/0!</v>
      </c>
      <c r="S49" s="3479"/>
      <c r="T49" s="3479" t="e">
        <f>IF(E1="售价",ROUND(PRODUCT(T48,AB7:AB47),0),ROUND(PRODUCT(T48,AB7:AB47),1))</f>
        <v>#DIV/0!</v>
      </c>
      <c r="U49" s="3479"/>
      <c r="V49" s="3479" t="e">
        <f>IF(E1="售价",ROUND(PRODUCT(V48,AC7:AC47),0),ROUND(PRODUCT(V48,AC7:AC47),1))</f>
        <v>#DIV/0!</v>
      </c>
      <c r="W49" s="3479"/>
      <c r="X49" s="1789"/>
      <c r="Y49" s="1789"/>
      <c r="Z49" s="1789"/>
      <c r="AA49" s="1789"/>
      <c r="AB49" s="1789"/>
      <c r="AC49" s="1789"/>
    </row>
    <row r="50" spans="1:29" ht="15.75" thickBot="1">
      <c r="A50" s="1797" t="s">
        <v>2394</v>
      </c>
      <c r="B50" s="1798"/>
      <c r="C50" s="1800" t="e">
        <f>R50</f>
        <v>#DIV/0!</v>
      </c>
      <c r="D50" s="1800"/>
      <c r="E50" s="1800"/>
      <c r="F50" s="1800"/>
      <c r="G50" s="1800"/>
      <c r="H50" s="1800"/>
      <c r="I50" s="1800"/>
      <c r="J50" s="1800"/>
      <c r="K50" s="2016"/>
      <c r="L50" s="3000"/>
      <c r="M50" s="2995"/>
      <c r="N50" s="2995"/>
      <c r="O50" s="2995"/>
      <c r="P50" s="3484" t="str">
        <f>A50</f>
        <v>估价对象XX用房的比较价值（楼面单价，元/平方米）</v>
      </c>
      <c r="Q50" s="3485"/>
      <c r="R50" s="3486" t="e">
        <f>IF(E1="售价",ROUND(IF(D49="简单平均",AVERAGE(R49:V49),R49*F49+T49*H49+V49*J49),0),ROUND(IF(D49="简单平均",AVERAGE(R49:V49),R49*F49+T49*H49+V49*J49),1))</f>
        <v>#DIV/0!</v>
      </c>
      <c r="S50" s="3486"/>
      <c r="T50" s="3486"/>
      <c r="U50" s="3486"/>
      <c r="V50" s="3486"/>
      <c r="W50" s="3486"/>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5">
      <c r="A59" s="1820" t="s">
        <v>2258</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501"/>
    </row>
    <row r="60" spans="1:29" s="1685" customFormat="1" ht="15">
      <c r="A60" s="1826"/>
      <c r="B60" s="1827"/>
      <c r="C60" s="1828">
        <v>100</v>
      </c>
      <c r="D60" s="1829"/>
      <c r="E60" s="1829"/>
      <c r="F60" s="1829"/>
      <c r="G60" s="1829"/>
      <c r="H60" s="1829"/>
      <c r="I60" s="1829"/>
      <c r="J60" s="1829"/>
      <c r="K60" s="1829"/>
      <c r="L60" s="1829"/>
      <c r="M60" s="1830"/>
      <c r="N60" s="1829"/>
      <c r="O60" s="1843"/>
      <c r="P60" s="1819"/>
    </row>
    <row r="61" spans="1:29" s="1685" customFormat="1" ht="15.75" thickBot="1">
      <c r="A61" s="1832" t="s">
        <v>2296</v>
      </c>
      <c r="B61" s="1833"/>
      <c r="C61" s="1834"/>
      <c r="D61" s="1835"/>
      <c r="E61" s="1835"/>
      <c r="F61" s="1835"/>
      <c r="G61" s="1835"/>
      <c r="H61" s="1835"/>
      <c r="I61" s="1835"/>
      <c r="J61" s="1835"/>
      <c r="K61" s="1835"/>
      <c r="L61" s="1835"/>
      <c r="M61" s="1836"/>
      <c r="N61" s="1835"/>
      <c r="O61" s="2502"/>
      <c r="P61" s="1819"/>
      <c r="Q61" s="1819"/>
    </row>
    <row r="62" spans="1:29" s="1685" customFormat="1" ht="15">
      <c r="A62" s="1837" t="s">
        <v>2260</v>
      </c>
      <c r="B62" s="1827"/>
      <c r="C62" s="1838" t="s">
        <v>2261</v>
      </c>
      <c r="D62" s="409"/>
      <c r="E62" s="409"/>
      <c r="F62" s="409"/>
      <c r="G62" s="409"/>
      <c r="H62" s="409"/>
      <c r="I62" s="409"/>
      <c r="J62" s="409"/>
      <c r="K62" s="409"/>
      <c r="L62" s="409"/>
      <c r="M62" s="1839"/>
      <c r="N62" s="3012"/>
      <c r="O62" s="3012"/>
      <c r="P62" s="2054"/>
      <c r="Q62" s="1819"/>
    </row>
    <row r="63" spans="1:29" s="1685"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2299</v>
      </c>
      <c r="B64" s="1845" t="s">
        <v>2264</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1"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71" customFormat="1" ht="15.75" thickBot="1">
      <c r="A72" s="1867"/>
      <c r="B72" s="1859"/>
      <c r="C72" s="1872"/>
      <c r="D72" s="1853"/>
      <c r="E72" s="1853"/>
      <c r="F72" s="1853"/>
      <c r="G72" s="1853"/>
      <c r="H72" s="1853"/>
      <c r="I72" s="1853"/>
      <c r="J72" s="1853"/>
      <c r="K72" s="1853"/>
      <c r="L72" s="1853"/>
      <c r="M72" s="1854"/>
      <c r="N72" s="3014"/>
      <c r="O72" s="3014"/>
      <c r="P72" s="2056"/>
      <c r="Q72" s="1871"/>
    </row>
    <row r="73" spans="1:17" s="1771"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71" customFormat="1" ht="15.75" thickBot="1">
      <c r="A74" s="1867"/>
      <c r="B74" s="1859"/>
      <c r="C74" s="1872"/>
      <c r="D74" s="1872"/>
      <c r="E74" s="1872"/>
      <c r="F74" s="1872"/>
      <c r="G74" s="1872"/>
      <c r="H74" s="1875"/>
      <c r="I74" s="1875"/>
      <c r="J74" s="1875"/>
      <c r="K74" s="1875"/>
      <c r="L74" s="1875"/>
      <c r="M74" s="1876"/>
      <c r="N74" s="3015"/>
      <c r="O74" s="3015"/>
      <c r="P74" s="2056"/>
      <c r="Q74" s="1871"/>
    </row>
    <row r="75" spans="1:17" s="1771"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71"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6"/>
      <c r="N84" s="3014"/>
      <c r="O84" s="3014"/>
      <c r="P84" s="2055"/>
      <c r="Q84" s="1819"/>
    </row>
    <row r="85" spans="1:17" ht="15.7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7.75" thickTop="1">
      <c r="A87" s="1887"/>
      <c r="B87" s="1856" t="s">
        <v>2397</v>
      </c>
      <c r="C87" s="468"/>
      <c r="D87" s="468"/>
      <c r="E87" s="468"/>
      <c r="F87" s="468"/>
      <c r="G87" s="468"/>
      <c r="H87" s="468"/>
      <c r="I87" s="468"/>
      <c r="J87" s="468"/>
      <c r="K87" s="468"/>
      <c r="L87" s="468"/>
      <c r="M87" s="1888"/>
      <c r="N87" s="3012"/>
      <c r="O87" s="3012"/>
      <c r="P87" s="2055"/>
      <c r="Q87" s="1819"/>
    </row>
    <row r="88" spans="1:17" s="1685"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1"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71"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8"/>
      <c r="H95" s="1578"/>
      <c r="I95" s="1578"/>
      <c r="J95" s="1578"/>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8"/>
      <c r="H97" s="1578"/>
      <c r="I97" s="1578"/>
      <c r="J97" s="1578"/>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1" customFormat="1">
      <c r="A104" s="1897"/>
      <c r="B104" s="1898"/>
      <c r="C104" s="1899"/>
      <c r="D104" s="1899"/>
      <c r="E104" s="1899"/>
      <c r="F104" s="1899"/>
      <c r="G104" s="1899"/>
      <c r="H104" s="1899"/>
      <c r="I104" s="1899"/>
      <c r="J104" s="485"/>
      <c r="K104" s="485"/>
      <c r="L104" s="485"/>
      <c r="M104" s="1900"/>
      <c r="N104" s="3015"/>
      <c r="O104" s="3015"/>
      <c r="P104" s="2056"/>
      <c r="Q104" s="1871"/>
    </row>
    <row r="105" spans="1:17" s="1771"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8"/>
      <c r="F106" s="1578"/>
      <c r="G106" s="1578"/>
      <c r="H106" s="1578"/>
      <c r="I106" s="1578"/>
      <c r="J106" s="1578"/>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8"/>
      <c r="G108" s="1578"/>
      <c r="H108" s="1578"/>
      <c r="I108" s="1578"/>
      <c r="J108" s="1578"/>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1" customFormat="1" ht="15" thickTop="1">
      <c r="A113" s="1897"/>
      <c r="B113" s="1856" t="s">
        <v>2398</v>
      </c>
      <c r="C113" s="468"/>
      <c r="D113" s="468"/>
      <c r="E113" s="468"/>
      <c r="F113" s="468"/>
      <c r="G113" s="468"/>
      <c r="H113" s="1578"/>
      <c r="I113" s="1578"/>
      <c r="J113" s="1578"/>
      <c r="K113" s="473"/>
      <c r="L113" s="473"/>
      <c r="M113" s="1891"/>
      <c r="N113" s="3015"/>
      <c r="O113" s="3015"/>
      <c r="P113" s="2056"/>
      <c r="Q113" s="1871"/>
    </row>
    <row r="114" spans="1:17" s="1771"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8"/>
      <c r="F115" s="1578"/>
      <c r="G115" s="1578"/>
      <c r="H115" s="1578"/>
      <c r="I115" s="1578"/>
      <c r="J115" s="1578"/>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8"/>
      <c r="I117" s="1578"/>
      <c r="J117" s="1578"/>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8"/>
      <c r="D119" s="1578"/>
      <c r="E119" s="1578"/>
      <c r="F119" s="1578"/>
      <c r="G119" s="1578"/>
      <c r="H119" s="1578"/>
      <c r="I119" s="1578"/>
      <c r="J119" s="1578"/>
      <c r="K119" s="1578"/>
      <c r="L119" s="1578"/>
      <c r="M119" s="2504"/>
      <c r="N119" s="3014"/>
      <c r="O119" s="3014"/>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1" customFormat="1" ht="15" thickTop="1">
      <c r="A121" s="1897"/>
      <c r="B121" s="1856" t="s">
        <v>2381</v>
      </c>
      <c r="C121" s="468"/>
      <c r="D121" s="468"/>
      <c r="E121" s="468"/>
      <c r="F121" s="1578"/>
      <c r="G121" s="443"/>
      <c r="H121" s="443"/>
      <c r="I121" s="443"/>
      <c r="J121" s="443"/>
      <c r="K121" s="443"/>
      <c r="L121" s="443"/>
      <c r="M121" s="1868"/>
      <c r="N121" s="3015"/>
      <c r="O121" s="3015"/>
      <c r="P121" s="2056"/>
      <c r="Q121" s="1871"/>
    </row>
    <row r="122" spans="1:17" s="1771"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8"/>
      <c r="G123" s="1578"/>
      <c r="H123" s="1578"/>
      <c r="I123" s="1578"/>
      <c r="J123" s="1578"/>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1"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71"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353.61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2"/>
      <c r="M4" s="3023"/>
      <c r="N4" s="3023"/>
      <c r="O4" s="3023"/>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2"/>
      <c r="M5" s="3023"/>
      <c r="N5" s="3023"/>
      <c r="O5" s="3023"/>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2"/>
      <c r="M6" s="3023"/>
      <c r="N6" s="3023"/>
      <c r="O6" s="3023"/>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95" t="s">
        <v>2259</v>
      </c>
      <c r="Q7" s="3519"/>
      <c r="R7" s="627" t="s">
        <v>25</v>
      </c>
      <c r="S7" s="628">
        <f t="shared" ref="S7:S15" si="0">F7</f>
        <v>0</v>
      </c>
      <c r="T7" s="627" t="s">
        <v>25</v>
      </c>
      <c r="U7" s="628">
        <f t="shared" ref="U7:U15" si="1">H7</f>
        <v>0</v>
      </c>
      <c r="V7" s="627" t="s">
        <v>25</v>
      </c>
      <c r="W7" s="628">
        <f t="shared" ref="W7:W15" si="2">J7</f>
        <v>0</v>
      </c>
      <c r="X7" s="629"/>
      <c r="Y7" s="3495" t="s">
        <v>2259</v>
      </c>
      <c r="Z7" s="3496"/>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95" t="s">
        <v>2262</v>
      </c>
      <c r="Q8" s="3496"/>
      <c r="R8" s="627" t="s">
        <v>25</v>
      </c>
      <c r="S8" s="628">
        <f t="shared" si="0"/>
        <v>0</v>
      </c>
      <c r="T8" s="627" t="s">
        <v>25</v>
      </c>
      <c r="U8" s="628">
        <f t="shared" si="1"/>
        <v>0</v>
      </c>
      <c r="V8" s="627" t="s">
        <v>25</v>
      </c>
      <c r="W8" s="628">
        <f t="shared" si="2"/>
        <v>0</v>
      </c>
      <c r="X8" s="629"/>
      <c r="Y8" s="3495" t="s">
        <v>2262</v>
      </c>
      <c r="Z8" s="3496"/>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2"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21"/>
      <c r="Q16" s="1334"/>
      <c r="R16" s="631"/>
      <c r="S16" s="632"/>
      <c r="T16" s="631"/>
      <c r="U16" s="632"/>
      <c r="V16" s="631"/>
      <c r="W16" s="632"/>
      <c r="X16" s="1335"/>
      <c r="Y16" s="352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21"/>
      <c r="Q18" s="1334"/>
      <c r="R18" s="631"/>
      <c r="S18" s="632"/>
      <c r="T18" s="631"/>
      <c r="U18" s="632"/>
      <c r="V18" s="631"/>
      <c r="W18" s="632"/>
      <c r="X18" s="1335"/>
      <c r="Y18" s="352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1"/>
      <c r="Q19" s="1334" t="str">
        <f>B19</f>
        <v>公共配套设施</v>
      </c>
      <c r="R19" s="631" t="s">
        <v>25</v>
      </c>
      <c r="S19" s="632">
        <f>F19</f>
        <v>100</v>
      </c>
      <c r="T19" s="631" t="s">
        <v>25</v>
      </c>
      <c r="U19" s="632">
        <f>H19</f>
        <v>100</v>
      </c>
      <c r="V19" s="631" t="s">
        <v>25</v>
      </c>
      <c r="W19" s="632">
        <f>J19</f>
        <v>100</v>
      </c>
      <c r="X19" s="1335"/>
      <c r="Y19" s="352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21"/>
      <c r="Q20" s="1334"/>
      <c r="R20" s="631"/>
      <c r="S20" s="632"/>
      <c r="T20" s="631"/>
      <c r="U20" s="632"/>
      <c r="V20" s="631"/>
      <c r="W20" s="632"/>
      <c r="X20" s="1335"/>
      <c r="Y20" s="352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1"/>
      <c r="Q21" s="1334" t="str">
        <f>B21</f>
        <v>基础设施水平</v>
      </c>
      <c r="R21" s="631" t="s">
        <v>25</v>
      </c>
      <c r="S21" s="632">
        <f>F21</f>
        <v>100</v>
      </c>
      <c r="T21" s="631" t="s">
        <v>25</v>
      </c>
      <c r="U21" s="632">
        <f>H21</f>
        <v>100</v>
      </c>
      <c r="V21" s="631" t="s">
        <v>25</v>
      </c>
      <c r="W21" s="632">
        <f>J21</f>
        <v>100</v>
      </c>
      <c r="X21" s="1335"/>
      <c r="Y21" s="352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21"/>
      <c r="Q22" s="1334"/>
      <c r="R22" s="631"/>
      <c r="S22" s="632"/>
      <c r="T22" s="631"/>
      <c r="U22" s="632"/>
      <c r="V22" s="631"/>
      <c r="W22" s="632"/>
      <c r="X22" s="1335"/>
      <c r="Y22" s="352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1"/>
      <c r="Q23" s="1334" t="str">
        <f>B23</f>
        <v>环境质量</v>
      </c>
      <c r="R23" s="631" t="s">
        <v>25</v>
      </c>
      <c r="S23" s="632">
        <f>F23</f>
        <v>100</v>
      </c>
      <c r="T23" s="631" t="s">
        <v>25</v>
      </c>
      <c r="U23" s="632">
        <f>H23</f>
        <v>100</v>
      </c>
      <c r="V23" s="631" t="s">
        <v>25</v>
      </c>
      <c r="W23" s="632">
        <f>J23</f>
        <v>100</v>
      </c>
      <c r="X23" s="1335"/>
      <c r="Y23" s="352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21"/>
      <c r="Q24" s="1334"/>
      <c r="R24" s="631"/>
      <c r="S24" s="632"/>
      <c r="T24" s="631"/>
      <c r="U24" s="632"/>
      <c r="V24" s="631"/>
      <c r="W24" s="632"/>
      <c r="X24" s="1335"/>
      <c r="Y24" s="352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1"/>
      <c r="Q25" s="1334">
        <f>B25</f>
        <v>111</v>
      </c>
      <c r="R25" s="631" t="s">
        <v>25</v>
      </c>
      <c r="S25" s="632">
        <f>F25</f>
        <v>100</v>
      </c>
      <c r="T25" s="631" t="s">
        <v>25</v>
      </c>
      <c r="U25" s="632">
        <f>H25</f>
        <v>100</v>
      </c>
      <c r="V25" s="631" t="s">
        <v>25</v>
      </c>
      <c r="W25" s="632">
        <f>J25</f>
        <v>100</v>
      </c>
      <c r="X25" s="1335"/>
      <c r="Y25" s="352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1"/>
      <c r="Q26" s="1334">
        <f t="shared" ref="Q26:Q40" si="11">B26</f>
        <v>111</v>
      </c>
      <c r="R26" s="631" t="s">
        <v>25</v>
      </c>
      <c r="S26" s="632">
        <f>F26</f>
        <v>100</v>
      </c>
      <c r="T26" s="631" t="s">
        <v>25</v>
      </c>
      <c r="U26" s="632">
        <f>H26</f>
        <v>100</v>
      </c>
      <c r="V26" s="631" t="s">
        <v>25</v>
      </c>
      <c r="W26" s="632">
        <f>J26</f>
        <v>100</v>
      </c>
      <c r="X26" s="1335"/>
      <c r="Y26" s="352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1"/>
      <c r="Q27" s="1327">
        <f t="shared" si="11"/>
        <v>111</v>
      </c>
      <c r="R27" s="627" t="s">
        <v>25</v>
      </c>
      <c r="S27" s="628">
        <f>F27</f>
        <v>100</v>
      </c>
      <c r="T27" s="627" t="s">
        <v>25</v>
      </c>
      <c r="U27" s="628">
        <f>H27</f>
        <v>100</v>
      </c>
      <c r="V27" s="627" t="s">
        <v>25</v>
      </c>
      <c r="W27" s="628">
        <f>J27</f>
        <v>100</v>
      </c>
      <c r="X27" s="629"/>
      <c r="Y27" s="352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1"/>
      <c r="Q28" s="1334">
        <f t="shared" si="11"/>
        <v>111</v>
      </c>
      <c r="R28" s="631" t="s">
        <v>25</v>
      </c>
      <c r="S28" s="632">
        <f t="shared" ref="S28:S40" si="12">F28</f>
        <v>100</v>
      </c>
      <c r="T28" s="631" t="s">
        <v>25</v>
      </c>
      <c r="U28" s="632">
        <f t="shared" ref="U28:U40" si="13">H28</f>
        <v>100</v>
      </c>
      <c r="V28" s="631" t="s">
        <v>25</v>
      </c>
      <c r="W28" s="632">
        <f t="shared" ref="W28:W40" si="14">J28</f>
        <v>100</v>
      </c>
      <c r="X28" s="1335"/>
      <c r="Y28" s="352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523" t="s">
        <v>2276</v>
      </c>
      <c r="Q29" s="1334" t="str">
        <f t="shared" si="11"/>
        <v>建筑类型</v>
      </c>
      <c r="R29" s="631" t="s">
        <v>25</v>
      </c>
      <c r="S29" s="632">
        <f t="shared" si="12"/>
        <v>100</v>
      </c>
      <c r="T29" s="631" t="s">
        <v>25</v>
      </c>
      <c r="U29" s="632">
        <f t="shared" si="13"/>
        <v>100</v>
      </c>
      <c r="V29" s="631" t="s">
        <v>25</v>
      </c>
      <c r="W29" s="632">
        <f t="shared" si="14"/>
        <v>100</v>
      </c>
      <c r="X29" s="1335"/>
      <c r="Y29" s="352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24"/>
      <c r="Q30" s="633" t="str">
        <f t="shared" si="11"/>
        <v>项目建筑规模</v>
      </c>
      <c r="R30" s="634" t="s">
        <v>25</v>
      </c>
      <c r="S30" s="635" t="e">
        <f t="shared" si="12"/>
        <v>#N/A</v>
      </c>
      <c r="T30" s="634" t="s">
        <v>25</v>
      </c>
      <c r="U30" s="635" t="e">
        <f t="shared" si="13"/>
        <v>#N/A</v>
      </c>
      <c r="V30" s="634" t="s">
        <v>25</v>
      </c>
      <c r="W30" s="635" t="e">
        <f t="shared" si="14"/>
        <v>#N/A</v>
      </c>
      <c r="X30" s="636"/>
      <c r="Y30" s="352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24"/>
      <c r="Q31" s="1334" t="str">
        <f t="shared" si="11"/>
        <v>建筑结构</v>
      </c>
      <c r="R31" s="631" t="s">
        <v>25</v>
      </c>
      <c r="S31" s="632">
        <f t="shared" si="12"/>
        <v>100</v>
      </c>
      <c r="T31" s="631" t="s">
        <v>25</v>
      </c>
      <c r="U31" s="632">
        <f t="shared" si="13"/>
        <v>100</v>
      </c>
      <c r="V31" s="631" t="s">
        <v>25</v>
      </c>
      <c r="W31" s="632">
        <f t="shared" si="14"/>
        <v>100</v>
      </c>
      <c r="X31" s="1335"/>
      <c r="Y31" s="352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24"/>
      <c r="Q32" s="1334" t="str">
        <f t="shared" si="11"/>
        <v>公共部分装修</v>
      </c>
      <c r="R32" s="631" t="s">
        <v>25</v>
      </c>
      <c r="S32" s="632">
        <f t="shared" si="12"/>
        <v>100</v>
      </c>
      <c r="T32" s="631" t="s">
        <v>25</v>
      </c>
      <c r="U32" s="632">
        <f t="shared" si="13"/>
        <v>100</v>
      </c>
      <c r="V32" s="631" t="s">
        <v>25</v>
      </c>
      <c r="W32" s="632">
        <f t="shared" si="14"/>
        <v>100</v>
      </c>
      <c r="X32" s="1335"/>
      <c r="Y32" s="352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24"/>
      <c r="Q33" s="1334" t="str">
        <f t="shared" si="11"/>
        <v>成新度</v>
      </c>
      <c r="R33" s="631" t="s">
        <v>25</v>
      </c>
      <c r="S33" s="632" t="e">
        <f t="shared" si="12"/>
        <v>#N/A</v>
      </c>
      <c r="T33" s="631" t="s">
        <v>25</v>
      </c>
      <c r="U33" s="632" t="e">
        <f t="shared" si="13"/>
        <v>#N/A</v>
      </c>
      <c r="V33" s="631" t="s">
        <v>25</v>
      </c>
      <c r="W33" s="632" t="e">
        <f t="shared" si="14"/>
        <v>#N/A</v>
      </c>
      <c r="X33" s="1335"/>
      <c r="Y33" s="352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24"/>
      <c r="Q34" s="1327" t="str">
        <f t="shared" si="11"/>
        <v>物业管理</v>
      </c>
      <c r="R34" s="627" t="s">
        <v>25</v>
      </c>
      <c r="S34" s="628">
        <f t="shared" si="12"/>
        <v>100</v>
      </c>
      <c r="T34" s="627" t="s">
        <v>25</v>
      </c>
      <c r="U34" s="628">
        <f t="shared" si="13"/>
        <v>100</v>
      </c>
      <c r="V34" s="627" t="s">
        <v>25</v>
      </c>
      <c r="W34" s="628">
        <f t="shared" si="14"/>
        <v>100</v>
      </c>
      <c r="X34" s="629"/>
      <c r="Y34" s="352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24" t="s">
        <v>2276</v>
      </c>
      <c r="Q35" s="1334" t="str">
        <f t="shared" si="11"/>
        <v>市政基础设施</v>
      </c>
      <c r="R35" s="631" t="s">
        <v>25</v>
      </c>
      <c r="S35" s="632">
        <f t="shared" si="12"/>
        <v>100</v>
      </c>
      <c r="T35" s="631" t="s">
        <v>25</v>
      </c>
      <c r="U35" s="632">
        <f t="shared" si="13"/>
        <v>100</v>
      </c>
      <c r="V35" s="631" t="s">
        <v>25</v>
      </c>
      <c r="W35" s="632">
        <f t="shared" si="14"/>
        <v>100</v>
      </c>
      <c r="X35" s="1335"/>
      <c r="Y35" s="352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24"/>
      <c r="Q36" s="1334" t="str">
        <f t="shared" si="11"/>
        <v>内部装修</v>
      </c>
      <c r="R36" s="631" t="s">
        <v>25</v>
      </c>
      <c r="S36" s="632">
        <f t="shared" si="12"/>
        <v>100</v>
      </c>
      <c r="T36" s="631" t="s">
        <v>25</v>
      </c>
      <c r="U36" s="632">
        <f t="shared" si="13"/>
        <v>100</v>
      </c>
      <c r="V36" s="631" t="s">
        <v>25</v>
      </c>
      <c r="W36" s="632">
        <f t="shared" si="14"/>
        <v>100</v>
      </c>
      <c r="X36" s="1335"/>
      <c r="Y36" s="352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24"/>
      <c r="Q37" s="1334" t="str">
        <f t="shared" si="11"/>
        <v>内部装修状况</v>
      </c>
      <c r="R37" s="631" t="s">
        <v>25</v>
      </c>
      <c r="S37" s="632">
        <f t="shared" si="12"/>
        <v>100</v>
      </c>
      <c r="T37" s="631" t="s">
        <v>25</v>
      </c>
      <c r="U37" s="632">
        <f t="shared" si="13"/>
        <v>100</v>
      </c>
      <c r="V37" s="631" t="s">
        <v>25</v>
      </c>
      <c r="W37" s="632">
        <f t="shared" si="14"/>
        <v>100</v>
      </c>
      <c r="X37" s="1335"/>
      <c r="Y37" s="352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24"/>
      <c r="Q38" s="633">
        <f t="shared" si="11"/>
        <v>111</v>
      </c>
      <c r="R38" s="634" t="s">
        <v>25</v>
      </c>
      <c r="S38" s="635">
        <f t="shared" si="12"/>
        <v>100</v>
      </c>
      <c r="T38" s="634" t="s">
        <v>25</v>
      </c>
      <c r="U38" s="635">
        <f t="shared" si="13"/>
        <v>100</v>
      </c>
      <c r="V38" s="634" t="s">
        <v>25</v>
      </c>
      <c r="W38" s="635">
        <f t="shared" si="14"/>
        <v>100</v>
      </c>
      <c r="X38" s="636"/>
      <c r="Y38" s="352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24"/>
      <c r="Q39" s="1334">
        <f t="shared" si="11"/>
        <v>111</v>
      </c>
      <c r="R39" s="631" t="s">
        <v>25</v>
      </c>
      <c r="S39" s="632">
        <f t="shared" si="12"/>
        <v>100</v>
      </c>
      <c r="T39" s="631" t="s">
        <v>25</v>
      </c>
      <c r="U39" s="632">
        <f t="shared" si="13"/>
        <v>100</v>
      </c>
      <c r="V39" s="631" t="s">
        <v>25</v>
      </c>
      <c r="W39" s="632">
        <f t="shared" si="14"/>
        <v>100</v>
      </c>
      <c r="X39" s="1335"/>
      <c r="Y39" s="352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25"/>
      <c r="Q40" s="1334">
        <f t="shared" si="11"/>
        <v>111</v>
      </c>
      <c r="R40" s="631" t="s">
        <v>25</v>
      </c>
      <c r="S40" s="632">
        <f t="shared" si="12"/>
        <v>100</v>
      </c>
      <c r="T40" s="631" t="s">
        <v>25</v>
      </c>
      <c r="U40" s="632">
        <f t="shared" si="13"/>
        <v>100</v>
      </c>
      <c r="V40" s="631" t="s">
        <v>25</v>
      </c>
      <c r="W40" s="632">
        <f t="shared" si="14"/>
        <v>100</v>
      </c>
      <c r="X40" s="1335"/>
      <c r="Y40" s="352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92" t="str">
        <f>A41</f>
        <v>成交单价（元/平方米）</v>
      </c>
      <c r="Q41" s="3492"/>
      <c r="R41" s="3526">
        <f>E41</f>
        <v>0</v>
      </c>
      <c r="S41" s="3526"/>
      <c r="T41" s="3526">
        <f>G41</f>
        <v>0</v>
      </c>
      <c r="U41" s="3526"/>
      <c r="V41" s="3526">
        <f>I41</f>
        <v>0</v>
      </c>
      <c r="W41" s="3526"/>
      <c r="X41" s="618"/>
      <c r="Y41" s="638"/>
      <c r="Z41" s="618"/>
      <c r="AA41" s="618"/>
      <c r="AB41" s="618"/>
      <c r="AC41" s="618"/>
    </row>
    <row r="42" spans="1:29" ht="15.75" thickBot="1">
      <c r="A42" s="374" t="s">
        <v>2371</v>
      </c>
      <c r="B42" s="375"/>
      <c r="C42" s="1159" t="e">
        <f>R43</f>
        <v>#DIV/0!</v>
      </c>
      <c r="D42" s="1794" t="s">
        <v>2745</v>
      </c>
      <c r="E42" s="1160" t="e">
        <f>R42</f>
        <v>#DIV/0!</v>
      </c>
      <c r="F42" s="1796"/>
      <c r="G42" s="1159" t="e">
        <f>T42</f>
        <v>#DIV/0!</v>
      </c>
      <c r="H42" s="1796"/>
      <c r="I42" s="1160" t="e">
        <f>V42</f>
        <v>#DIV/0!</v>
      </c>
      <c r="J42" s="1796"/>
      <c r="K42" s="2508">
        <f>F42+H42+J42</f>
        <v>0</v>
      </c>
      <c r="L42" s="3034"/>
      <c r="N42" s="3023"/>
      <c r="P42" s="3492" t="str">
        <f>A42</f>
        <v>比较价值（元/平方米）</v>
      </c>
      <c r="Q42" s="3492"/>
      <c r="R42" s="3526" t="e">
        <f>IF(E1="售价",ROUND(PRODUCT(R41,AA7:AA40),0),ROUND(PRODUCT(R41,AA7:AA40),1))</f>
        <v>#DIV/0!</v>
      </c>
      <c r="S42" s="3526"/>
      <c r="T42" s="3526" t="e">
        <f>IF(E1="售价",ROUND(PRODUCT(T41,AB7:AB40),0),ROUND(PRODUCT(T41,AB7:AB40),1))</f>
        <v>#DIV/0!</v>
      </c>
      <c r="U42" s="3526"/>
      <c r="V42" s="3526" t="e">
        <f>IF(E1="售价",ROUND(PRODUCT(V41,AC7:AC40),0),ROUND(PRODUCT(V41,AC7:AC40),1))</f>
        <v>#DIV/0!</v>
      </c>
      <c r="W42" s="3526"/>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527" t="str">
        <f>A43</f>
        <v>估价对象XX用房的比较价值（楼面单价，元/平方米）</v>
      </c>
      <c r="Q43" s="3528"/>
      <c r="R43" s="3529" t="e">
        <f>IF(E1="售价",ROUND(IF(D42="简单平均",AVERAGE(R42:V42),R42*F42+T42*H42+V42*J42),0),ROUND(IF(D42="简单平均",AVERAGE(R42:V42),R42*F42+T42*H42+V42*J42),1))</f>
        <v>#DIV/0!</v>
      </c>
      <c r="S43" s="3529"/>
      <c r="T43" s="3529"/>
      <c r="U43" s="3529"/>
      <c r="V43" s="3529"/>
      <c r="W43" s="3529"/>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353.61</v>
      </c>
      <c r="E3" s="839" t="s">
        <v>2406</v>
      </c>
      <c r="F3" s="293">
        <f>'数据-取费表'!B42</f>
        <v>1</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2"/>
      <c r="M4" s="3023"/>
      <c r="N4" s="3023"/>
      <c r="O4" s="3023"/>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2"/>
      <c r="M5" s="3023"/>
      <c r="N5" s="3023"/>
      <c r="O5" s="3023"/>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2"/>
      <c r="M6" s="3023"/>
      <c r="N6" s="3023"/>
      <c r="O6" s="3023"/>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95" t="s">
        <v>2259</v>
      </c>
      <c r="Q7" s="3519"/>
      <c r="R7" s="627" t="s">
        <v>25</v>
      </c>
      <c r="S7" s="628">
        <f t="shared" ref="S7:S14" si="0">F7</f>
        <v>0</v>
      </c>
      <c r="T7" s="627" t="s">
        <v>25</v>
      </c>
      <c r="U7" s="628">
        <f t="shared" ref="U7:U14" si="1">H7</f>
        <v>0</v>
      </c>
      <c r="V7" s="627" t="s">
        <v>25</v>
      </c>
      <c r="W7" s="628">
        <f t="shared" ref="W7:W14" si="2">J7</f>
        <v>0</v>
      </c>
      <c r="X7" s="629"/>
      <c r="Y7" s="3495" t="s">
        <v>2259</v>
      </c>
      <c r="Z7" s="3496"/>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95" t="s">
        <v>2262</v>
      </c>
      <c r="Q8" s="3496"/>
      <c r="R8" s="627" t="s">
        <v>25</v>
      </c>
      <c r="S8" s="628">
        <f t="shared" si="0"/>
        <v>0</v>
      </c>
      <c r="T8" s="627" t="s">
        <v>25</v>
      </c>
      <c r="U8" s="628">
        <f t="shared" si="1"/>
        <v>0</v>
      </c>
      <c r="V8" s="627" t="s">
        <v>25</v>
      </c>
      <c r="W8" s="628">
        <f t="shared" si="2"/>
        <v>0</v>
      </c>
      <c r="X8" s="629"/>
      <c r="Y8" s="3495" t="s">
        <v>2262</v>
      </c>
      <c r="Z8" s="3496"/>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2"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21"/>
      <c r="Q15" s="1334"/>
      <c r="R15" s="631"/>
      <c r="S15" s="632"/>
      <c r="T15" s="631"/>
      <c r="U15" s="632"/>
      <c r="V15" s="631"/>
      <c r="W15" s="632"/>
      <c r="X15" s="1335"/>
      <c r="Y15" s="352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21"/>
      <c r="Q17" s="1334"/>
      <c r="R17" s="631"/>
      <c r="S17" s="632"/>
      <c r="T17" s="631"/>
      <c r="U17" s="632"/>
      <c r="V17" s="631"/>
      <c r="W17" s="632"/>
      <c r="X17" s="1335"/>
      <c r="Y17" s="352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21"/>
      <c r="Q19" s="1334"/>
      <c r="R19" s="631"/>
      <c r="S19" s="632"/>
      <c r="T19" s="631"/>
      <c r="U19" s="632"/>
      <c r="V19" s="631"/>
      <c r="W19" s="632"/>
      <c r="X19" s="1335"/>
      <c r="Y19" s="352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21"/>
      <c r="Q21" s="1334"/>
      <c r="R21" s="631"/>
      <c r="S21" s="632"/>
      <c r="T21" s="631"/>
      <c r="U21" s="632"/>
      <c r="V21" s="631"/>
      <c r="W21" s="632"/>
      <c r="X21" s="1335"/>
      <c r="Y21" s="352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21"/>
      <c r="Q24" s="1334">
        <f t="shared" ref="Q24:Q36"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2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24"/>
      <c r="Q27" s="633" t="str">
        <f t="shared" si="11"/>
        <v>项目停车位配比</v>
      </c>
      <c r="R27" s="634" t="s">
        <v>25</v>
      </c>
      <c r="S27" s="635">
        <f t="shared" si="12"/>
        <v>100</v>
      </c>
      <c r="T27" s="634" t="s">
        <v>25</v>
      </c>
      <c r="U27" s="635">
        <f t="shared" si="13"/>
        <v>100</v>
      </c>
      <c r="V27" s="634" t="s">
        <v>25</v>
      </c>
      <c r="W27" s="635">
        <f t="shared" si="14"/>
        <v>100</v>
      </c>
      <c r="X27" s="636"/>
      <c r="Y27" s="352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24"/>
      <c r="Q28" s="1334" t="str">
        <f t="shared" si="11"/>
        <v>公共部分装修</v>
      </c>
      <c r="R28" s="631" t="s">
        <v>25</v>
      </c>
      <c r="S28" s="632">
        <f t="shared" si="12"/>
        <v>100</v>
      </c>
      <c r="T28" s="631" t="s">
        <v>25</v>
      </c>
      <c r="U28" s="632">
        <f t="shared" si="13"/>
        <v>100</v>
      </c>
      <c r="V28" s="631" t="s">
        <v>25</v>
      </c>
      <c r="W28" s="632">
        <f t="shared" si="14"/>
        <v>100</v>
      </c>
      <c r="X28" s="1335"/>
      <c r="Y28" s="352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24"/>
      <c r="Q29" s="1334" t="str">
        <f t="shared" si="11"/>
        <v>成新率</v>
      </c>
      <c r="R29" s="631" t="s">
        <v>25</v>
      </c>
      <c r="S29" s="632" t="e">
        <f t="shared" si="12"/>
        <v>#N/A</v>
      </c>
      <c r="T29" s="631" t="s">
        <v>25</v>
      </c>
      <c r="U29" s="632" t="e">
        <f t="shared" si="13"/>
        <v>#N/A</v>
      </c>
      <c r="V29" s="631" t="s">
        <v>25</v>
      </c>
      <c r="W29" s="632" t="e">
        <f t="shared" si="14"/>
        <v>#N/A</v>
      </c>
      <c r="X29" s="1335"/>
      <c r="Y29" s="352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24"/>
      <c r="Q30" s="1334" t="str">
        <f t="shared" si="11"/>
        <v>物业等级</v>
      </c>
      <c r="R30" s="631" t="s">
        <v>25</v>
      </c>
      <c r="S30" s="632">
        <f t="shared" si="12"/>
        <v>100</v>
      </c>
      <c r="T30" s="631" t="s">
        <v>25</v>
      </c>
      <c r="U30" s="632">
        <f t="shared" si="13"/>
        <v>100</v>
      </c>
      <c r="V30" s="631" t="s">
        <v>25</v>
      </c>
      <c r="W30" s="632">
        <f t="shared" si="14"/>
        <v>100</v>
      </c>
      <c r="X30" s="1335"/>
      <c r="Y30" s="352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24"/>
      <c r="Q31" s="1327" t="str">
        <f t="shared" si="11"/>
        <v>停车位面积</v>
      </c>
      <c r="R31" s="627" t="s">
        <v>25</v>
      </c>
      <c r="S31" s="628" t="e">
        <f t="shared" si="12"/>
        <v>#N/A</v>
      </c>
      <c r="T31" s="627" t="s">
        <v>25</v>
      </c>
      <c r="U31" s="628" t="e">
        <f t="shared" si="13"/>
        <v>#N/A</v>
      </c>
      <c r="V31" s="627" t="s">
        <v>25</v>
      </c>
      <c r="W31" s="628" t="e">
        <f t="shared" si="14"/>
        <v>#N/A</v>
      </c>
      <c r="X31" s="629"/>
      <c r="Y31" s="352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24" t="s">
        <v>2276</v>
      </c>
      <c r="Q32" s="1334" t="str">
        <f t="shared" si="11"/>
        <v>车位类型</v>
      </c>
      <c r="R32" s="631" t="s">
        <v>25</v>
      </c>
      <c r="S32" s="632">
        <f t="shared" si="12"/>
        <v>100</v>
      </c>
      <c r="T32" s="631" t="s">
        <v>25</v>
      </c>
      <c r="U32" s="632">
        <f t="shared" si="13"/>
        <v>100</v>
      </c>
      <c r="V32" s="631" t="s">
        <v>25</v>
      </c>
      <c r="W32" s="632">
        <f t="shared" si="14"/>
        <v>100</v>
      </c>
      <c r="X32" s="1335"/>
      <c r="Y32" s="352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24"/>
      <c r="Q33" s="1334" t="str">
        <f t="shared" si="11"/>
        <v>是否直接入户</v>
      </c>
      <c r="R33" s="631" t="s">
        <v>25</v>
      </c>
      <c r="S33" s="632">
        <f t="shared" si="12"/>
        <v>100</v>
      </c>
      <c r="T33" s="631" t="s">
        <v>25</v>
      </c>
      <c r="U33" s="632">
        <f t="shared" si="13"/>
        <v>100</v>
      </c>
      <c r="V33" s="631" t="s">
        <v>25</v>
      </c>
      <c r="W33" s="632">
        <f t="shared" si="14"/>
        <v>100</v>
      </c>
      <c r="X33" s="1335"/>
      <c r="Y33" s="352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24"/>
      <c r="Q35" s="633">
        <f t="shared" si="11"/>
        <v>111</v>
      </c>
      <c r="R35" s="634" t="s">
        <v>25</v>
      </c>
      <c r="S35" s="635">
        <f t="shared" si="12"/>
        <v>100</v>
      </c>
      <c r="T35" s="634" t="s">
        <v>25</v>
      </c>
      <c r="U35" s="635">
        <f t="shared" si="13"/>
        <v>100</v>
      </c>
      <c r="V35" s="634" t="s">
        <v>25</v>
      </c>
      <c r="W35" s="635">
        <f t="shared" si="14"/>
        <v>100</v>
      </c>
      <c r="X35" s="636"/>
      <c r="Y35" s="352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24"/>
      <c r="Q36" s="1334">
        <f t="shared" si="11"/>
        <v>111</v>
      </c>
      <c r="R36" s="631" t="s">
        <v>25</v>
      </c>
      <c r="S36" s="632">
        <f t="shared" si="12"/>
        <v>100</v>
      </c>
      <c r="T36" s="631" t="s">
        <v>25</v>
      </c>
      <c r="U36" s="632">
        <f t="shared" si="13"/>
        <v>100</v>
      </c>
      <c r="V36" s="631" t="s">
        <v>25</v>
      </c>
      <c r="W36" s="632">
        <f t="shared" si="14"/>
        <v>100</v>
      </c>
      <c r="X36" s="1335"/>
      <c r="Y36" s="352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92" t="str">
        <f>A37</f>
        <v>成交单价</v>
      </c>
      <c r="Q37" s="3492"/>
      <c r="R37" s="3526">
        <f>E37</f>
        <v>0</v>
      </c>
      <c r="S37" s="3526"/>
      <c r="T37" s="3526">
        <f>G37</f>
        <v>0</v>
      </c>
      <c r="U37" s="3526"/>
      <c r="V37" s="3526">
        <f>I37</f>
        <v>0</v>
      </c>
      <c r="W37" s="3526"/>
      <c r="X37" s="618"/>
      <c r="Y37" s="638"/>
      <c r="Z37" s="618"/>
      <c r="AA37" s="618"/>
      <c r="AB37" s="618"/>
      <c r="AC37" s="618"/>
    </row>
    <row r="38" spans="1:29" ht="15.75" thickBot="1">
      <c r="A38" s="374" t="s">
        <v>2420</v>
      </c>
      <c r="B38" s="375" t="str">
        <f>B37</f>
        <v>元/平方米</v>
      </c>
      <c r="C38" s="1159" t="e">
        <f>R39</f>
        <v>#DIV/0!</v>
      </c>
      <c r="D38" s="1794" t="s">
        <v>2745</v>
      </c>
      <c r="E38" s="1160" t="e">
        <f>R38</f>
        <v>#DIV/0!</v>
      </c>
      <c r="F38" s="1796"/>
      <c r="G38" s="1159" t="e">
        <f>T38</f>
        <v>#DIV/0!</v>
      </c>
      <c r="H38" s="1796"/>
      <c r="I38" s="1160" t="e">
        <f>V38</f>
        <v>#DIV/0!</v>
      </c>
      <c r="J38" s="1796"/>
      <c r="K38" s="2508">
        <f>F38+H38+J38</f>
        <v>0</v>
      </c>
      <c r="L38" s="3034"/>
      <c r="P38" s="3492" t="str">
        <f>A38</f>
        <v>比较价值</v>
      </c>
      <c r="Q38" s="3492"/>
      <c r="R38" s="3526" t="e">
        <f>IF(E1="售价",ROUND(PRODUCT(R37,AA7:AA36),0),ROUND(PRODUCT(R37,AA7:AA36),1))</f>
        <v>#DIV/0!</v>
      </c>
      <c r="S38" s="3526"/>
      <c r="T38" s="3526" t="e">
        <f>IF(E1="售价",ROUND(PRODUCT(T37,AB7:AB36),0),ROUND(PRODUCT(T37,AB7:AB36),1))</f>
        <v>#DIV/0!</v>
      </c>
      <c r="U38" s="3526"/>
      <c r="V38" s="3526" t="e">
        <f>IF(E1="售价",ROUND(PRODUCT(V37,AC7:AC36),0),ROUND(PRODUCT(V37,AC7:AC36),1))</f>
        <v>#DIV/0!</v>
      </c>
      <c r="W38" s="3526"/>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527" t="str">
        <f>A39</f>
        <v>估价对象XX用房的比较价值（楼面单价，元/平方米）</v>
      </c>
      <c r="Q39" s="3528"/>
      <c r="R39" s="3529" t="e">
        <f>IF(E1="售价",ROUND(IF(D38="简单平均",AVERAGE(R38:W38),R38*F38+T38*H38+V38*J38),0),ROUND(IF(D38="简单平均",AVERAGE(R38:V38),R38*F38+T38*H38+V38*J38),1))</f>
        <v>#DIV/0!</v>
      </c>
      <c r="S39" s="3529"/>
      <c r="T39" s="3529"/>
      <c r="U39" s="3529"/>
      <c r="V39" s="3529"/>
      <c r="W39" s="3529"/>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353.61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2"/>
      <c r="M4" s="3023"/>
      <c r="N4" s="3023"/>
      <c r="O4" s="3023"/>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2"/>
      <c r="M5" s="3023"/>
      <c r="N5" s="3023"/>
      <c r="O5" s="3023"/>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2"/>
      <c r="M6" s="3023"/>
      <c r="N6" s="3023"/>
      <c r="O6" s="3023"/>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44342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495" t="s">
        <v>2259</v>
      </c>
      <c r="Q7" s="3519"/>
      <c r="R7" s="627" t="s">
        <v>25</v>
      </c>
      <c r="S7" s="628">
        <f t="shared" ref="S7:S14" si="0">F7</f>
        <v>0</v>
      </c>
      <c r="T7" s="627" t="s">
        <v>25</v>
      </c>
      <c r="U7" s="628">
        <f t="shared" ref="U7:U14" si="1">H7</f>
        <v>0</v>
      </c>
      <c r="V7" s="627" t="s">
        <v>25</v>
      </c>
      <c r="W7" s="628">
        <f t="shared" ref="W7:W14" si="2">J7</f>
        <v>0</v>
      </c>
      <c r="X7" s="629"/>
      <c r="Y7" s="3495" t="s">
        <v>2259</v>
      </c>
      <c r="Z7" s="3496"/>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95" t="s">
        <v>2262</v>
      </c>
      <c r="Q8" s="3496"/>
      <c r="R8" s="627" t="s">
        <v>25</v>
      </c>
      <c r="S8" s="628">
        <f t="shared" si="0"/>
        <v>0</v>
      </c>
      <c r="T8" s="627" t="s">
        <v>25</v>
      </c>
      <c r="U8" s="628">
        <f t="shared" si="1"/>
        <v>0</v>
      </c>
      <c r="V8" s="627" t="s">
        <v>25</v>
      </c>
      <c r="W8" s="628">
        <f t="shared" si="2"/>
        <v>0</v>
      </c>
      <c r="X8" s="629"/>
      <c r="Y8" s="3495" t="s">
        <v>2262</v>
      </c>
      <c r="Z8" s="3496"/>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2"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21"/>
      <c r="Q15" s="1334"/>
      <c r="R15" s="631"/>
      <c r="S15" s="632"/>
      <c r="T15" s="631"/>
      <c r="U15" s="632"/>
      <c r="V15" s="631"/>
      <c r="W15" s="632"/>
      <c r="X15" s="1335"/>
      <c r="Y15" s="352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21"/>
      <c r="Q17" s="1334"/>
      <c r="R17" s="631"/>
      <c r="S17" s="632"/>
      <c r="T17" s="631"/>
      <c r="U17" s="632"/>
      <c r="V17" s="631"/>
      <c r="W17" s="632"/>
      <c r="X17" s="1335"/>
      <c r="Y17" s="352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21"/>
      <c r="Q19" s="1334"/>
      <c r="R19" s="631"/>
      <c r="S19" s="632"/>
      <c r="T19" s="631"/>
      <c r="U19" s="632"/>
      <c r="V19" s="631"/>
      <c r="W19" s="632"/>
      <c r="X19" s="1335"/>
      <c r="Y19" s="352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21"/>
      <c r="Q21" s="1334"/>
      <c r="R21" s="631"/>
      <c r="S21" s="632"/>
      <c r="T21" s="631"/>
      <c r="U21" s="632"/>
      <c r="V21" s="631"/>
      <c r="W21" s="632"/>
      <c r="X21" s="1335"/>
      <c r="Y21" s="352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1"/>
      <c r="Q24" s="1334">
        <f t="shared" ref="Q24:Q34"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52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24"/>
      <c r="Q27" s="633" t="str">
        <f t="shared" si="11"/>
        <v>成新率</v>
      </c>
      <c r="R27" s="634" t="s">
        <v>25</v>
      </c>
      <c r="S27" s="635" t="e">
        <f t="shared" si="12"/>
        <v>#N/A</v>
      </c>
      <c r="T27" s="634" t="s">
        <v>25</v>
      </c>
      <c r="U27" s="635" t="e">
        <f t="shared" si="13"/>
        <v>#N/A</v>
      </c>
      <c r="V27" s="634" t="s">
        <v>25</v>
      </c>
      <c r="W27" s="635" t="e">
        <f t="shared" si="14"/>
        <v>#N/A</v>
      </c>
      <c r="X27" s="636"/>
      <c r="Y27" s="352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24"/>
      <c r="Q28" s="1334" t="str">
        <f t="shared" si="11"/>
        <v>物业等级</v>
      </c>
      <c r="R28" s="631" t="s">
        <v>25</v>
      </c>
      <c r="S28" s="632">
        <f t="shared" si="12"/>
        <v>100</v>
      </c>
      <c r="T28" s="631" t="s">
        <v>25</v>
      </c>
      <c r="U28" s="632">
        <f t="shared" si="13"/>
        <v>100</v>
      </c>
      <c r="V28" s="631" t="s">
        <v>25</v>
      </c>
      <c r="W28" s="632">
        <f t="shared" si="14"/>
        <v>100</v>
      </c>
      <c r="X28" s="1335"/>
      <c r="Y28" s="352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24"/>
      <c r="Q29" s="1334" t="str">
        <f t="shared" si="11"/>
        <v>有无电梯</v>
      </c>
      <c r="R29" s="631" t="s">
        <v>25</v>
      </c>
      <c r="S29" s="632">
        <f t="shared" si="12"/>
        <v>100</v>
      </c>
      <c r="T29" s="631" t="s">
        <v>25</v>
      </c>
      <c r="U29" s="632">
        <f t="shared" si="13"/>
        <v>100</v>
      </c>
      <c r="V29" s="631" t="s">
        <v>25</v>
      </c>
      <c r="W29" s="632">
        <f t="shared" si="14"/>
        <v>100</v>
      </c>
      <c r="X29" s="1335"/>
      <c r="Y29" s="352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24"/>
      <c r="Q30" s="1334" t="str">
        <f t="shared" si="11"/>
        <v>建筑面积</v>
      </c>
      <c r="R30" s="631" t="s">
        <v>25</v>
      </c>
      <c r="S30" s="632" t="e">
        <f t="shared" si="12"/>
        <v>#N/A</v>
      </c>
      <c r="T30" s="631" t="s">
        <v>25</v>
      </c>
      <c r="U30" s="632" t="e">
        <f t="shared" si="13"/>
        <v>#N/A</v>
      </c>
      <c r="V30" s="631" t="s">
        <v>25</v>
      </c>
      <c r="W30" s="632" t="e">
        <f t="shared" si="14"/>
        <v>#N/A</v>
      </c>
      <c r="X30" s="1335"/>
      <c r="Y30" s="352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24"/>
      <c r="Q31" s="1327" t="str">
        <f t="shared" si="11"/>
        <v>是否封闭</v>
      </c>
      <c r="R31" s="627" t="s">
        <v>25</v>
      </c>
      <c r="S31" s="628">
        <f t="shared" si="12"/>
        <v>100</v>
      </c>
      <c r="T31" s="627" t="s">
        <v>25</v>
      </c>
      <c r="U31" s="628">
        <f t="shared" si="13"/>
        <v>100</v>
      </c>
      <c r="V31" s="627" t="s">
        <v>25</v>
      </c>
      <c r="W31" s="628">
        <f t="shared" si="14"/>
        <v>100</v>
      </c>
      <c r="X31" s="629"/>
      <c r="Y31" s="352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24" t="s">
        <v>2276</v>
      </c>
      <c r="Q32" s="1334">
        <f t="shared" si="11"/>
        <v>111</v>
      </c>
      <c r="R32" s="631" t="s">
        <v>25</v>
      </c>
      <c r="S32" s="632">
        <f t="shared" si="12"/>
        <v>100</v>
      </c>
      <c r="T32" s="631" t="s">
        <v>25</v>
      </c>
      <c r="U32" s="632">
        <f t="shared" si="13"/>
        <v>100</v>
      </c>
      <c r="V32" s="631" t="s">
        <v>25</v>
      </c>
      <c r="W32" s="632">
        <f t="shared" si="14"/>
        <v>100</v>
      </c>
      <c r="X32" s="1335"/>
      <c r="Y32" s="3524"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24"/>
      <c r="Q33" s="1334">
        <f t="shared" si="11"/>
        <v>111</v>
      </c>
      <c r="R33" s="631" t="s">
        <v>25</v>
      </c>
      <c r="S33" s="632">
        <f t="shared" si="12"/>
        <v>100</v>
      </c>
      <c r="T33" s="631" t="s">
        <v>25</v>
      </c>
      <c r="U33" s="632">
        <f t="shared" si="13"/>
        <v>100</v>
      </c>
      <c r="V33" s="631" t="s">
        <v>25</v>
      </c>
      <c r="W33" s="632">
        <f t="shared" si="14"/>
        <v>100</v>
      </c>
      <c r="X33" s="1335"/>
      <c r="Y33" s="352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92" t="str">
        <f>A35</f>
        <v>成交单价（元/平方米）</v>
      </c>
      <c r="Q35" s="3492"/>
      <c r="R35" s="3526">
        <f>E35</f>
        <v>0</v>
      </c>
      <c r="S35" s="3526"/>
      <c r="T35" s="3526">
        <f>G35</f>
        <v>0</v>
      </c>
      <c r="U35" s="3526"/>
      <c r="V35" s="3526">
        <f>I35</f>
        <v>0</v>
      </c>
      <c r="W35" s="3526"/>
      <c r="X35" s="618"/>
      <c r="Y35" s="638"/>
      <c r="Z35" s="618"/>
      <c r="AA35" s="618"/>
      <c r="AB35" s="618"/>
      <c r="AC35" s="618"/>
    </row>
    <row r="36" spans="1:29" ht="15.75" thickBot="1">
      <c r="A36" s="374" t="s">
        <v>2371</v>
      </c>
      <c r="B36" s="375"/>
      <c r="C36" s="1159" t="e">
        <f>R37</f>
        <v>#DIV/0!</v>
      </c>
      <c r="D36" s="1794" t="s">
        <v>2745</v>
      </c>
      <c r="E36" s="1160" t="e">
        <f>R36</f>
        <v>#DIV/0!</v>
      </c>
      <c r="F36" s="1796"/>
      <c r="G36" s="1159" t="e">
        <f>T36</f>
        <v>#DIV/0!</v>
      </c>
      <c r="H36" s="1796"/>
      <c r="I36" s="1160" t="e">
        <f>V36</f>
        <v>#DIV/0!</v>
      </c>
      <c r="J36" s="1796"/>
      <c r="K36" s="2508">
        <f>F36+H36+J36</f>
        <v>0</v>
      </c>
      <c r="L36" s="3034"/>
      <c r="N36" s="3023"/>
      <c r="P36" s="3492" t="str">
        <f>A36</f>
        <v>比较价值（元/平方米）</v>
      </c>
      <c r="Q36" s="3492"/>
      <c r="R36" s="3526" t="e">
        <f>IF(E1="售价",ROUND(PRODUCT(R35,AA7:AA34),0),ROUND(PRODUCT(R35,AA7:AA34),1))</f>
        <v>#DIV/0!</v>
      </c>
      <c r="S36" s="3526"/>
      <c r="T36" s="3526" t="e">
        <f>IF(E1="售价",ROUND(PRODUCT(T35,AB7:AB34),0),ROUND(PRODUCT(T35,AB7:AB34),1))</f>
        <v>#DIV/0!</v>
      </c>
      <c r="U36" s="3526"/>
      <c r="V36" s="3526" t="e">
        <f>IF(E1="售价",ROUND(PRODUCT(V35,AC7:AC34),0),ROUND(PRODUCT(V35,AC7:AC34),1))</f>
        <v>#DIV/0!</v>
      </c>
      <c r="W36" s="3526"/>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527" t="str">
        <f>A37</f>
        <v>估价对象XX用房的比较价值（楼面单价，元/平方米）</v>
      </c>
      <c r="Q37" s="3528"/>
      <c r="R37" s="3529" t="e">
        <f>IF(E1="售价",ROUND(IF(D36="简单平均",AVERAGE(R36:W36),R36*F36+T36*H36+V36*J36),0),ROUND(IF(D36="简单平均",AVERAGE(R36:V36),R36*F36+T36*H36+V36*J36),1))</f>
        <v>#DIV/0!</v>
      </c>
      <c r="S37" s="3529"/>
      <c r="T37" s="3529"/>
      <c r="U37" s="3529"/>
      <c r="V37" s="3529"/>
      <c r="W37" s="3529"/>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7"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1914</v>
      </c>
      <c r="B3" s="1960" t="e">
        <f>ROUND(B2/'数据-取费表'!B5,0)</f>
        <v>#DIV/0!</v>
      </c>
      <c r="C3" s="1657"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3" t="s">
        <v>2245</v>
      </c>
      <c r="B4" s="1664"/>
      <c r="C4" s="3442" t="s">
        <v>2246</v>
      </c>
      <c r="D4" s="3443"/>
      <c r="E4" s="3444" t="s">
        <v>2247</v>
      </c>
      <c r="F4" s="3445"/>
      <c r="G4" s="3442" t="s">
        <v>2248</v>
      </c>
      <c r="H4" s="3443"/>
      <c r="I4" s="3442" t="s">
        <v>2249</v>
      </c>
      <c r="J4" s="3443"/>
      <c r="K4" s="1963" t="s">
        <v>2250</v>
      </c>
      <c r="L4" s="2994"/>
      <c r="M4" s="2995"/>
      <c r="N4" s="2995"/>
      <c r="O4" s="2995"/>
      <c r="P4" s="3446" t="s">
        <v>2251</v>
      </c>
      <c r="Q4" s="3447"/>
      <c r="R4" s="3452" t="s">
        <v>2247</v>
      </c>
      <c r="S4" s="3453"/>
      <c r="T4" s="3452" t="s">
        <v>2248</v>
      </c>
      <c r="U4" s="3453"/>
      <c r="V4" s="3458" t="s">
        <v>2249</v>
      </c>
      <c r="W4" s="3458"/>
      <c r="X4" s="1666"/>
      <c r="Y4" s="3452" t="s">
        <v>2251</v>
      </c>
      <c r="Z4" s="3453"/>
      <c r="AA4" s="3439" t="s">
        <v>2247</v>
      </c>
      <c r="AB4" s="3440" t="s">
        <v>2248</v>
      </c>
      <c r="AC4" s="3439" t="s">
        <v>2249</v>
      </c>
    </row>
    <row r="5" spans="1:30" ht="15">
      <c r="A5" s="1668"/>
      <c r="B5" s="1669"/>
      <c r="C5" s="3461" t="s">
        <v>2252</v>
      </c>
      <c r="D5" s="3462"/>
      <c r="E5" s="3459" t="s">
        <v>2253</v>
      </c>
      <c r="F5" s="3460"/>
      <c r="G5" s="3461" t="s">
        <v>2254</v>
      </c>
      <c r="H5" s="3462"/>
      <c r="I5" s="3461" t="s">
        <v>2255</v>
      </c>
      <c r="J5" s="3462"/>
      <c r="K5" s="1963"/>
      <c r="L5" s="2994"/>
      <c r="M5" s="2995"/>
      <c r="N5" s="2995"/>
      <c r="O5" s="2995"/>
      <c r="P5" s="3448"/>
      <c r="Q5" s="3449"/>
      <c r="R5" s="3454"/>
      <c r="S5" s="3455"/>
      <c r="T5" s="3454"/>
      <c r="U5" s="3455"/>
      <c r="V5" s="3458"/>
      <c r="W5" s="3458"/>
      <c r="X5" s="1666"/>
      <c r="Y5" s="3454"/>
      <c r="Z5" s="3455"/>
      <c r="AA5" s="3440"/>
      <c r="AB5" s="3440"/>
      <c r="AC5" s="3440"/>
    </row>
    <row r="6" spans="1:30" ht="15.75" thickBot="1">
      <c r="A6" s="1671"/>
      <c r="B6" s="1672"/>
      <c r="C6" s="3463" t="s">
        <v>2256</v>
      </c>
      <c r="D6" s="3464"/>
      <c r="E6" s="3465" t="s">
        <v>2256</v>
      </c>
      <c r="F6" s="3466"/>
      <c r="G6" s="3463" t="s">
        <v>2256</v>
      </c>
      <c r="H6" s="3464"/>
      <c r="I6" s="3463" t="s">
        <v>2256</v>
      </c>
      <c r="J6" s="3464"/>
      <c r="K6" s="1963" t="s">
        <v>2257</v>
      </c>
      <c r="L6" s="2994"/>
      <c r="M6" s="2995"/>
      <c r="N6" s="2995"/>
      <c r="O6" s="2995"/>
      <c r="P6" s="3450"/>
      <c r="Q6" s="3451"/>
      <c r="R6" s="3454"/>
      <c r="S6" s="3455"/>
      <c r="T6" s="3456"/>
      <c r="U6" s="3457"/>
      <c r="V6" s="3458"/>
      <c r="W6" s="3458"/>
      <c r="X6" s="1666"/>
      <c r="Y6" s="3456"/>
      <c r="Z6" s="3457"/>
      <c r="AA6" s="3441"/>
      <c r="AB6" s="3441"/>
      <c r="AC6" s="3441"/>
    </row>
    <row r="7" spans="1:30" s="1685" customFormat="1" ht="15.75" thickBot="1">
      <c r="A7" s="1673" t="s">
        <v>2258</v>
      </c>
      <c r="B7" s="1674"/>
      <c r="C7" s="1675">
        <f>'数据-取费表'!B2</f>
        <v>44342</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74" t="s">
        <v>2259</v>
      </c>
      <c r="Q7" s="3476"/>
      <c r="R7" s="1681" t="s">
        <v>25</v>
      </c>
      <c r="S7" s="1682">
        <f t="shared" ref="S7:S15" si="0">F7</f>
        <v>0</v>
      </c>
      <c r="T7" s="1681" t="s">
        <v>25</v>
      </c>
      <c r="U7" s="1682">
        <f t="shared" ref="U7:U15" si="1">H7</f>
        <v>0</v>
      </c>
      <c r="V7" s="1681" t="s">
        <v>25</v>
      </c>
      <c r="W7" s="1682">
        <f t="shared" ref="W7:W15" si="2">J7</f>
        <v>0</v>
      </c>
      <c r="X7" s="1683"/>
      <c r="Y7" s="3474" t="s">
        <v>2259</v>
      </c>
      <c r="Z7" s="3475"/>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74" t="s">
        <v>2262</v>
      </c>
      <c r="Q8" s="3475"/>
      <c r="R8" s="1681" t="s">
        <v>25</v>
      </c>
      <c r="S8" s="1682">
        <f t="shared" si="0"/>
        <v>0</v>
      </c>
      <c r="T8" s="1681" t="s">
        <v>25</v>
      </c>
      <c r="U8" s="1682">
        <f t="shared" si="1"/>
        <v>0</v>
      </c>
      <c r="V8" s="1681" t="s">
        <v>25</v>
      </c>
      <c r="W8" s="1682">
        <f t="shared" si="2"/>
        <v>0</v>
      </c>
      <c r="X8" s="1683"/>
      <c r="Y8" s="3474" t="s">
        <v>2262</v>
      </c>
      <c r="Z8" s="3475"/>
      <c r="AA8" s="1684" t="e">
        <f t="shared" ref="AA8:AA45" si="3">D8/F8</f>
        <v>#DIV/0!</v>
      </c>
      <c r="AB8" s="1684" t="e">
        <f t="shared" ref="AB8:AB45" si="4">D8/H8</f>
        <v>#DIV/0!</v>
      </c>
      <c r="AC8" s="1684" t="e">
        <f t="shared" ref="AC8:AC45" si="5">D8/J8</f>
        <v>#DIV/0!</v>
      </c>
    </row>
    <row r="9" spans="1:30" s="1685" customFormat="1">
      <c r="A9" s="1636" t="s">
        <v>2263</v>
      </c>
      <c r="B9" s="1688" t="s">
        <v>2264</v>
      </c>
      <c r="C9" s="1966"/>
      <c r="D9" s="1690">
        <v>100</v>
      </c>
      <c r="E9" s="1966"/>
      <c r="F9" s="1690">
        <f>SUMIF(75:75,E9,76:76)-SUMIF(75:75,C9,76:76)+100</f>
        <v>100</v>
      </c>
      <c r="G9" s="1966"/>
      <c r="H9" s="1690">
        <f>SUMIF(75:75,G9,76:76)-SUMIF(75:75,C9,76:76)+100</f>
        <v>100</v>
      </c>
      <c r="I9" s="1966"/>
      <c r="J9" s="1690">
        <f>SUMIF(75:75,I9,76:76)-SUMIF(75:75,C9,76:76)+100</f>
        <v>100</v>
      </c>
      <c r="K9" s="1965"/>
      <c r="L9" s="2994"/>
      <c r="M9" s="2967"/>
      <c r="N9" s="2967"/>
      <c r="O9" s="3041"/>
      <c r="P9" s="3478" t="s">
        <v>2265</v>
      </c>
      <c r="Q9" s="1635" t="str">
        <f t="shared" ref="Q9:Q15" si="6">B9</f>
        <v>用途</v>
      </c>
      <c r="R9" s="1681" t="s">
        <v>25</v>
      </c>
      <c r="S9" s="1682">
        <f t="shared" si="0"/>
        <v>100</v>
      </c>
      <c r="T9" s="1681" t="s">
        <v>25</v>
      </c>
      <c r="U9" s="1682">
        <f t="shared" si="1"/>
        <v>100</v>
      </c>
      <c r="V9" s="1681" t="s">
        <v>25</v>
      </c>
      <c r="W9" s="1682">
        <f t="shared" si="2"/>
        <v>100</v>
      </c>
      <c r="X9" s="1683"/>
      <c r="Y9" s="3340"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106</v>
      </c>
      <c r="G10" s="1758"/>
      <c r="H10" s="1698">
        <f>ROUND(100/'数据-取费表'!B14,0)</f>
        <v>106</v>
      </c>
      <c r="I10" s="1758"/>
      <c r="J10" s="1698">
        <f>ROUND(100/'数据-取费表'!B14,0)</f>
        <v>106</v>
      </c>
      <c r="K10" s="1967"/>
      <c r="L10" s="2996"/>
      <c r="M10" s="2997"/>
      <c r="N10" s="2997"/>
      <c r="O10" s="3042"/>
      <c r="P10" s="3478"/>
      <c r="Q10" s="1635" t="str">
        <f t="shared" si="6"/>
        <v>土地使用年限（年）</v>
      </c>
      <c r="R10" s="1681" t="s">
        <v>25</v>
      </c>
      <c r="S10" s="1682">
        <f t="shared" si="0"/>
        <v>106</v>
      </c>
      <c r="T10" s="1681" t="s">
        <v>25</v>
      </c>
      <c r="U10" s="1682">
        <f t="shared" si="1"/>
        <v>106</v>
      </c>
      <c r="V10" s="1681" t="s">
        <v>25</v>
      </c>
      <c r="W10" s="1682">
        <f t="shared" si="2"/>
        <v>106</v>
      </c>
      <c r="X10" s="1683"/>
      <c r="Y10" s="3340"/>
      <c r="Z10" s="1694" t="str">
        <f t="shared" si="7"/>
        <v>土地使用年限（年）</v>
      </c>
      <c r="AA10" s="1684">
        <f t="shared" si="3"/>
        <v>0.94339622641509435</v>
      </c>
      <c r="AB10" s="1684">
        <f t="shared" si="4"/>
        <v>0.94339622641509435</v>
      </c>
      <c r="AC10" s="1684">
        <f t="shared" si="5"/>
        <v>0.94339622641509435</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2998"/>
      <c r="M11" s="2995"/>
      <c r="N11" s="2995"/>
      <c r="O11" s="3043"/>
      <c r="P11" s="3478"/>
      <c r="Q11" s="1635" t="str">
        <f t="shared" si="6"/>
        <v>容积率</v>
      </c>
      <c r="R11" s="1681" t="s">
        <v>25</v>
      </c>
      <c r="S11" s="1682" t="e">
        <f t="shared" si="0"/>
        <v>#N/A</v>
      </c>
      <c r="T11" s="1681" t="s">
        <v>25</v>
      </c>
      <c r="U11" s="1682" t="e">
        <f t="shared" si="1"/>
        <v>#N/A</v>
      </c>
      <c r="V11" s="1681" t="s">
        <v>25</v>
      </c>
      <c r="W11" s="1682" t="e">
        <f t="shared" si="2"/>
        <v>#N/A</v>
      </c>
      <c r="X11" s="1683"/>
      <c r="Y11" s="3340"/>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67"/>
      <c r="L12" s="2994"/>
      <c r="M12" s="2967"/>
      <c r="N12" s="2967"/>
      <c r="O12" s="3041"/>
      <c r="P12" s="3478"/>
      <c r="Q12" s="1635" t="str">
        <f t="shared" si="6"/>
        <v>配建</v>
      </c>
      <c r="R12" s="1681" t="s">
        <v>25</v>
      </c>
      <c r="S12" s="1682">
        <f t="shared" si="0"/>
        <v>100</v>
      </c>
      <c r="T12" s="1681" t="s">
        <v>25</v>
      </c>
      <c r="U12" s="1682">
        <f t="shared" si="1"/>
        <v>100</v>
      </c>
      <c r="V12" s="1681" t="s">
        <v>25</v>
      </c>
      <c r="W12" s="1682">
        <f t="shared" si="2"/>
        <v>100</v>
      </c>
      <c r="X12" s="1683"/>
      <c r="Y12" s="3340"/>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2999"/>
      <c r="M13" s="2995"/>
      <c r="N13" s="2995"/>
      <c r="O13" s="3043"/>
      <c r="P13" s="3478"/>
      <c r="Q13" s="1635">
        <f t="shared" si="6"/>
        <v>111</v>
      </c>
      <c r="R13" s="1681" t="s">
        <v>25</v>
      </c>
      <c r="S13" s="1682">
        <f t="shared" si="0"/>
        <v>100</v>
      </c>
      <c r="T13" s="1681" t="s">
        <v>25</v>
      </c>
      <c r="U13" s="1682">
        <f t="shared" si="1"/>
        <v>100</v>
      </c>
      <c r="V13" s="1681" t="s">
        <v>25</v>
      </c>
      <c r="W13" s="1682">
        <f t="shared" si="2"/>
        <v>100</v>
      </c>
      <c r="X13" s="1683"/>
      <c r="Y13" s="3340"/>
      <c r="Z13" s="1694">
        <f t="shared" si="7"/>
        <v>111</v>
      </c>
      <c r="AA13" s="1684">
        <f>D13/F13</f>
        <v>1</v>
      </c>
      <c r="AB13" s="1684">
        <f>D13/H13</f>
        <v>1</v>
      </c>
      <c r="AC13" s="1684">
        <f>D13/J13</f>
        <v>1</v>
      </c>
    </row>
    <row r="14" spans="1:30" ht="15.75"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2999"/>
      <c r="M14" s="2995"/>
      <c r="N14" s="2995"/>
      <c r="O14" s="3043"/>
      <c r="P14" s="3478"/>
      <c r="Q14" s="1635">
        <f t="shared" si="6"/>
        <v>111</v>
      </c>
      <c r="R14" s="1681" t="s">
        <v>25</v>
      </c>
      <c r="S14" s="1682">
        <f t="shared" si="0"/>
        <v>100</v>
      </c>
      <c r="T14" s="1681" t="s">
        <v>25</v>
      </c>
      <c r="U14" s="1682">
        <f t="shared" si="1"/>
        <v>100</v>
      </c>
      <c r="V14" s="1681" t="s">
        <v>25</v>
      </c>
      <c r="W14" s="1682">
        <f t="shared" si="2"/>
        <v>100</v>
      </c>
      <c r="X14" s="1683"/>
      <c r="Y14" s="3340"/>
      <c r="Z14" s="1694">
        <f t="shared" si="7"/>
        <v>111</v>
      </c>
      <c r="AA14" s="1684">
        <f>D14/F14</f>
        <v>1</v>
      </c>
      <c r="AB14" s="1684">
        <f>D14/H14</f>
        <v>1</v>
      </c>
      <c r="AC14" s="1684">
        <f>D14/J14</f>
        <v>1</v>
      </c>
    </row>
    <row r="15" spans="1:30" ht="99.75">
      <c r="A15" s="1663" t="s">
        <v>2269</v>
      </c>
      <c r="B15" s="1970" t="s">
        <v>1703</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2999"/>
      <c r="M15" s="2995"/>
      <c r="N15" s="2995"/>
      <c r="O15" s="3043"/>
      <c r="P15" s="3467" t="s">
        <v>2270</v>
      </c>
      <c r="Q15" s="1616" t="str">
        <f t="shared" si="6"/>
        <v>居住社区成熟度</v>
      </c>
      <c r="R15" s="1726" t="s">
        <v>25</v>
      </c>
      <c r="S15" s="1727">
        <f t="shared" si="0"/>
        <v>100</v>
      </c>
      <c r="T15" s="1726" t="s">
        <v>25</v>
      </c>
      <c r="U15" s="1727">
        <f t="shared" si="1"/>
        <v>100</v>
      </c>
      <c r="V15" s="1726" t="s">
        <v>25</v>
      </c>
      <c r="W15" s="1727">
        <f t="shared" si="2"/>
        <v>100</v>
      </c>
      <c r="X15" s="1666"/>
      <c r="Y15" s="3467" t="s">
        <v>2270</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2999"/>
      <c r="M16" s="2995"/>
      <c r="N16" s="2995"/>
      <c r="O16" s="3043"/>
      <c r="P16" s="3468"/>
      <c r="Q16" s="1616"/>
      <c r="R16" s="1726"/>
      <c r="S16" s="1727"/>
      <c r="T16" s="1726"/>
      <c r="U16" s="1727"/>
      <c r="V16" s="1726"/>
      <c r="W16" s="1727"/>
      <c r="X16" s="1666"/>
      <c r="Y16" s="3468"/>
      <c r="Z16" s="1728"/>
      <c r="AA16" s="1729">
        <v>1</v>
      </c>
      <c r="AB16" s="1729">
        <v>1</v>
      </c>
      <c r="AC16" s="1729">
        <v>1</v>
      </c>
    </row>
    <row r="17" spans="1:29" ht="71.25">
      <c r="A17" s="1668"/>
      <c r="B17" s="1974" t="s">
        <v>2355</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2999"/>
      <c r="M17" s="2995"/>
      <c r="N17" s="2995"/>
      <c r="O17" s="3043"/>
      <c r="P17" s="3468"/>
      <c r="Q17" s="1616" t="str">
        <f>B17</f>
        <v>商业繁华度</v>
      </c>
      <c r="R17" s="1726" t="s">
        <v>25</v>
      </c>
      <c r="S17" s="1727">
        <f>F17</f>
        <v>100</v>
      </c>
      <c r="T17" s="1726" t="s">
        <v>25</v>
      </c>
      <c r="U17" s="1727">
        <f>H17</f>
        <v>100</v>
      </c>
      <c r="V17" s="1726" t="s">
        <v>25</v>
      </c>
      <c r="W17" s="1727">
        <f>J17</f>
        <v>100</v>
      </c>
      <c r="X17" s="1666"/>
      <c r="Y17" s="3468"/>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2999"/>
      <c r="M18" s="2995"/>
      <c r="N18" s="2995"/>
      <c r="O18" s="3043"/>
      <c r="P18" s="3468"/>
      <c r="Q18" s="1616"/>
      <c r="R18" s="1726"/>
      <c r="S18" s="1727"/>
      <c r="T18" s="1726"/>
      <c r="U18" s="1727"/>
      <c r="V18" s="1726"/>
      <c r="W18" s="1727"/>
      <c r="X18" s="1666"/>
      <c r="Y18" s="3468"/>
      <c r="Z18" s="1728"/>
      <c r="AA18" s="1729">
        <v>1</v>
      </c>
      <c r="AB18" s="1729">
        <v>1</v>
      </c>
      <c r="AC18" s="1729">
        <v>1</v>
      </c>
    </row>
    <row r="19" spans="1:29" ht="71.25">
      <c r="A19" s="1668"/>
      <c r="B19" s="1974" t="s">
        <v>2384</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2999"/>
      <c r="M19" s="2995"/>
      <c r="N19" s="2995"/>
      <c r="O19" s="3043"/>
      <c r="P19" s="3468"/>
      <c r="Q19" s="1616" t="str">
        <f>B19</f>
        <v>办公集聚程度</v>
      </c>
      <c r="R19" s="1726" t="s">
        <v>25</v>
      </c>
      <c r="S19" s="1727">
        <f>F19</f>
        <v>100</v>
      </c>
      <c r="T19" s="1726" t="s">
        <v>25</v>
      </c>
      <c r="U19" s="1727">
        <f>H19</f>
        <v>100</v>
      </c>
      <c r="V19" s="1726" t="s">
        <v>25</v>
      </c>
      <c r="W19" s="1727">
        <f>J19</f>
        <v>100</v>
      </c>
      <c r="X19" s="1666"/>
      <c r="Y19" s="3468"/>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2999"/>
      <c r="M20" s="2995"/>
      <c r="N20" s="2995"/>
      <c r="O20" s="3043"/>
      <c r="P20" s="3468"/>
      <c r="Q20" s="1616"/>
      <c r="R20" s="1726"/>
      <c r="S20" s="1727"/>
      <c r="T20" s="1726"/>
      <c r="U20" s="1727"/>
      <c r="V20" s="1726"/>
      <c r="W20" s="1727"/>
      <c r="X20" s="1666"/>
      <c r="Y20" s="3468"/>
      <c r="Z20" s="1728"/>
      <c r="AA20" s="1729">
        <v>1</v>
      </c>
      <c r="AB20" s="1729">
        <v>1</v>
      </c>
      <c r="AC20" s="1729">
        <v>1</v>
      </c>
    </row>
    <row r="21" spans="1:29" ht="85.5">
      <c r="A21" s="1668"/>
      <c r="B21" s="1974" t="s">
        <v>2407</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2999"/>
      <c r="M21" s="2995"/>
      <c r="N21" s="2995"/>
      <c r="O21" s="3043"/>
      <c r="P21" s="3468"/>
      <c r="Q21" s="1616" t="str">
        <f>B21</f>
        <v>交通便捷度</v>
      </c>
      <c r="R21" s="1726" t="s">
        <v>25</v>
      </c>
      <c r="S21" s="1727">
        <f>F21</f>
        <v>100</v>
      </c>
      <c r="T21" s="1726" t="s">
        <v>25</v>
      </c>
      <c r="U21" s="1727">
        <f>H21</f>
        <v>100</v>
      </c>
      <c r="V21" s="1726" t="s">
        <v>25</v>
      </c>
      <c r="W21" s="1727">
        <f>J21</f>
        <v>100</v>
      </c>
      <c r="X21" s="1666"/>
      <c r="Y21" s="3468"/>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2999"/>
      <c r="M22" s="2995"/>
      <c r="N22" s="2995"/>
      <c r="O22" s="3043"/>
      <c r="P22" s="3468"/>
      <c r="Q22" s="1616"/>
      <c r="R22" s="1726"/>
      <c r="S22" s="1727"/>
      <c r="T22" s="1726"/>
      <c r="U22" s="1727"/>
      <c r="V22" s="1726"/>
      <c r="W22" s="1727"/>
      <c r="X22" s="1666"/>
      <c r="Y22" s="3468"/>
      <c r="Z22" s="1728"/>
      <c r="AA22" s="1729">
        <v>1</v>
      </c>
      <c r="AB22" s="1729">
        <v>1</v>
      </c>
      <c r="AC22" s="1729">
        <v>1</v>
      </c>
    </row>
    <row r="23" spans="1:29" ht="15">
      <c r="A23" s="1668"/>
      <c r="B23" s="1458" t="s">
        <v>2447</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2999"/>
      <c r="M23" s="2995"/>
      <c r="N23" s="2995"/>
      <c r="O23" s="3043"/>
      <c r="P23" s="3468"/>
      <c r="Q23" s="1616" t="str">
        <f t="shared" ref="Q23:Q37" si="8">B23</f>
        <v>区域土地利用方向</v>
      </c>
      <c r="R23" s="1726" t="s">
        <v>25</v>
      </c>
      <c r="S23" s="1727">
        <f>F23</f>
        <v>100</v>
      </c>
      <c r="T23" s="1726" t="s">
        <v>25</v>
      </c>
      <c r="U23" s="1727">
        <f>H23</f>
        <v>100</v>
      </c>
      <c r="V23" s="1726" t="s">
        <v>25</v>
      </c>
      <c r="W23" s="1727">
        <f>J23</f>
        <v>100</v>
      </c>
      <c r="X23" s="1666"/>
      <c r="Y23" s="3468"/>
      <c r="Z23" s="1728" t="str">
        <f>Q23</f>
        <v>区域土地利用方向</v>
      </c>
      <c r="AA23" s="1729">
        <f t="shared" si="3"/>
        <v>1</v>
      </c>
      <c r="AB23" s="1729">
        <f t="shared" si="4"/>
        <v>1</v>
      </c>
      <c r="AC23" s="1729">
        <f t="shared" si="5"/>
        <v>1</v>
      </c>
    </row>
    <row r="24" spans="1:29" ht="15">
      <c r="A24" s="1668"/>
      <c r="B24" s="1459"/>
      <c r="C24" s="1981"/>
      <c r="D24" s="1732"/>
      <c r="E24" s="1733"/>
      <c r="F24" s="1732"/>
      <c r="G24" s="1735"/>
      <c r="H24" s="1732"/>
      <c r="I24" s="1735"/>
      <c r="J24" s="1732"/>
      <c r="K24" s="1982"/>
      <c r="L24" s="2999"/>
      <c r="M24" s="2995"/>
      <c r="N24" s="2995"/>
      <c r="O24" s="3043"/>
      <c r="P24" s="3468"/>
      <c r="Q24" s="1616"/>
      <c r="R24" s="1726"/>
      <c r="S24" s="1727"/>
      <c r="T24" s="1726"/>
      <c r="U24" s="1727"/>
      <c r="V24" s="1726"/>
      <c r="W24" s="1727"/>
      <c r="X24" s="1666"/>
      <c r="Y24" s="3468"/>
      <c r="Z24" s="1728"/>
      <c r="AA24" s="1729"/>
      <c r="AB24" s="1729"/>
      <c r="AC24" s="1729"/>
    </row>
    <row r="25" spans="1:29" ht="57">
      <c r="A25" s="1668"/>
      <c r="B25" s="1979" t="s">
        <v>2448</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2999"/>
      <c r="M25" s="2995"/>
      <c r="N25" s="2995"/>
      <c r="O25" s="3043"/>
      <c r="P25" s="3468"/>
      <c r="Q25" s="1616" t="str">
        <f t="shared" si="8"/>
        <v>自然及人文环境状况</v>
      </c>
      <c r="R25" s="1726" t="s">
        <v>25</v>
      </c>
      <c r="S25" s="1727">
        <f>F25</f>
        <v>100</v>
      </c>
      <c r="T25" s="1726" t="s">
        <v>25</v>
      </c>
      <c r="U25" s="1727">
        <f>H25</f>
        <v>100</v>
      </c>
      <c r="V25" s="1726" t="s">
        <v>25</v>
      </c>
      <c r="W25" s="1727">
        <f>J25</f>
        <v>100</v>
      </c>
      <c r="X25" s="1666"/>
      <c r="Y25" s="3468"/>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2999"/>
      <c r="M26" s="2995"/>
      <c r="N26" s="2995"/>
      <c r="O26" s="3043"/>
      <c r="P26" s="3468"/>
      <c r="Q26" s="1616"/>
      <c r="R26" s="1726"/>
      <c r="S26" s="1727"/>
      <c r="T26" s="1726"/>
      <c r="U26" s="1727"/>
      <c r="V26" s="1726"/>
      <c r="W26" s="1727"/>
      <c r="X26" s="1666"/>
      <c r="Y26" s="3468"/>
      <c r="Z26" s="1728"/>
      <c r="AA26" s="1729">
        <v>1</v>
      </c>
      <c r="AB26" s="1729">
        <v>1</v>
      </c>
      <c r="AC26" s="1729">
        <v>1</v>
      </c>
    </row>
    <row r="27" spans="1:29" ht="42.75">
      <c r="A27" s="1668"/>
      <c r="B27" s="1979" t="s">
        <v>2356</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2999"/>
      <c r="M27" s="2995"/>
      <c r="N27" s="2995"/>
      <c r="O27" s="3043"/>
      <c r="P27" s="3468"/>
      <c r="Q27" s="1635" t="str">
        <f t="shared" ref="Q27" si="9">B27</f>
        <v>公共配套设施</v>
      </c>
      <c r="R27" s="1681" t="s">
        <v>25</v>
      </c>
      <c r="S27" s="1682">
        <f>F27</f>
        <v>100</v>
      </c>
      <c r="T27" s="1681" t="s">
        <v>25</v>
      </c>
      <c r="U27" s="1682">
        <f>H27</f>
        <v>100</v>
      </c>
      <c r="V27" s="1681" t="s">
        <v>25</v>
      </c>
      <c r="W27" s="1682">
        <f>J27</f>
        <v>100</v>
      </c>
      <c r="X27" s="1666"/>
      <c r="Y27" s="3468"/>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2999"/>
      <c r="M28" s="2995"/>
      <c r="N28" s="2995"/>
      <c r="O28" s="3043"/>
      <c r="P28" s="3468"/>
      <c r="Q28" s="1616"/>
      <c r="R28" s="1726"/>
      <c r="S28" s="1727"/>
      <c r="T28" s="1726"/>
      <c r="U28" s="1727"/>
      <c r="V28" s="1726"/>
      <c r="W28" s="1727"/>
      <c r="X28" s="1666"/>
      <c r="Y28" s="3468"/>
      <c r="Z28" s="1694"/>
      <c r="AA28" s="1729">
        <v>1</v>
      </c>
      <c r="AB28" s="1729">
        <v>1</v>
      </c>
      <c r="AC28" s="1729">
        <v>1</v>
      </c>
    </row>
    <row r="29" spans="1:29" s="1685" customFormat="1" ht="28.5">
      <c r="A29" s="1985"/>
      <c r="B29" s="1979" t="s">
        <v>2357</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2994"/>
      <c r="M29" s="2967"/>
      <c r="N29" s="2967"/>
      <c r="O29" s="3041"/>
      <c r="P29" s="3468"/>
      <c r="Q29" s="1635" t="str">
        <f t="shared" si="8"/>
        <v>基础设施水平</v>
      </c>
      <c r="R29" s="1681" t="s">
        <v>25</v>
      </c>
      <c r="S29" s="1682">
        <f>F29</f>
        <v>100</v>
      </c>
      <c r="T29" s="1681" t="s">
        <v>25</v>
      </c>
      <c r="U29" s="1682">
        <f>H29</f>
        <v>100</v>
      </c>
      <c r="V29" s="1681" t="s">
        <v>25</v>
      </c>
      <c r="W29" s="1682">
        <f>J29</f>
        <v>100</v>
      </c>
      <c r="X29" s="1683"/>
      <c r="Y29" s="3468"/>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2994"/>
      <c r="M30" s="2967"/>
      <c r="N30" s="2967"/>
      <c r="O30" s="3041"/>
      <c r="P30" s="3468"/>
      <c r="Q30" s="1635"/>
      <c r="R30" s="1681"/>
      <c r="S30" s="1682"/>
      <c r="T30" s="1681"/>
      <c r="U30" s="1682"/>
      <c r="V30" s="1681"/>
      <c r="W30" s="1682"/>
      <c r="X30" s="1683"/>
      <c r="Y30" s="3468"/>
      <c r="Z30" s="1694"/>
      <c r="AA30" s="1729">
        <v>1</v>
      </c>
      <c r="AB30" s="1729">
        <v>1</v>
      </c>
      <c r="AC30" s="1729">
        <v>1</v>
      </c>
    </row>
    <row r="31" spans="1:29" ht="15">
      <c r="A31" s="1668"/>
      <c r="B31" s="1976" t="s">
        <v>2358</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2999"/>
      <c r="M31" s="2995"/>
      <c r="N31" s="2995"/>
      <c r="O31" s="3043"/>
      <c r="P31" s="346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8"/>
      <c r="Z31" s="1728" t="str">
        <f t="shared" ref="Z31:Z45" si="13">Q31</f>
        <v>临街状况</v>
      </c>
      <c r="AA31" s="1729">
        <f t="shared" si="3"/>
        <v>1</v>
      </c>
      <c r="AB31" s="1729">
        <f t="shared" si="4"/>
        <v>1</v>
      </c>
      <c r="AC31" s="1729">
        <f t="shared" si="5"/>
        <v>1</v>
      </c>
    </row>
    <row r="32" spans="1:29" ht="27">
      <c r="A32" s="1668"/>
      <c r="B32" s="1979"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2999"/>
      <c r="M32" s="2995"/>
      <c r="N32" s="2995"/>
      <c r="O32" s="3043"/>
      <c r="P32" s="3468"/>
      <c r="Q32" s="1616" t="str">
        <f t="shared" si="8"/>
        <v>毗邻道路的类型与等级</v>
      </c>
      <c r="R32" s="1726" t="s">
        <v>25</v>
      </c>
      <c r="S32" s="1727">
        <f t="shared" si="10"/>
        <v>100</v>
      </c>
      <c r="T32" s="1726" t="s">
        <v>25</v>
      </c>
      <c r="U32" s="1727">
        <f t="shared" si="11"/>
        <v>100</v>
      </c>
      <c r="V32" s="1726" t="s">
        <v>25</v>
      </c>
      <c r="W32" s="1727">
        <f t="shared" si="12"/>
        <v>100</v>
      </c>
      <c r="X32" s="1666"/>
      <c r="Y32" s="3468"/>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2999"/>
      <c r="M33" s="2995"/>
      <c r="N33" s="2995"/>
      <c r="O33" s="3043"/>
      <c r="P33" s="3468"/>
      <c r="Q33" s="1616"/>
      <c r="R33" s="1726"/>
      <c r="S33" s="1727"/>
      <c r="T33" s="1726"/>
      <c r="U33" s="1727"/>
      <c r="V33" s="1726"/>
      <c r="W33" s="1727"/>
      <c r="X33" s="1666"/>
      <c r="Y33" s="3468"/>
      <c r="Z33" s="1728"/>
      <c r="AA33" s="1729">
        <v>1</v>
      </c>
      <c r="AB33" s="1729">
        <v>1</v>
      </c>
      <c r="AC33" s="1729">
        <v>1</v>
      </c>
    </row>
    <row r="34" spans="1:29" ht="15">
      <c r="A34" s="1668"/>
      <c r="B34" s="1988" t="s">
        <v>2449</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2999"/>
      <c r="M34" s="2995"/>
      <c r="N34" s="2995"/>
      <c r="O34" s="3043"/>
      <c r="P34" s="3468"/>
      <c r="Q34" s="1616" t="str">
        <f t="shared" si="8"/>
        <v>土地级别</v>
      </c>
      <c r="R34" s="1726" t="s">
        <v>25</v>
      </c>
      <c r="S34" s="1727">
        <f t="shared" si="10"/>
        <v>100</v>
      </c>
      <c r="T34" s="1726" t="s">
        <v>25</v>
      </c>
      <c r="U34" s="1727">
        <f t="shared" si="11"/>
        <v>100</v>
      </c>
      <c r="V34" s="1726" t="s">
        <v>25</v>
      </c>
      <c r="W34" s="1727">
        <f t="shared" si="12"/>
        <v>100</v>
      </c>
      <c r="X34" s="1666"/>
      <c r="Y34" s="3468"/>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2999"/>
      <c r="M35" s="2995"/>
      <c r="N35" s="2995"/>
      <c r="O35" s="3043"/>
      <c r="P35" s="3468"/>
      <c r="Q35" s="1616">
        <f t="shared" si="8"/>
        <v>111</v>
      </c>
      <c r="R35" s="1726" t="s">
        <v>25</v>
      </c>
      <c r="S35" s="1727">
        <f t="shared" si="10"/>
        <v>100</v>
      </c>
      <c r="T35" s="1726" t="s">
        <v>25</v>
      </c>
      <c r="U35" s="1727">
        <f t="shared" si="11"/>
        <v>100</v>
      </c>
      <c r="V35" s="1726" t="s">
        <v>25</v>
      </c>
      <c r="W35" s="1727">
        <f t="shared" si="12"/>
        <v>100</v>
      </c>
      <c r="X35" s="1666"/>
      <c r="Y35" s="3468"/>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2999"/>
      <c r="M36" s="2995"/>
      <c r="N36" s="2995"/>
      <c r="O36" s="3043"/>
      <c r="P36" s="3487" t="s">
        <v>2276</v>
      </c>
      <c r="Q36" s="1616">
        <f t="shared" si="8"/>
        <v>111</v>
      </c>
      <c r="R36" s="1726" t="s">
        <v>25</v>
      </c>
      <c r="S36" s="1727">
        <f t="shared" si="10"/>
        <v>100</v>
      </c>
      <c r="T36" s="1726" t="s">
        <v>25</v>
      </c>
      <c r="U36" s="1727">
        <f t="shared" si="11"/>
        <v>100</v>
      </c>
      <c r="V36" s="1726" t="s">
        <v>25</v>
      </c>
      <c r="W36" s="1727">
        <f t="shared" si="12"/>
        <v>100</v>
      </c>
      <c r="X36" s="1666"/>
      <c r="Y36" s="3472" t="s">
        <v>2276</v>
      </c>
      <c r="Z36" s="1728">
        <f t="shared" si="13"/>
        <v>111</v>
      </c>
      <c r="AA36" s="1729">
        <f t="shared" si="3"/>
        <v>1</v>
      </c>
      <c r="AB36" s="1729">
        <f t="shared" si="4"/>
        <v>1</v>
      </c>
      <c r="AC36" s="1729">
        <f t="shared" si="5"/>
        <v>1</v>
      </c>
    </row>
    <row r="37" spans="1:29" s="1771" customFormat="1" ht="15.75"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2998"/>
      <c r="M37" s="2057"/>
      <c r="N37" s="2057"/>
      <c r="O37" s="3044"/>
      <c r="P37" s="3472"/>
      <c r="Q37" s="1616">
        <f t="shared" si="8"/>
        <v>111</v>
      </c>
      <c r="R37" s="1767" t="s">
        <v>25</v>
      </c>
      <c r="S37" s="1768">
        <f t="shared" si="10"/>
        <v>100</v>
      </c>
      <c r="T37" s="1767" t="s">
        <v>25</v>
      </c>
      <c r="U37" s="1768">
        <f t="shared" si="11"/>
        <v>100</v>
      </c>
      <c r="V37" s="1767" t="s">
        <v>25</v>
      </c>
      <c r="W37" s="1768">
        <f t="shared" si="12"/>
        <v>100</v>
      </c>
      <c r="X37" s="1769"/>
      <c r="Y37" s="3472"/>
      <c r="Z37" s="1770">
        <f t="shared" si="13"/>
        <v>111</v>
      </c>
      <c r="AA37" s="1729">
        <f t="shared" si="3"/>
        <v>1</v>
      </c>
      <c r="AB37" s="1729">
        <f t="shared" si="4"/>
        <v>1</v>
      </c>
      <c r="AC37" s="1729">
        <f t="shared" si="5"/>
        <v>1</v>
      </c>
    </row>
    <row r="38" spans="1:29" ht="15">
      <c r="A38" s="1663" t="s">
        <v>2274</v>
      </c>
      <c r="B38" s="1744" t="s">
        <v>2450</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2999"/>
      <c r="M38" s="2995"/>
      <c r="N38" s="2995"/>
      <c r="O38" s="3043"/>
      <c r="P38" s="3472"/>
      <c r="Q38" s="1616" t="str">
        <f>B38</f>
        <v>宗地面积</v>
      </c>
      <c r="R38" s="1726" t="s">
        <v>25</v>
      </c>
      <c r="S38" s="1727" t="e">
        <f t="shared" si="10"/>
        <v>#N/A</v>
      </c>
      <c r="T38" s="1726" t="s">
        <v>25</v>
      </c>
      <c r="U38" s="1727" t="e">
        <f t="shared" si="11"/>
        <v>#N/A</v>
      </c>
      <c r="V38" s="1726" t="s">
        <v>25</v>
      </c>
      <c r="W38" s="1727" t="e">
        <f t="shared" si="12"/>
        <v>#N/A</v>
      </c>
      <c r="X38" s="1666"/>
      <c r="Y38" s="3472"/>
      <c r="Z38" s="1728" t="str">
        <f t="shared" si="13"/>
        <v>宗地面积</v>
      </c>
      <c r="AA38" s="1729" t="e">
        <f t="shared" si="3"/>
        <v>#N/A</v>
      </c>
      <c r="AB38" s="1729" t="e">
        <f t="shared" si="4"/>
        <v>#N/A</v>
      </c>
      <c r="AC38" s="1729" t="e">
        <f t="shared" si="5"/>
        <v>#N/A</v>
      </c>
    </row>
    <row r="39" spans="1:29" ht="15">
      <c r="A39" s="1772"/>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2999"/>
      <c r="M39" s="2995"/>
      <c r="N39" s="2995"/>
      <c r="O39" s="3043"/>
      <c r="P39" s="3472"/>
      <c r="Q39" s="1616" t="str">
        <f t="shared" ref="Q39:Q45" si="14">B39</f>
        <v>宗地形状</v>
      </c>
      <c r="R39" s="1726" t="s">
        <v>25</v>
      </c>
      <c r="S39" s="1727">
        <f t="shared" si="10"/>
        <v>100</v>
      </c>
      <c r="T39" s="1726" t="s">
        <v>25</v>
      </c>
      <c r="U39" s="1727">
        <f t="shared" si="11"/>
        <v>100</v>
      </c>
      <c r="V39" s="1726" t="s">
        <v>25</v>
      </c>
      <c r="W39" s="1727">
        <f t="shared" si="12"/>
        <v>100</v>
      </c>
      <c r="X39" s="1666"/>
      <c r="Y39" s="3472"/>
      <c r="Z39" s="1728" t="str">
        <f t="shared" si="13"/>
        <v>宗地形状</v>
      </c>
      <c r="AA39" s="1729">
        <f t="shared" si="3"/>
        <v>1</v>
      </c>
      <c r="AB39" s="1729">
        <f t="shared" si="4"/>
        <v>1</v>
      </c>
      <c r="AC39" s="1729">
        <f t="shared" si="5"/>
        <v>1</v>
      </c>
    </row>
    <row r="40" spans="1:29" ht="15">
      <c r="A40" s="1772"/>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2999"/>
      <c r="M40" s="2995"/>
      <c r="N40" s="2995"/>
      <c r="O40" s="3043"/>
      <c r="P40" s="3472"/>
      <c r="Q40" s="1616" t="str">
        <f t="shared" si="14"/>
        <v>临街宽度及深度</v>
      </c>
      <c r="R40" s="1726" t="s">
        <v>25</v>
      </c>
      <c r="S40" s="1727">
        <f t="shared" si="10"/>
        <v>100</v>
      </c>
      <c r="T40" s="1726" t="s">
        <v>25</v>
      </c>
      <c r="U40" s="1727">
        <f t="shared" si="11"/>
        <v>100</v>
      </c>
      <c r="V40" s="1726" t="s">
        <v>25</v>
      </c>
      <c r="W40" s="1727">
        <f t="shared" si="12"/>
        <v>100</v>
      </c>
      <c r="X40" s="1666"/>
      <c r="Y40" s="3472"/>
      <c r="Z40" s="1728" t="str">
        <f t="shared" si="13"/>
        <v>临街宽度及深度</v>
      </c>
      <c r="AA40" s="1729">
        <f t="shared" si="3"/>
        <v>1</v>
      </c>
      <c r="AB40" s="1729">
        <f t="shared" si="4"/>
        <v>1</v>
      </c>
      <c r="AC40" s="1729">
        <f t="shared" si="5"/>
        <v>1</v>
      </c>
    </row>
    <row r="41" spans="1:29" s="1685" customFormat="1" ht="15">
      <c r="A41" s="1775"/>
      <c r="B41" s="1696" t="s">
        <v>2453</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2994"/>
      <c r="M41" s="2967"/>
      <c r="N41" s="2967"/>
      <c r="O41" s="3041"/>
      <c r="P41" s="3472"/>
      <c r="Q41" s="1616" t="str">
        <f t="shared" si="14"/>
        <v>宗地开发程度</v>
      </c>
      <c r="R41" s="1681" t="s">
        <v>25</v>
      </c>
      <c r="S41" s="1682">
        <f t="shared" si="10"/>
        <v>100</v>
      </c>
      <c r="T41" s="1681" t="s">
        <v>25</v>
      </c>
      <c r="U41" s="1682">
        <f t="shared" si="11"/>
        <v>100</v>
      </c>
      <c r="V41" s="1681" t="s">
        <v>25</v>
      </c>
      <c r="W41" s="1682">
        <f t="shared" si="12"/>
        <v>100</v>
      </c>
      <c r="X41" s="1683"/>
      <c r="Y41" s="3472"/>
      <c r="Z41" s="1694" t="str">
        <f t="shared" si="13"/>
        <v>宗地开发程度</v>
      </c>
      <c r="AA41" s="1684">
        <f t="shared" si="3"/>
        <v>1</v>
      </c>
      <c r="AB41" s="1684">
        <f t="shared" si="4"/>
        <v>1</v>
      </c>
      <c r="AC41" s="1684">
        <f t="shared" si="5"/>
        <v>1</v>
      </c>
    </row>
    <row r="42" spans="1:29" ht="15">
      <c r="A42" s="1772"/>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2999"/>
      <c r="M42" s="2995"/>
      <c r="N42" s="2995"/>
      <c r="O42" s="3043"/>
      <c r="P42" s="3472" t="s">
        <v>2276</v>
      </c>
      <c r="Q42" s="1616" t="str">
        <f t="shared" si="14"/>
        <v>工程地质条件</v>
      </c>
      <c r="R42" s="1726" t="s">
        <v>25</v>
      </c>
      <c r="S42" s="1727">
        <f t="shared" si="10"/>
        <v>100</v>
      </c>
      <c r="T42" s="1726" t="s">
        <v>25</v>
      </c>
      <c r="U42" s="1727">
        <f t="shared" si="11"/>
        <v>100</v>
      </c>
      <c r="V42" s="1726" t="s">
        <v>25</v>
      </c>
      <c r="W42" s="1727">
        <f t="shared" si="12"/>
        <v>100</v>
      </c>
      <c r="X42" s="1666"/>
      <c r="Y42" s="3472" t="s">
        <v>2276</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2999"/>
      <c r="M43" s="2995"/>
      <c r="N43" s="2995"/>
      <c r="O43" s="3043"/>
      <c r="P43" s="3472"/>
      <c r="Q43" s="1616">
        <f t="shared" si="14"/>
        <v>111</v>
      </c>
      <c r="R43" s="1726" t="s">
        <v>25</v>
      </c>
      <c r="S43" s="1727">
        <f t="shared" si="10"/>
        <v>100</v>
      </c>
      <c r="T43" s="1726" t="s">
        <v>25</v>
      </c>
      <c r="U43" s="1727">
        <f t="shared" si="11"/>
        <v>100</v>
      </c>
      <c r="V43" s="1726" t="s">
        <v>25</v>
      </c>
      <c r="W43" s="1727">
        <f t="shared" si="12"/>
        <v>100</v>
      </c>
      <c r="X43" s="1666"/>
      <c r="Y43" s="3472"/>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2999"/>
      <c r="M44" s="2995"/>
      <c r="N44" s="2995"/>
      <c r="O44" s="3043"/>
      <c r="P44" s="3472"/>
      <c r="Q44" s="1616">
        <f t="shared" si="14"/>
        <v>111</v>
      </c>
      <c r="R44" s="1726" t="s">
        <v>25</v>
      </c>
      <c r="S44" s="1727">
        <f t="shared" si="10"/>
        <v>100</v>
      </c>
      <c r="T44" s="1726" t="s">
        <v>25</v>
      </c>
      <c r="U44" s="1727">
        <f t="shared" si="11"/>
        <v>100</v>
      </c>
      <c r="V44" s="1726" t="s">
        <v>25</v>
      </c>
      <c r="W44" s="1727">
        <f t="shared" si="12"/>
        <v>100</v>
      </c>
      <c r="X44" s="1666"/>
      <c r="Y44" s="3472"/>
      <c r="Z44" s="1728">
        <f t="shared" si="13"/>
        <v>111</v>
      </c>
      <c r="AA44" s="1729">
        <f t="shared" si="3"/>
        <v>1</v>
      </c>
      <c r="AB44" s="1729">
        <f t="shared" si="4"/>
        <v>1</v>
      </c>
      <c r="AC44" s="1729">
        <f t="shared" si="5"/>
        <v>1</v>
      </c>
    </row>
    <row r="45" spans="1:29" s="1771" customFormat="1" ht="15.75" thickBot="1">
      <c r="A45" s="1764"/>
      <c r="B45" s="2001">
        <v>111</v>
      </c>
      <c r="C45" s="2002"/>
      <c r="D45" s="3145">
        <v>100</v>
      </c>
      <c r="E45" s="1969"/>
      <c r="F45" s="1716">
        <f>SUMIF(131:131,E45,132:132)-SUMIF(131:131,C45,132:132)+100</f>
        <v>100</v>
      </c>
      <c r="G45" s="1969"/>
      <c r="H45" s="1716">
        <f>SUMIF(131:131,G45,132:132)-SUMIF(131:131,C45,132:132)+100</f>
        <v>100</v>
      </c>
      <c r="I45" s="1969"/>
      <c r="J45" s="1716">
        <f>SUMIF(131:131,I45,132:132)-SUMIF(131:131,C45,132:132)+100</f>
        <v>100</v>
      </c>
      <c r="K45" s="2003"/>
      <c r="L45" s="2998"/>
      <c r="M45" s="2057"/>
      <c r="N45" s="2057"/>
      <c r="O45" s="3044"/>
      <c r="P45" s="3472"/>
      <c r="Q45" s="1616">
        <f t="shared" si="14"/>
        <v>111</v>
      </c>
      <c r="R45" s="1767" t="s">
        <v>25</v>
      </c>
      <c r="S45" s="1768">
        <f t="shared" si="10"/>
        <v>100</v>
      </c>
      <c r="T45" s="1767" t="s">
        <v>25</v>
      </c>
      <c r="U45" s="1768">
        <f t="shared" si="11"/>
        <v>100</v>
      </c>
      <c r="V45" s="1767" t="s">
        <v>25</v>
      </c>
      <c r="W45" s="1768">
        <f t="shared" si="12"/>
        <v>100</v>
      </c>
      <c r="X45" s="1769"/>
      <c r="Y45" s="3472"/>
      <c r="Z45" s="1770">
        <f t="shared" si="13"/>
        <v>111</v>
      </c>
      <c r="AA45" s="1729">
        <f t="shared" si="3"/>
        <v>1</v>
      </c>
      <c r="AB45" s="1729">
        <f t="shared" si="4"/>
        <v>1</v>
      </c>
      <c r="AC45" s="1729">
        <f t="shared" si="5"/>
        <v>1</v>
      </c>
    </row>
    <row r="46" spans="1:29" ht="15">
      <c r="A46" s="1779" t="s">
        <v>2418</v>
      </c>
      <c r="B46" s="2004" t="s">
        <v>2455</v>
      </c>
      <c r="C46" s="2005" t="s">
        <v>1</v>
      </c>
      <c r="D46" s="2006"/>
      <c r="E46" s="2007"/>
      <c r="F46" s="2008"/>
      <c r="G46" s="2009"/>
      <c r="H46" s="2010"/>
      <c r="I46" s="2007"/>
      <c r="J46" s="2010"/>
      <c r="K46" s="2011"/>
      <c r="L46" s="3000"/>
      <c r="N46" s="2995"/>
      <c r="P46" s="3478" t="str">
        <f>A46</f>
        <v>成交单价</v>
      </c>
      <c r="Q46" s="3478"/>
      <c r="R46" s="3458">
        <f>E46</f>
        <v>0</v>
      </c>
      <c r="S46" s="3458"/>
      <c r="T46" s="3458">
        <f>G46</f>
        <v>0</v>
      </c>
      <c r="U46" s="3458"/>
      <c r="V46" s="3458">
        <f>I46</f>
        <v>0</v>
      </c>
      <c r="W46" s="3458"/>
      <c r="X46" s="1789"/>
      <c r="Y46" s="1790"/>
      <c r="Z46" s="1789"/>
      <c r="AA46" s="1789"/>
      <c r="AB46" s="1789"/>
      <c r="AC46" s="1789"/>
    </row>
    <row r="47" spans="1:29" ht="15.75" thickBot="1">
      <c r="A47" s="1791" t="s">
        <v>2371</v>
      </c>
      <c r="B47" s="2012"/>
      <c r="C47" s="2013" t="e">
        <f>R48</f>
        <v>#DIV/0!</v>
      </c>
      <c r="D47" s="1794" t="s">
        <v>2745</v>
      </c>
      <c r="E47" s="2013" t="e">
        <f>R47</f>
        <v>#DIV/0!</v>
      </c>
      <c r="F47" s="1796"/>
      <c r="G47" s="2014" t="e">
        <f>T47</f>
        <v>#DIV/0!</v>
      </c>
      <c r="H47" s="1796"/>
      <c r="I47" s="2013" t="e">
        <f>V47</f>
        <v>#DIV/0!</v>
      </c>
      <c r="J47" s="1796"/>
      <c r="K47" s="2508">
        <f>F47+H47+J47</f>
        <v>0</v>
      </c>
      <c r="L47" s="3000"/>
      <c r="P47" s="3478" t="str">
        <f>A47</f>
        <v>比较价值（元/平方米）</v>
      </c>
      <c r="Q47" s="3478"/>
      <c r="R47" s="3530" t="e">
        <f>ROUND(PRODUCT(R46,AA7:AA45),0)</f>
        <v>#DIV/0!</v>
      </c>
      <c r="S47" s="3530"/>
      <c r="T47" s="3530" t="e">
        <f>ROUND(PRODUCT(T46,AB7:AB45),0)</f>
        <v>#DIV/0!</v>
      </c>
      <c r="U47" s="3530"/>
      <c r="V47" s="3530" t="e">
        <f>ROUND(PRODUCT(V46,AC7:AC45),0)</f>
        <v>#DIV/0!</v>
      </c>
      <c r="W47" s="3530"/>
      <c r="X47" s="1789"/>
      <c r="Y47" s="1789"/>
      <c r="Z47" s="1789"/>
      <c r="AA47" s="1789"/>
      <c r="AB47" s="1789"/>
      <c r="AC47" s="1789"/>
    </row>
    <row r="48" spans="1:29" ht="15.75" thickBot="1">
      <c r="A48" s="1797" t="s">
        <v>2394</v>
      </c>
      <c r="B48" s="1798"/>
      <c r="C48" s="2015" t="e">
        <f>R48</f>
        <v>#DIV/0!</v>
      </c>
      <c r="D48" s="2015"/>
      <c r="E48" s="2015"/>
      <c r="F48" s="2015"/>
      <c r="G48" s="2015"/>
      <c r="H48" s="2015"/>
      <c r="I48" s="2015"/>
      <c r="J48" s="2015"/>
      <c r="K48" s="2016"/>
      <c r="L48" s="3000"/>
      <c r="P48" s="3484" t="str">
        <f>A48</f>
        <v>估价对象XX用房的比较价值（楼面单价，元/平方米）</v>
      </c>
      <c r="Q48" s="3485"/>
      <c r="R48" s="3531" t="e">
        <f>ROUND(IF(D47="简单平均",AVERAGE(R47:W47),R47*F47+T47*H47+V47*J47),0)</f>
        <v>#DIV/0!</v>
      </c>
      <c r="S48" s="3531"/>
      <c r="T48" s="3531"/>
      <c r="U48" s="3531"/>
      <c r="V48" s="3531"/>
      <c r="W48" s="3531"/>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2456</v>
      </c>
      <c r="B55" s="2017" t="s">
        <v>2457</v>
      </c>
      <c r="C55" s="2018" t="s">
        <v>2458</v>
      </c>
      <c r="D55" s="2019" t="s">
        <v>2459</v>
      </c>
      <c r="E55" s="2020" t="s">
        <v>2460</v>
      </c>
      <c r="F55" s="2021" t="s">
        <v>2461</v>
      </c>
      <c r="G55" s="1916" t="s">
        <v>2462</v>
      </c>
      <c r="H55" s="1916" t="str">
        <f>项目基本情况!G8</f>
        <v>XX</v>
      </c>
      <c r="I55" s="1594"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0.6</v>
      </c>
      <c r="D57" s="2032">
        <v>0.25</v>
      </c>
      <c r="E57" s="2026">
        <v>0</v>
      </c>
      <c r="F57" s="2027" t="e">
        <f t="shared" si="15"/>
        <v>#DIV/0!</v>
      </c>
      <c r="G57" s="2028">
        <f>SUMIF(修正!$A$45:$A$56,项目基本情况!$F$9,修正!B45:B56)</f>
        <v>0.6</v>
      </c>
      <c r="H57" s="2033"/>
      <c r="I57" s="1667"/>
      <c r="J57" s="1907"/>
      <c r="K57" s="1908"/>
      <c r="L57" s="1908"/>
      <c r="M57" s="1667"/>
      <c r="N57" s="1667"/>
    </row>
    <row r="58" spans="1:14" s="2029" customFormat="1">
      <c r="A58" s="2030" t="s">
        <v>2466</v>
      </c>
      <c r="B58" s="2031" t="e">
        <f t="shared" ref="B58:B65" si="16">ROUND($C$48*C58*D58,0)</f>
        <v>#DIV/0!</v>
      </c>
      <c r="C58" s="50">
        <f t="shared" ref="C58:C65" si="17">IF($C$55="北京市系数",G58,H58)</f>
        <v>0.3</v>
      </c>
      <c r="D58" s="2032">
        <v>0.25</v>
      </c>
      <c r="E58" s="2026">
        <v>0</v>
      </c>
      <c r="F58" s="2027" t="e">
        <f t="shared" si="15"/>
        <v>#DIV/0!</v>
      </c>
      <c r="G58" s="2028">
        <f>SUMIF(修正!$A$45:$A$56,项目基本情况!$F$9,修正!C45:C56)</f>
        <v>0.3</v>
      </c>
      <c r="H58" s="2033"/>
      <c r="I58" s="1811"/>
      <c r="J58" s="1811"/>
      <c r="K58" s="3007"/>
      <c r="L58" s="3001"/>
      <c r="M58" s="1811"/>
      <c r="N58" s="1811"/>
    </row>
    <row r="59" spans="1:14" s="2029" customFormat="1">
      <c r="A59" s="2030" t="s">
        <v>2467</v>
      </c>
      <c r="B59" s="2031" t="e">
        <f t="shared" si="16"/>
        <v>#DIV/0!</v>
      </c>
      <c r="C59" s="50">
        <f t="shared" si="17"/>
        <v>0.2</v>
      </c>
      <c r="D59" s="2032">
        <v>0.25</v>
      </c>
      <c r="E59" s="2026">
        <v>0</v>
      </c>
      <c r="F59" s="2027" t="e">
        <f t="shared" si="15"/>
        <v>#DIV/0!</v>
      </c>
      <c r="G59" s="2028">
        <f>SUMIF(修正!$A$45:$A$56,项目基本情况!$F$9,修正!D45:D56)</f>
        <v>0.2</v>
      </c>
      <c r="H59" s="2033"/>
      <c r="I59" s="1667"/>
      <c r="J59" s="1907"/>
      <c r="K59" s="1908"/>
      <c r="L59" s="1908"/>
      <c r="M59" s="1667"/>
      <c r="N59" s="1667"/>
    </row>
    <row r="60" spans="1:14" s="2029" customFormat="1">
      <c r="A60" s="2030" t="s">
        <v>2468</v>
      </c>
      <c r="B60" s="2031" t="e">
        <f t="shared" si="16"/>
        <v>#DIV/0!</v>
      </c>
      <c r="C60" s="50">
        <f t="shared" si="17"/>
        <v>0.2</v>
      </c>
      <c r="D60" s="2032">
        <v>0.25</v>
      </c>
      <c r="E60" s="2026">
        <v>0</v>
      </c>
      <c r="F60" s="2027" t="e">
        <f t="shared" si="15"/>
        <v>#DIV/0!</v>
      </c>
      <c r="G60" s="2028">
        <f>SUMIF(修正!$A$45:$A$56,项目基本情况!$F$9,修正!E45:E56)</f>
        <v>0.2</v>
      </c>
      <c r="H60" s="2033"/>
      <c r="I60" s="1811"/>
      <c r="J60" s="1811"/>
      <c r="K60" s="3007"/>
      <c r="L60" s="3001"/>
      <c r="M60" s="1811"/>
      <c r="N60" s="1811"/>
    </row>
    <row r="61" spans="1:14" s="2029" customFormat="1">
      <c r="A61" s="2030" t="s">
        <v>2469</v>
      </c>
      <c r="B61" s="2031" t="e">
        <f t="shared" si="16"/>
        <v>#DIV/0!</v>
      </c>
      <c r="C61" s="50">
        <f t="shared" si="17"/>
        <v>0.2</v>
      </c>
      <c r="D61" s="2032">
        <v>0.25</v>
      </c>
      <c r="E61" s="2026">
        <v>0</v>
      </c>
      <c r="F61" s="2027" t="e">
        <f t="shared" si="15"/>
        <v>#DIV/0!</v>
      </c>
      <c r="G61" s="2028">
        <f>SUMIF(修正!A45:A56,项目基本情况!F9,修正!F45:F56)</f>
        <v>0.2</v>
      </c>
      <c r="H61" s="2033"/>
      <c r="I61" s="1667"/>
      <c r="J61" s="1907"/>
      <c r="K61" s="1908"/>
      <c r="L61" s="1908"/>
      <c r="M61" s="1667"/>
      <c r="N61" s="1667"/>
    </row>
    <row r="62" spans="1:14" s="2029" customFormat="1">
      <c r="A62" s="2030" t="s">
        <v>2470</v>
      </c>
      <c r="B62" s="2031" t="e">
        <f t="shared" si="16"/>
        <v>#DIV/0!</v>
      </c>
      <c r="C62" s="50">
        <f t="shared" si="17"/>
        <v>0.2</v>
      </c>
      <c r="D62" s="2032">
        <v>0.25</v>
      </c>
      <c r="E62" s="2026">
        <v>0</v>
      </c>
      <c r="F62" s="2027" t="e">
        <f t="shared" si="15"/>
        <v>#DIV/0!</v>
      </c>
      <c r="G62" s="2028">
        <f>SUMIF(修正!A45:A56,项目基本情况!F9,修正!G45:G56)</f>
        <v>0.2</v>
      </c>
      <c r="H62" s="2033"/>
      <c r="I62" s="1811"/>
      <c r="J62" s="1811"/>
      <c r="K62" s="3007"/>
      <c r="L62" s="3001"/>
      <c r="M62" s="1811"/>
      <c r="N62" s="1811"/>
    </row>
    <row r="63" spans="1:14" s="2029" customFormat="1">
      <c r="A63" s="2030" t="s">
        <v>2471</v>
      </c>
      <c r="B63" s="2031" t="e">
        <f t="shared" si="16"/>
        <v>#DIV/0!</v>
      </c>
      <c r="C63" s="50">
        <f>IF($C$55="北京市系数",G63,H63)</f>
        <v>0.15</v>
      </c>
      <c r="D63" s="2032">
        <v>0.25</v>
      </c>
      <c r="E63" s="2026">
        <v>0</v>
      </c>
      <c r="F63" s="2027" t="e">
        <f t="shared" si="15"/>
        <v>#DIV/0!</v>
      </c>
      <c r="G63" s="2028">
        <f>SUMIF(修正!A45:A56,项目基本情况!F9,修正!H45:H56)</f>
        <v>0.15</v>
      </c>
      <c r="H63" s="2033"/>
      <c r="I63" s="1667"/>
      <c r="J63" s="1907"/>
      <c r="K63" s="1908"/>
      <c r="L63" s="1908"/>
      <c r="M63" s="1667"/>
      <c r="N63" s="1667"/>
    </row>
    <row r="64" spans="1:14" s="2029" customFormat="1">
      <c r="A64" s="2030" t="s">
        <v>2472</v>
      </c>
      <c r="B64" s="2031" t="e">
        <f t="shared" si="16"/>
        <v>#DIV/0!</v>
      </c>
      <c r="C64" s="50">
        <f t="shared" si="17"/>
        <v>0.15</v>
      </c>
      <c r="D64" s="2032">
        <v>0.25</v>
      </c>
      <c r="E64" s="2026">
        <v>0</v>
      </c>
      <c r="F64" s="2027" t="e">
        <f t="shared" si="15"/>
        <v>#DIV/0!</v>
      </c>
      <c r="G64" s="2028">
        <f>G63</f>
        <v>0.15</v>
      </c>
      <c r="H64" s="2033"/>
      <c r="I64" s="1811"/>
      <c r="J64" s="1811"/>
      <c r="K64" s="3007"/>
      <c r="L64" s="3001"/>
      <c r="M64" s="1811"/>
      <c r="N64" s="1811"/>
    </row>
    <row r="65" spans="1:17" s="2029" customFormat="1">
      <c r="A65" s="2030" t="s">
        <v>2473</v>
      </c>
      <c r="B65" s="2031" t="e">
        <f t="shared" si="16"/>
        <v>#DIV/0!</v>
      </c>
      <c r="C65" s="50">
        <f t="shared" si="17"/>
        <v>0.15</v>
      </c>
      <c r="D65" s="2032">
        <v>0.25</v>
      </c>
      <c r="E65" s="2026">
        <v>0</v>
      </c>
      <c r="F65" s="2027" t="e">
        <f t="shared" si="15"/>
        <v>#DIV/0!</v>
      </c>
      <c r="G65" s="2028">
        <f>G63</f>
        <v>0.15</v>
      </c>
      <c r="H65" s="2033"/>
      <c r="I65" s="1667"/>
      <c r="J65" s="1907"/>
      <c r="K65" s="1908"/>
      <c r="L65" s="1908"/>
      <c r="M65" s="1667"/>
      <c r="N65" s="1667"/>
    </row>
    <row r="66" spans="1:17" s="2029" customFormat="1" ht="13.5"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5">
      <c r="A70" s="2044" t="s">
        <v>2475</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5" customFormat="1" ht="29.25" customHeight="1">
      <c r="A71" s="2049" t="s">
        <v>2476</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5" customFormat="1" ht="15.75" thickBot="1">
      <c r="A72" s="1832" t="s">
        <v>2296</v>
      </c>
      <c r="B72" s="1833"/>
      <c r="C72" s="1834"/>
      <c r="D72" s="1835"/>
      <c r="E72" s="1835"/>
      <c r="F72" s="1835"/>
      <c r="G72" s="1835"/>
      <c r="H72" s="1835"/>
      <c r="I72" s="1835"/>
      <c r="J72" s="1835"/>
      <c r="K72" s="1835"/>
      <c r="L72" s="1835"/>
      <c r="M72" s="1836"/>
      <c r="N72" s="1835"/>
      <c r="O72" s="2053"/>
      <c r="P72" s="1819"/>
      <c r="Q72" s="1819"/>
    </row>
    <row r="73" spans="1:17" s="1685" customFormat="1" ht="15">
      <c r="A73" s="1837" t="s">
        <v>2260</v>
      </c>
      <c r="B73" s="1827"/>
      <c r="C73" s="1838" t="s">
        <v>2261</v>
      </c>
      <c r="D73" s="409"/>
      <c r="E73" s="409"/>
      <c r="F73" s="409"/>
      <c r="G73" s="409"/>
      <c r="H73" s="409"/>
      <c r="I73" s="409"/>
      <c r="J73" s="409"/>
      <c r="K73" s="409"/>
      <c r="L73" s="409"/>
      <c r="M73" s="1839"/>
      <c r="N73" s="3012"/>
      <c r="O73" s="3012"/>
      <c r="P73" s="2054"/>
      <c r="Q73" s="1819"/>
    </row>
    <row r="74" spans="1:17" s="1685"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2299</v>
      </c>
      <c r="B75" s="1845" t="s">
        <v>2264</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2267</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1"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71" customFormat="1" ht="15.75" thickBot="1">
      <c r="A83" s="1867"/>
      <c r="B83" s="1859"/>
      <c r="C83" s="1872"/>
      <c r="D83" s="1853"/>
      <c r="E83" s="1853"/>
      <c r="F83" s="1853"/>
      <c r="G83" s="1853"/>
      <c r="H83" s="1853"/>
      <c r="I83" s="1853"/>
      <c r="J83" s="1853"/>
      <c r="K83" s="1853"/>
      <c r="L83" s="1853"/>
      <c r="M83" s="1854"/>
      <c r="N83" s="3014"/>
      <c r="O83" s="3014"/>
      <c r="P83" s="2056"/>
      <c r="Q83" s="1871"/>
    </row>
    <row r="84" spans="1:17" s="1771"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71" customFormat="1" ht="15.75" thickBot="1">
      <c r="A85" s="1867"/>
      <c r="B85" s="1859"/>
      <c r="C85" s="1872"/>
      <c r="D85" s="1872"/>
      <c r="E85" s="1872"/>
      <c r="F85" s="1872"/>
      <c r="G85" s="1872"/>
      <c r="H85" s="1875"/>
      <c r="I85" s="1875"/>
      <c r="J85" s="1875"/>
      <c r="K85" s="1875"/>
      <c r="L85" s="1875"/>
      <c r="M85" s="1876"/>
      <c r="N85" s="3015"/>
      <c r="O85" s="3015"/>
      <c r="P85" s="2056"/>
      <c r="Q85" s="1871"/>
    </row>
    <row r="86" spans="1:17" s="1771"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71"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15.75"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5"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7.75"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5"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7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5"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14"/>
      <c r="O101" s="3014"/>
      <c r="P101" s="2055"/>
      <c r="Q101" s="1819"/>
    </row>
    <row r="102" spans="1:17" s="1771" customFormat="1" ht="15.7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71"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2388</v>
      </c>
      <c r="C106" s="468"/>
      <c r="D106" s="468"/>
      <c r="E106" s="468"/>
      <c r="F106" s="468"/>
      <c r="G106" s="468"/>
      <c r="H106" s="1578"/>
      <c r="I106" s="1578"/>
      <c r="J106" s="1578"/>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2449</v>
      </c>
      <c r="C108" s="1578"/>
      <c r="D108" s="1578"/>
      <c r="E108" s="1578"/>
      <c r="F108" s="1578"/>
      <c r="G108" s="1578"/>
      <c r="H108" s="1578"/>
      <c r="I108" s="1578"/>
      <c r="J108" s="1578"/>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71"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1"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8"/>
      <c r="D119" s="1578"/>
      <c r="E119" s="1578"/>
      <c r="F119" s="1578"/>
      <c r="G119" s="1578"/>
      <c r="H119" s="1578"/>
      <c r="I119" s="1578"/>
      <c r="J119" s="1578"/>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8"/>
      <c r="G121" s="1578"/>
      <c r="H121" s="1578"/>
      <c r="I121" s="1578"/>
      <c r="J121" s="1578"/>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1" customFormat="1" ht="15" thickTop="1">
      <c r="A123" s="1897"/>
      <c r="B123" s="1856" t="s">
        <v>2487</v>
      </c>
      <c r="C123" s="468"/>
      <c r="D123" s="468"/>
      <c r="E123" s="468"/>
      <c r="F123" s="468"/>
      <c r="G123" s="468"/>
      <c r="H123" s="1578"/>
      <c r="I123" s="1578"/>
      <c r="J123" s="1578"/>
      <c r="K123" s="473"/>
      <c r="L123" s="473"/>
      <c r="M123" s="1891"/>
      <c r="N123" s="3015"/>
      <c r="O123" s="3015"/>
      <c r="P123" s="2056"/>
      <c r="Q123" s="1871"/>
    </row>
    <row r="124" spans="1:17" s="1771"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8"/>
      <c r="F125" s="1578"/>
      <c r="G125" s="1578"/>
      <c r="H125" s="1578"/>
      <c r="I125" s="1578"/>
      <c r="J125" s="1578"/>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71"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71"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2"/>
      <c r="M4" s="3023"/>
      <c r="N4" s="3023"/>
      <c r="O4" s="3023"/>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2"/>
      <c r="M5" s="3023"/>
      <c r="N5" s="3023"/>
      <c r="O5" s="3023"/>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2"/>
      <c r="M6" s="3023"/>
      <c r="N6" s="3023"/>
      <c r="O6" s="3023"/>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44342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495" t="s">
        <v>2259</v>
      </c>
      <c r="Q7" s="3519"/>
      <c r="R7" s="627" t="s">
        <v>25</v>
      </c>
      <c r="S7" s="628">
        <f t="shared" ref="S7:S15" si="0">F7</f>
        <v>0</v>
      </c>
      <c r="T7" s="627" t="s">
        <v>25</v>
      </c>
      <c r="U7" s="628">
        <f t="shared" ref="U7:U15" si="1">H7</f>
        <v>0</v>
      </c>
      <c r="V7" s="627" t="s">
        <v>25</v>
      </c>
      <c r="W7" s="628">
        <f t="shared" ref="W7:W15" si="2">J7</f>
        <v>0</v>
      </c>
      <c r="X7" s="629"/>
      <c r="Y7" s="3495" t="s">
        <v>2259</v>
      </c>
      <c r="Z7" s="3496"/>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95" t="s">
        <v>2262</v>
      </c>
      <c r="Q8" s="3496"/>
      <c r="R8" s="627" t="s">
        <v>25</v>
      </c>
      <c r="S8" s="628">
        <f t="shared" si="0"/>
        <v>0</v>
      </c>
      <c r="T8" s="627" t="s">
        <v>25</v>
      </c>
      <c r="U8" s="628">
        <f t="shared" si="1"/>
        <v>0</v>
      </c>
      <c r="V8" s="627" t="s">
        <v>25</v>
      </c>
      <c r="W8" s="628">
        <f t="shared" si="2"/>
        <v>0</v>
      </c>
      <c r="X8" s="629"/>
      <c r="Y8" s="3495" t="s">
        <v>2262</v>
      </c>
      <c r="Z8" s="3496"/>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92"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106</v>
      </c>
      <c r="G10" s="322"/>
      <c r="H10" s="29">
        <f>ROUND(100/'数据-取费表'!B14,0)</f>
        <v>106</v>
      </c>
      <c r="I10" s="322"/>
      <c r="J10" s="29">
        <f>ROUND(100/'数据-取费表'!B14,0)</f>
        <v>106</v>
      </c>
      <c r="K10" s="553"/>
      <c r="L10" s="3027"/>
      <c r="M10" s="3028"/>
      <c r="N10" s="3028"/>
      <c r="O10" s="3029"/>
      <c r="P10" s="3492"/>
      <c r="Q10" s="1327" t="str">
        <f t="shared" si="6"/>
        <v>土地使用年限（年）</v>
      </c>
      <c r="R10" s="627" t="s">
        <v>25</v>
      </c>
      <c r="S10" s="628">
        <f t="shared" si="0"/>
        <v>106</v>
      </c>
      <c r="T10" s="627" t="s">
        <v>25</v>
      </c>
      <c r="U10" s="628">
        <f t="shared" si="1"/>
        <v>106</v>
      </c>
      <c r="V10" s="627" t="s">
        <v>25</v>
      </c>
      <c r="W10" s="628">
        <f t="shared" si="2"/>
        <v>106</v>
      </c>
      <c r="X10" s="629"/>
      <c r="Y10" s="3522"/>
      <c r="Z10" s="19" t="str">
        <f t="shared" si="7"/>
        <v>土地使用年限（年）</v>
      </c>
      <c r="AA10" s="630">
        <f t="shared" si="3"/>
        <v>0.94339622641509435</v>
      </c>
      <c r="AB10" s="630">
        <f t="shared" si="4"/>
        <v>0.94339622641509435</v>
      </c>
      <c r="AC10" s="630">
        <f t="shared" si="5"/>
        <v>0.94339622641509435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21"/>
      <c r="Q16" s="1334"/>
      <c r="R16" s="631"/>
      <c r="S16" s="632"/>
      <c r="T16" s="631"/>
      <c r="U16" s="632"/>
      <c r="V16" s="631"/>
      <c r="W16" s="632"/>
      <c r="X16" s="1335"/>
      <c r="Y16" s="352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21"/>
      <c r="Q18" s="1334"/>
      <c r="R18" s="631"/>
      <c r="S18" s="632"/>
      <c r="T18" s="631"/>
      <c r="U18" s="632"/>
      <c r="V18" s="631"/>
      <c r="W18" s="632"/>
      <c r="X18" s="1335"/>
      <c r="Y18" s="352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1"/>
      <c r="Q19" s="1334" t="str">
        <f t="shared" ref="Q19:Q33" si="8">B19</f>
        <v>区域土地利用方向</v>
      </c>
      <c r="R19" s="631" t="s">
        <v>25</v>
      </c>
      <c r="S19" s="632">
        <f>F19</f>
        <v>100</v>
      </c>
      <c r="T19" s="631" t="s">
        <v>25</v>
      </c>
      <c r="U19" s="632">
        <f>H19</f>
        <v>100</v>
      </c>
      <c r="V19" s="631" t="s">
        <v>25</v>
      </c>
      <c r="W19" s="632">
        <f>J19</f>
        <v>100</v>
      </c>
      <c r="X19" s="1335"/>
      <c r="Y19" s="352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21"/>
      <c r="Q20" s="1334"/>
      <c r="R20" s="631"/>
      <c r="S20" s="632"/>
      <c r="T20" s="631"/>
      <c r="U20" s="632"/>
      <c r="V20" s="631"/>
      <c r="W20" s="632"/>
      <c r="X20" s="1335"/>
      <c r="Y20" s="352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1"/>
      <c r="Q21" s="1334" t="str">
        <f t="shared" si="8"/>
        <v>环境状况</v>
      </c>
      <c r="R21" s="631" t="s">
        <v>25</v>
      </c>
      <c r="S21" s="632">
        <f>F21</f>
        <v>100</v>
      </c>
      <c r="T21" s="631" t="s">
        <v>25</v>
      </c>
      <c r="U21" s="632">
        <f>H21</f>
        <v>100</v>
      </c>
      <c r="V21" s="631" t="s">
        <v>25</v>
      </c>
      <c r="W21" s="632">
        <f>J21</f>
        <v>100</v>
      </c>
      <c r="X21" s="1335"/>
      <c r="Y21" s="352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21"/>
      <c r="Q22" s="1334"/>
      <c r="R22" s="631"/>
      <c r="S22" s="632"/>
      <c r="T22" s="631"/>
      <c r="U22" s="632"/>
      <c r="V22" s="631"/>
      <c r="W22" s="632"/>
      <c r="X22" s="1335"/>
      <c r="Y22" s="352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1"/>
      <c r="Q23" s="1327" t="str">
        <f t="shared" si="8"/>
        <v>公共配套设施</v>
      </c>
      <c r="R23" s="627" t="s">
        <v>25</v>
      </c>
      <c r="S23" s="628">
        <f>F23</f>
        <v>100</v>
      </c>
      <c r="T23" s="627" t="s">
        <v>25</v>
      </c>
      <c r="U23" s="628">
        <f>H23</f>
        <v>100</v>
      </c>
      <c r="V23" s="627" t="s">
        <v>25</v>
      </c>
      <c r="W23" s="628">
        <f>J23</f>
        <v>100</v>
      </c>
      <c r="X23" s="629"/>
      <c r="Y23" s="352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21"/>
      <c r="Q24" s="1327"/>
      <c r="R24" s="627"/>
      <c r="S24" s="628"/>
      <c r="T24" s="627"/>
      <c r="U24" s="628"/>
      <c r="V24" s="627"/>
      <c r="W24" s="628"/>
      <c r="X24" s="629"/>
      <c r="Y24" s="352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1"/>
      <c r="Q25" s="1327" t="str">
        <f t="shared" ref="Q25" si="9">B25</f>
        <v>基础设施水平</v>
      </c>
      <c r="R25" s="627" t="s">
        <v>25</v>
      </c>
      <c r="S25" s="628">
        <f>F25</f>
        <v>100</v>
      </c>
      <c r="T25" s="627" t="s">
        <v>25</v>
      </c>
      <c r="U25" s="628">
        <f>H25</f>
        <v>100</v>
      </c>
      <c r="V25" s="627" t="s">
        <v>25</v>
      </c>
      <c r="W25" s="628">
        <f>J25</f>
        <v>100</v>
      </c>
      <c r="X25" s="629"/>
      <c r="Y25" s="352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21"/>
      <c r="Q26" s="1327"/>
      <c r="R26" s="627"/>
      <c r="S26" s="628"/>
      <c r="T26" s="627"/>
      <c r="U26" s="628"/>
      <c r="V26" s="627"/>
      <c r="W26" s="628"/>
      <c r="X26" s="629"/>
      <c r="Y26" s="352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1"/>
      <c r="Q28" s="1334" t="str">
        <f t="shared" si="8"/>
        <v>毗邻道路的类型与等级</v>
      </c>
      <c r="R28" s="631" t="s">
        <v>25</v>
      </c>
      <c r="S28" s="632">
        <f t="shared" si="10"/>
        <v>100</v>
      </c>
      <c r="T28" s="631" t="s">
        <v>25</v>
      </c>
      <c r="U28" s="632">
        <f t="shared" si="11"/>
        <v>100</v>
      </c>
      <c r="V28" s="631" t="s">
        <v>25</v>
      </c>
      <c r="W28" s="632">
        <f t="shared" si="12"/>
        <v>100</v>
      </c>
      <c r="X28" s="1335"/>
      <c r="Y28" s="352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21"/>
      <c r="Q29" s="1334"/>
      <c r="R29" s="631"/>
      <c r="S29" s="632"/>
      <c r="T29" s="631"/>
      <c r="U29" s="632"/>
      <c r="V29" s="631"/>
      <c r="W29" s="632"/>
      <c r="X29" s="1335"/>
      <c r="Y29" s="352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1"/>
      <c r="Q30" s="1334" t="str">
        <f t="shared" si="8"/>
        <v>土地级别</v>
      </c>
      <c r="R30" s="631" t="s">
        <v>25</v>
      </c>
      <c r="S30" s="632">
        <f t="shared" si="10"/>
        <v>100</v>
      </c>
      <c r="T30" s="631" t="s">
        <v>25</v>
      </c>
      <c r="U30" s="632">
        <f t="shared" si="11"/>
        <v>100</v>
      </c>
      <c r="V30" s="631" t="s">
        <v>25</v>
      </c>
      <c r="W30" s="632">
        <f t="shared" si="12"/>
        <v>100</v>
      </c>
      <c r="X30" s="1335"/>
      <c r="Y30" s="352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1"/>
      <c r="Q31" s="1334">
        <f t="shared" si="8"/>
        <v>111</v>
      </c>
      <c r="R31" s="631" t="s">
        <v>25</v>
      </c>
      <c r="S31" s="632">
        <f t="shared" si="10"/>
        <v>100</v>
      </c>
      <c r="T31" s="631" t="s">
        <v>25</v>
      </c>
      <c r="U31" s="632">
        <f t="shared" si="11"/>
        <v>100</v>
      </c>
      <c r="V31" s="631" t="s">
        <v>25</v>
      </c>
      <c r="W31" s="632">
        <f t="shared" si="12"/>
        <v>100</v>
      </c>
      <c r="X31" s="1335"/>
      <c r="Y31" s="352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23" t="s">
        <v>2276</v>
      </c>
      <c r="Q32" s="1334">
        <f t="shared" si="8"/>
        <v>111</v>
      </c>
      <c r="R32" s="631" t="s">
        <v>25</v>
      </c>
      <c r="S32" s="632">
        <f t="shared" si="10"/>
        <v>100</v>
      </c>
      <c r="T32" s="631" t="s">
        <v>25</v>
      </c>
      <c r="U32" s="632">
        <f t="shared" si="11"/>
        <v>100</v>
      </c>
      <c r="V32" s="631" t="s">
        <v>25</v>
      </c>
      <c r="W32" s="632">
        <f t="shared" si="12"/>
        <v>100</v>
      </c>
      <c r="X32" s="1335"/>
      <c r="Y32" s="3524"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24"/>
      <c r="Q33" s="1334">
        <f t="shared" si="8"/>
        <v>111</v>
      </c>
      <c r="R33" s="634" t="s">
        <v>25</v>
      </c>
      <c r="S33" s="635">
        <f t="shared" si="10"/>
        <v>100</v>
      </c>
      <c r="T33" s="634" t="s">
        <v>25</v>
      </c>
      <c r="U33" s="635">
        <f t="shared" si="11"/>
        <v>100</v>
      </c>
      <c r="V33" s="634" t="s">
        <v>25</v>
      </c>
      <c r="W33" s="635">
        <f t="shared" si="12"/>
        <v>100</v>
      </c>
      <c r="X33" s="636"/>
      <c r="Y33" s="3524"/>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24"/>
      <c r="Q34" s="1334" t="str">
        <f>B34</f>
        <v>宗地面积</v>
      </c>
      <c r="R34" s="631" t="s">
        <v>25</v>
      </c>
      <c r="S34" s="632" t="e">
        <f t="shared" si="10"/>
        <v>#N/A</v>
      </c>
      <c r="T34" s="631" t="s">
        <v>25</v>
      </c>
      <c r="U34" s="632" t="e">
        <f t="shared" si="11"/>
        <v>#N/A</v>
      </c>
      <c r="V34" s="631" t="s">
        <v>25</v>
      </c>
      <c r="W34" s="632" t="e">
        <f t="shared" si="12"/>
        <v>#N/A</v>
      </c>
      <c r="X34" s="1335"/>
      <c r="Y34" s="3524"/>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24"/>
      <c r="Q35" s="1334" t="str">
        <f t="shared" ref="Q35:Q40" si="14">B35</f>
        <v>宗地形状</v>
      </c>
      <c r="R35" s="631" t="s">
        <v>25</v>
      </c>
      <c r="S35" s="632">
        <f t="shared" si="10"/>
        <v>100</v>
      </c>
      <c r="T35" s="631" t="s">
        <v>25</v>
      </c>
      <c r="U35" s="632">
        <f t="shared" si="11"/>
        <v>100</v>
      </c>
      <c r="V35" s="631" t="s">
        <v>25</v>
      </c>
      <c r="W35" s="632">
        <f t="shared" si="12"/>
        <v>100</v>
      </c>
      <c r="X35" s="1335"/>
      <c r="Y35" s="3524"/>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24"/>
      <c r="Q36" s="1334" t="str">
        <f t="shared" si="14"/>
        <v>宗地开发程度</v>
      </c>
      <c r="R36" s="627" t="s">
        <v>25</v>
      </c>
      <c r="S36" s="628">
        <f t="shared" si="10"/>
        <v>100</v>
      </c>
      <c r="T36" s="627" t="s">
        <v>25</v>
      </c>
      <c r="U36" s="628">
        <f t="shared" si="11"/>
        <v>100</v>
      </c>
      <c r="V36" s="627" t="s">
        <v>25</v>
      </c>
      <c r="W36" s="628">
        <f t="shared" si="12"/>
        <v>100</v>
      </c>
      <c r="X36" s="629"/>
      <c r="Y36" s="3524"/>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24" t="s">
        <v>2276</v>
      </c>
      <c r="Q37" s="1334" t="str">
        <f t="shared" si="14"/>
        <v>工程地质条件</v>
      </c>
      <c r="R37" s="631" t="s">
        <v>25</v>
      </c>
      <c r="S37" s="632">
        <f t="shared" si="10"/>
        <v>100</v>
      </c>
      <c r="T37" s="631" t="s">
        <v>25</v>
      </c>
      <c r="U37" s="632">
        <f t="shared" si="11"/>
        <v>100</v>
      </c>
      <c r="V37" s="631" t="s">
        <v>25</v>
      </c>
      <c r="W37" s="632">
        <f t="shared" si="12"/>
        <v>100</v>
      </c>
      <c r="X37" s="1335"/>
      <c r="Y37" s="3524"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24"/>
      <c r="Q38" s="1334">
        <f t="shared" si="14"/>
        <v>111</v>
      </c>
      <c r="R38" s="631" t="s">
        <v>25</v>
      </c>
      <c r="S38" s="632">
        <f t="shared" si="10"/>
        <v>100</v>
      </c>
      <c r="T38" s="631" t="s">
        <v>25</v>
      </c>
      <c r="U38" s="632">
        <f t="shared" si="11"/>
        <v>100</v>
      </c>
      <c r="V38" s="631" t="s">
        <v>25</v>
      </c>
      <c r="W38" s="632">
        <f t="shared" si="12"/>
        <v>100</v>
      </c>
      <c r="X38" s="1335"/>
      <c r="Y38" s="352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24"/>
      <c r="Q39" s="1334">
        <f t="shared" si="14"/>
        <v>111</v>
      </c>
      <c r="R39" s="631" t="s">
        <v>25</v>
      </c>
      <c r="S39" s="632">
        <f t="shared" si="10"/>
        <v>100</v>
      </c>
      <c r="T39" s="631" t="s">
        <v>25</v>
      </c>
      <c r="U39" s="632">
        <f t="shared" si="11"/>
        <v>100</v>
      </c>
      <c r="V39" s="631" t="s">
        <v>25</v>
      </c>
      <c r="W39" s="632">
        <f t="shared" si="12"/>
        <v>100</v>
      </c>
      <c r="X39" s="1335"/>
      <c r="Y39" s="352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24"/>
      <c r="Q40" s="1334">
        <f t="shared" si="14"/>
        <v>111</v>
      </c>
      <c r="R40" s="634" t="s">
        <v>25</v>
      </c>
      <c r="S40" s="635">
        <f t="shared" si="10"/>
        <v>100</v>
      </c>
      <c r="T40" s="634" t="s">
        <v>25</v>
      </c>
      <c r="U40" s="635">
        <f t="shared" si="11"/>
        <v>100</v>
      </c>
      <c r="V40" s="634" t="s">
        <v>25</v>
      </c>
      <c r="W40" s="635">
        <f t="shared" si="12"/>
        <v>100</v>
      </c>
      <c r="X40" s="636"/>
      <c r="Y40" s="3524"/>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4"/>
      <c r="M41" s="3023"/>
      <c r="N41" s="3023"/>
      <c r="P41" s="3492" t="str">
        <f>A41</f>
        <v>成交单价</v>
      </c>
      <c r="Q41" s="3492"/>
      <c r="R41" s="3516">
        <f>E41</f>
        <v>0</v>
      </c>
      <c r="S41" s="3516"/>
      <c r="T41" s="3516">
        <f>G41</f>
        <v>0</v>
      </c>
      <c r="U41" s="3516"/>
      <c r="V41" s="3516">
        <f>I41</f>
        <v>0</v>
      </c>
      <c r="W41" s="3516"/>
      <c r="X41" s="618"/>
      <c r="Y41" s="638"/>
      <c r="Z41" s="618"/>
      <c r="AA41" s="618"/>
      <c r="AB41" s="618"/>
      <c r="AC41" s="618"/>
    </row>
    <row r="42" spans="1:29" ht="15.75" thickBot="1">
      <c r="A42" s="374" t="s">
        <v>2371</v>
      </c>
      <c r="B42" s="563"/>
      <c r="C42" s="377" t="e">
        <f>R43</f>
        <v>#DIV/0!</v>
      </c>
      <c r="D42" s="1794" t="s">
        <v>2745</v>
      </c>
      <c r="E42" s="377" t="e">
        <f>R42</f>
        <v>#DIV/0!</v>
      </c>
      <c r="F42" s="1796"/>
      <c r="G42" s="376" t="e">
        <f>T42</f>
        <v>#DIV/0!</v>
      </c>
      <c r="H42" s="1796"/>
      <c r="I42" s="377" t="e">
        <f>V42</f>
        <v>#DIV/0!</v>
      </c>
      <c r="J42" s="1796"/>
      <c r="K42" s="2508">
        <f>F42+H42+J42</f>
        <v>0</v>
      </c>
      <c r="L42" s="3034"/>
      <c r="M42" s="3023"/>
      <c r="N42" s="3023"/>
      <c r="P42" s="3492" t="str">
        <f>A42</f>
        <v>比较价值（元/平方米）</v>
      </c>
      <c r="Q42" s="3492"/>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27" t="str">
        <f>A43</f>
        <v>估价对象XX用房的比较价值（楼面单价，元/平方米）</v>
      </c>
      <c r="Q43" s="3528"/>
      <c r="R43" s="3532" t="e">
        <f>ROUND(IF(D42="简单平均",AVERAGE(R42:W42),R42*F42+T42*H42+V42*J42),0)</f>
        <v>#DIV/0!</v>
      </c>
      <c r="S43" s="3532"/>
      <c r="T43" s="3532"/>
      <c r="U43" s="3532"/>
      <c r="V43" s="3532"/>
      <c r="W43" s="3532"/>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2467</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2468</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估价对象为北京市房地产，为XX所有。根据《不动产权证书》[]，估价对象建筑面积为353.61平方米，（分摊）出让国有建设用地使用权面积为平方米。估价对象用途为。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2021年5月26日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58" sqref="A58:C5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2" customWidth="1"/>
    <col min="33" max="38" width="9.375" style="1624" customWidth="1"/>
    <col min="39" max="16384" width="9" style="1624"/>
  </cols>
  <sheetData>
    <row r="1" spans="1:36" ht="28.5">
      <c r="A1" s="2094" t="s">
        <v>2496</v>
      </c>
      <c r="B1" s="2095"/>
      <c r="C1" s="2096" t="s">
        <v>2497</v>
      </c>
      <c r="D1" s="2097">
        <f>SUM(D29:D30,D33:D39)</f>
        <v>353.61</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4.75">
      <c r="A2" s="1958" t="s">
        <v>2504</v>
      </c>
      <c r="B2" s="1659">
        <f>C26</f>
        <v>0</v>
      </c>
      <c r="C2" s="2105" t="s">
        <v>2505</v>
      </c>
      <c r="D2" s="1602" t="s">
        <v>2506</v>
      </c>
      <c r="E2" s="2106" t="s">
        <v>2888</v>
      </c>
      <c r="F2" s="1602" t="s">
        <v>2507</v>
      </c>
      <c r="G2" s="2107" t="str">
        <f>项目基本情况!F9</f>
        <v>八级</v>
      </c>
      <c r="H2" s="1603" t="s">
        <v>2508</v>
      </c>
      <c r="I2" s="2107" t="str">
        <f>项目基本情况!F10</f>
        <v>Ⅷ-昌3</v>
      </c>
      <c r="J2" s="2108"/>
      <c r="K2" s="3047"/>
      <c r="L2" s="2109" t="s">
        <v>2509</v>
      </c>
      <c r="M2" s="2110">
        <f>SUMPRODUCT((区片价!B10:B28=I2)*(区片价!C3:F3=E2)*(区片价!C10:F28))</f>
        <v>0</v>
      </c>
      <c r="N2" s="2111">
        <f>SUMPRODUCT((因素修正幅度!B10:B28=I2)*(因素修正幅度!C3:F3=E2)*(因素修正幅度!C10:F28))</f>
        <v>0</v>
      </c>
      <c r="O2" s="3047"/>
      <c r="P2" s="3047"/>
      <c r="Q2" s="3047"/>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5.5">
      <c r="A3" s="1659" t="s">
        <v>2510</v>
      </c>
      <c r="B3" s="1659">
        <f>ROUND(B2/D1,0)</f>
        <v>0</v>
      </c>
      <c r="C3" s="2105" t="s">
        <v>2511</v>
      </c>
      <c r="D3" s="1602" t="s">
        <v>2512</v>
      </c>
      <c r="E3" s="2106" t="s">
        <v>2890</v>
      </c>
      <c r="F3" s="1604" t="s">
        <v>2513</v>
      </c>
      <c r="G3" s="2113">
        <f>项目基本情况!C15</f>
        <v>0</v>
      </c>
      <c r="H3" s="50" t="s">
        <v>2514</v>
      </c>
      <c r="I3" s="2114"/>
      <c r="J3" s="2108" t="s">
        <v>2515</v>
      </c>
      <c r="K3" s="3047"/>
      <c r="L3" s="2109" t="s">
        <v>2516</v>
      </c>
      <c r="M3" s="2110">
        <f>SUMPRODUCT((区片价!B29:B48=I2)*(区片价!C3:F3=E2)*(区片价!C29:F48))</f>
        <v>0</v>
      </c>
      <c r="N3" s="2111">
        <f>SUMPRODUCT((因素修正幅度!B29:B48=I2)*(因素修正幅度!C3:F3=E2)*(因素修正幅度!C29:F48))</f>
        <v>0</v>
      </c>
      <c r="O3" s="3047"/>
      <c r="P3" s="3047"/>
      <c r="Q3" s="3047"/>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51"/>
      <c r="B4" s="3552"/>
      <c r="C4" s="3552"/>
      <c r="D4" s="3553"/>
      <c r="E4" s="3553"/>
      <c r="F4" s="3553"/>
      <c r="G4" s="3553"/>
      <c r="H4" s="3553"/>
      <c r="I4" s="3553"/>
      <c r="J4" s="3554"/>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5" t="s">
        <v>2518</v>
      </c>
      <c r="B5" s="1605" t="s">
        <v>2519</v>
      </c>
      <c r="C5" s="2115">
        <f>ROUND(IF(E2="商业",C6*C7+C16,(IF(E2="住宅",C6*C12+C16,C6+C16))),0)</f>
        <v>7273</v>
      </c>
      <c r="D5" s="2116">
        <f>ROUND(C6+C16,0)</f>
        <v>5510</v>
      </c>
      <c r="E5" s="2116"/>
      <c r="F5" s="2117"/>
      <c r="G5" s="2118"/>
      <c r="H5" s="2118"/>
      <c r="I5" s="2118"/>
      <c r="J5" s="2075"/>
      <c r="K5" s="1667"/>
      <c r="L5" s="2109" t="s">
        <v>2520</v>
      </c>
      <c r="M5" s="2110">
        <f>SUMPRODUCT((区片价!B76:B109=I2)*(区片价!C3:F3=E2)*(区片价!C76:F109))</f>
        <v>0</v>
      </c>
      <c r="N5" s="2111">
        <f>SUMPRODUCT((因素修正幅度!B76:B109=I2)*(因素修正幅度!C3:F3=E2)*(因素修正幅度!C76:F109))</f>
        <v>0</v>
      </c>
      <c r="O5" s="3047"/>
      <c r="P5" s="3047"/>
      <c r="Q5" s="3047"/>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6" t="s">
        <v>2521</v>
      </c>
      <c r="C6" s="2124">
        <f>SUMIF(L1:L12,G2,M1:M12)</f>
        <v>5510</v>
      </c>
      <c r="D6" s="2125" t="s">
        <v>2522</v>
      </c>
      <c r="E6" s="1606"/>
      <c r="F6" s="1606"/>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55" t="str">
        <f>IF(E2="商业",IF(C8="不临58条商业街","",2),"")</f>
        <v/>
      </c>
      <c r="B7" s="1607" t="s">
        <v>2524</v>
      </c>
      <c r="C7" s="2128" t="e">
        <f>IF(C8="不临58条商业街",1,ROUND(1+(1.6*E8+1.2*E9+0.8*E10+0.4*E11)*C9,4))</f>
        <v>#DIV/0!</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2527</v>
      </c>
      <c r="X7" s="2134" t="str">
        <f>G2</f>
        <v>八级</v>
      </c>
      <c r="Y7" s="2134" t="s">
        <v>2528</v>
      </c>
      <c r="Z7" s="2135">
        <f>G3</f>
        <v>0</v>
      </c>
      <c r="AA7" s="2102"/>
      <c r="AB7" s="2102"/>
      <c r="AC7" s="2102"/>
      <c r="AD7" s="2103"/>
      <c r="AE7" s="2103"/>
      <c r="AF7" s="2103"/>
      <c r="AG7" s="2103"/>
      <c r="AH7" s="2103"/>
      <c r="AI7" s="2103"/>
      <c r="AJ7" s="2104"/>
    </row>
    <row r="8" spans="1:36" ht="15">
      <c r="A8" s="3556"/>
      <c r="B8" s="50" t="s">
        <v>2529</v>
      </c>
      <c r="C8" s="2136"/>
      <c r="D8" s="65" t="s">
        <v>89</v>
      </c>
      <c r="E8" s="2137" t="e">
        <f>ROUND(C11/E7,4)</f>
        <v>#DIV/0!</v>
      </c>
      <c r="F8" s="2138" t="s">
        <v>2530</v>
      </c>
      <c r="G8" s="2139"/>
      <c r="H8" s="2139"/>
      <c r="I8" s="2139"/>
      <c r="J8" s="2140"/>
      <c r="K8" s="3047"/>
      <c r="L8" s="2109" t="s">
        <v>2531</v>
      </c>
      <c r="M8" s="2110">
        <f>SUMPRODUCT((区片价!B206:B244=I2)*(区片价!C3:F3=E2)*(区片价!C206:F244))</f>
        <v>5510</v>
      </c>
      <c r="N8" s="2111">
        <f>SUMPRODUCT((因素修正幅度!B206:B244=I2)*(因素修正幅度!C3:F3=E2)*(因素修正幅度!C206:F244))</f>
        <v>0.15</v>
      </c>
      <c r="O8" s="3047"/>
      <c r="P8" s="3047"/>
      <c r="Q8" s="3047"/>
      <c r="R8" s="2101">
        <v>7</v>
      </c>
      <c r="S8" s="2112"/>
      <c r="T8" s="2101">
        <f t="shared" si="0"/>
        <v>0</v>
      </c>
      <c r="U8" s="2112"/>
      <c r="V8" s="2101">
        <f t="shared" si="1"/>
        <v>0</v>
      </c>
      <c r="W8" s="3549" t="s">
        <v>2532</v>
      </c>
      <c r="X8" s="3550"/>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56"/>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si="0"/>
        <v>0</v>
      </c>
      <c r="U9" s="2112"/>
      <c r="V9" s="2101">
        <f t="shared" si="1"/>
        <v>0</v>
      </c>
      <c r="W9" s="3550"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56"/>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si="0"/>
        <v>0</v>
      </c>
      <c r="U10" s="2112"/>
      <c r="V10" s="2101">
        <f t="shared" si="1"/>
        <v>0</v>
      </c>
      <c r="W10" s="3550"/>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56"/>
      <c r="B11" s="1608" t="s">
        <v>2553</v>
      </c>
      <c r="C11" s="1608">
        <f>C10/4</f>
        <v>0</v>
      </c>
      <c r="D11" s="1608" t="s">
        <v>92</v>
      </c>
      <c r="E11" s="1608"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si="0"/>
        <v>0</v>
      </c>
      <c r="U11" s="2112"/>
      <c r="V11" s="2101">
        <f t="shared" si="1"/>
        <v>0</v>
      </c>
      <c r="W11" s="3550" t="s">
        <v>2556</v>
      </c>
      <c r="X11" s="2150" t="s">
        <v>2557</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55">
        <f>IF(E2="住宅",2,"")</f>
        <v>2</v>
      </c>
      <c r="B12" s="1609" t="s">
        <v>2558</v>
      </c>
      <c r="C12" s="2128">
        <f>ROUND(C15*D15*E15*F15*G15*H15*I15*J15,4)</f>
        <v>1.32</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si="0"/>
        <v>0</v>
      </c>
      <c r="U12" s="2112"/>
      <c r="V12" s="2101">
        <f t="shared" si="1"/>
        <v>0</v>
      </c>
      <c r="W12" s="3550"/>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57"/>
      <c r="B13" s="1610" t="s">
        <v>2562</v>
      </c>
      <c r="C13" s="2159" t="s">
        <v>2563</v>
      </c>
      <c r="D13" s="1611" t="s">
        <v>2564</v>
      </c>
      <c r="E13" s="1611"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si="0"/>
        <v>0</v>
      </c>
      <c r="U13" s="2112"/>
      <c r="V13" s="2101">
        <f t="shared" si="1"/>
        <v>0</v>
      </c>
      <c r="W13" s="3550"/>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57"/>
      <c r="B14" s="1611"/>
      <c r="C14" s="2162" t="s">
        <v>2568</v>
      </c>
      <c r="D14" s="2163" t="s">
        <v>2569</v>
      </c>
      <c r="E14" s="2163" t="s">
        <v>2569</v>
      </c>
      <c r="F14" s="2164" t="s">
        <v>2570</v>
      </c>
      <c r="G14" s="2165" t="s">
        <v>2571</v>
      </c>
      <c r="H14" s="2166"/>
      <c r="I14" s="2167"/>
      <c r="J14" s="2168"/>
      <c r="K14" s="3047"/>
      <c r="L14" s="3047"/>
      <c r="M14" s="3047"/>
      <c r="N14" s="3047"/>
      <c r="O14" s="3047"/>
      <c r="P14" s="3047"/>
      <c r="Q14" s="304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58"/>
      <c r="B15" s="1612" t="s">
        <v>2572</v>
      </c>
      <c r="C15" s="2169">
        <f>IF(C14="有",1.1,1)</f>
        <v>1.1000000000000001</v>
      </c>
      <c r="D15" s="2169">
        <f>IF(D14="有",1.1,1)</f>
        <v>1</v>
      </c>
      <c r="E15" s="2169">
        <f>IF(E14="有",1.1,1)</f>
        <v>1</v>
      </c>
      <c r="F15" s="2169">
        <f>IF(F14="500米范围内",1.2,IF(F14="500-1000米",1.1,1))</f>
        <v>1.2</v>
      </c>
      <c r="G15" s="2170">
        <v>1</v>
      </c>
      <c r="H15" s="2170">
        <v>1</v>
      </c>
      <c r="I15" s="2170">
        <v>1</v>
      </c>
      <c r="J15" s="2171">
        <v>1</v>
      </c>
      <c r="K15" s="3047"/>
      <c r="L15" s="3047"/>
      <c r="M15" s="3047"/>
      <c r="N15" s="3047"/>
      <c r="O15" s="3047"/>
      <c r="P15" s="3047"/>
      <c r="Q15" s="304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34">
        <f>IF(E2="办公",2,IF(E2="工业",2,IF(E2="住宅",3,IF(E2="商业",IF(C8="不临58条商业街",2,3)))))</f>
        <v>3</v>
      </c>
      <c r="B16" s="1631" t="s">
        <v>2578</v>
      </c>
      <c r="C16" s="1607">
        <f>ROUND(IF(F17="与级别开发程度一致",0,(G17-E17)/C17),0)</f>
        <v>0</v>
      </c>
      <c r="D16" s="3547" t="s">
        <v>2582</v>
      </c>
      <c r="E16" s="3548"/>
      <c r="F16" s="3547" t="s">
        <v>2579</v>
      </c>
      <c r="G16" s="3548"/>
      <c r="H16" s="2172"/>
      <c r="I16" s="2172"/>
      <c r="J16" s="2173"/>
      <c r="K16" s="2172"/>
      <c r="L16" s="2172"/>
      <c r="M16" s="2172"/>
      <c r="N16" s="2172"/>
      <c r="O16" s="2174"/>
      <c r="P16" s="3047"/>
      <c r="Q16" s="304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35"/>
      <c r="B17" s="1632" t="s">
        <v>2581</v>
      </c>
      <c r="C17" s="2175">
        <f>SUMPRODUCT((修正!A2:A5=E2)*(修正!B1:M1=G2)*(修正!B2:M5))</f>
        <v>1.5</v>
      </c>
      <c r="D17" s="2169" t="str">
        <f>IF(OR(G2="八级",G2="九级",G2="十级",G2="十一级",G2="十二级"),"五通一平","七通一平")</f>
        <v>五通一平</v>
      </c>
      <c r="E17" s="2176">
        <f>SUMPRODUCT((修正!B1:M1=G2)*(修正!B15:M15))</f>
        <v>155</v>
      </c>
      <c r="F17" s="2177" t="s">
        <v>2891</v>
      </c>
      <c r="G17" s="1621">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7"/>
      <c r="Q17" s="3047"/>
      <c r="R17" s="1623"/>
      <c r="S17" s="1623"/>
      <c r="T17" s="1623"/>
      <c r="U17" s="1623"/>
      <c r="V17" s="1623"/>
      <c r="W17" s="1623"/>
      <c r="X17" s="1623"/>
      <c r="Y17" s="1623"/>
      <c r="Z17" s="1623"/>
      <c r="AA17" s="1623"/>
      <c r="AB17" s="1623"/>
      <c r="AC17" s="1623"/>
      <c r="AD17" s="1623"/>
      <c r="AE17" s="1623"/>
      <c r="AF17" s="1623"/>
    </row>
    <row r="18" spans="1:35" s="2122" customFormat="1" ht="15.75" thickBot="1">
      <c r="A18" s="2180" t="s">
        <v>2584</v>
      </c>
      <c r="B18" s="1630" t="s">
        <v>2585</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25" thickBot="1">
      <c r="A19" s="2180" t="s">
        <v>2586</v>
      </c>
      <c r="B19" s="1613" t="s">
        <v>2587</v>
      </c>
      <c r="C19" s="2186">
        <f>ROUND(IF(H19="按公示增长率计算",SUMPRODUCT((地价!A3:A34=YEAR(G19)&amp;"-"&amp;ROUNDUP(MONTH(G19)/3,0))*(地价!X2:AB2=E2)*(地价!X3:AB34)),IF(H19="地价指数",M20/M19,(1+I19)^O19)),4)</f>
        <v>1.6988000000000001</v>
      </c>
      <c r="D19" s="2187" t="s">
        <v>2588</v>
      </c>
      <c r="E19" s="2188">
        <v>41640</v>
      </c>
      <c r="F19" s="2187" t="s">
        <v>2589</v>
      </c>
      <c r="G19" s="2189">
        <f>'数据-取费表'!B2</f>
        <v>44342</v>
      </c>
      <c r="H19" s="2190" t="s">
        <v>2725</v>
      </c>
      <c r="I19" s="2191" t="str">
        <f>IF(H19="季度增幅（自定义）",SUMIF(N21:N24,E2,O21:O24),"")</f>
        <v/>
      </c>
      <c r="J19" s="2192"/>
      <c r="K19" s="3049"/>
      <c r="L19" s="2073" t="s">
        <v>2590</v>
      </c>
      <c r="M19" s="2193">
        <f>ROUND(SUMIF(地价!B2:F2,E2,地价!B34:F34),0)</f>
        <v>423</v>
      </c>
      <c r="N19" s="2194" t="s">
        <v>2591</v>
      </c>
      <c r="O19" s="2195">
        <f>ROUNDDOWN(DATEDIF(E19,G19,"M")/3,0)</f>
        <v>29</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7.75" thickBot="1">
      <c r="A20" s="1718" t="s">
        <v>2592</v>
      </c>
      <c r="B20" s="1614" t="s">
        <v>2593</v>
      </c>
      <c r="C20" s="2198">
        <f>ROUND(POWER(1+G20,J20-I20)*(POWER(1+G20,I20)-1)/(POWER(1+G20,J20)-1),4)</f>
        <v>0.95220000000000005</v>
      </c>
      <c r="D20" s="2199" t="s">
        <v>2594</v>
      </c>
      <c r="E20" s="3152">
        <f>存贷款利率!E18/100</f>
        <v>4.3499999999999997E-2</v>
      </c>
      <c r="F20" s="2199" t="s">
        <v>2583</v>
      </c>
      <c r="G20" s="3153">
        <f>SUMIF(M26:P26,E2,M28:P28)</f>
        <v>0.05</v>
      </c>
      <c r="H20" s="2199" t="s">
        <v>2595</v>
      </c>
      <c r="I20" s="2200">
        <f>'数据-取费表'!B13</f>
        <v>52</v>
      </c>
      <c r="J20" s="2201">
        <f>IF(E2="住宅",70,IF(E2="商业",40,50))</f>
        <v>70</v>
      </c>
      <c r="K20" s="3049"/>
      <c r="L20" s="2202" t="s">
        <v>2596</v>
      </c>
      <c r="M20" s="2203">
        <f>ROUND(SUMPRODUCT((地价!A4:A34=YEAR(G19)&amp;"-"&amp;ROUNDUP(MONTH(G19)/3,0))*(地价!B2:F2=E2)*(地价!B4:F34)),0)</f>
        <v>718</v>
      </c>
      <c r="N20" s="2204" t="s">
        <v>2597</v>
      </c>
      <c r="O20" s="2205" t="s">
        <v>2598</v>
      </c>
      <c r="P20" s="2206" t="s">
        <v>2599</v>
      </c>
      <c r="Q20" s="3049"/>
      <c r="R20" s="3047"/>
      <c r="S20" s="3047"/>
      <c r="T20" s="3047"/>
      <c r="U20" s="3047"/>
      <c r="V20" s="3047"/>
      <c r="W20" s="3047"/>
      <c r="X20" s="1623"/>
      <c r="Y20" s="1623"/>
      <c r="Z20" s="1623"/>
      <c r="AA20" s="1623"/>
      <c r="AB20" s="1623"/>
      <c r="AC20" s="1623"/>
      <c r="AD20" s="1623"/>
      <c r="AE20" s="2185"/>
      <c r="AF20" s="2185"/>
    </row>
    <row r="21" spans="1:35" s="2122" customFormat="1" ht="14.25">
      <c r="A21" s="2207" t="s">
        <v>2600</v>
      </c>
      <c r="B21" s="1615" t="s">
        <v>2601</v>
      </c>
      <c r="C21" s="2208">
        <f>IF(B21="容积率修正",IF(G3&lt;=10,D22,J22),C23)</f>
        <v>0</v>
      </c>
      <c r="D21" s="2209"/>
      <c r="E21" s="2209"/>
      <c r="F21" s="2209"/>
      <c r="G21" s="2209"/>
      <c r="H21" s="2209"/>
      <c r="I21" s="2209"/>
      <c r="J21" s="2074"/>
      <c r="K21" s="3049"/>
      <c r="L21" s="3049"/>
      <c r="M21" s="3049"/>
      <c r="N21" s="2210" t="s">
        <v>2602</v>
      </c>
      <c r="O21" s="2211"/>
      <c r="P21" s="2212">
        <f>SUMPRODUCT((地价!A3:A34=YEAR(G19)&amp;"-"&amp;ROUNDUP(MONTH(G19)/3,0))*(地价!AD2:AH2=N21)*(地价!AD3:AH34))</f>
        <v>1.09E-2</v>
      </c>
      <c r="Q21" s="3049"/>
      <c r="R21" s="3047"/>
      <c r="S21" s="3047"/>
      <c r="T21" s="3047"/>
      <c r="U21" s="3047"/>
      <c r="V21" s="3047"/>
      <c r="W21" s="3047"/>
      <c r="X21" s="1623"/>
      <c r="Y21" s="1623"/>
      <c r="Z21" s="1623"/>
      <c r="AA21" s="1623"/>
      <c r="AB21" s="1623"/>
      <c r="AC21" s="1623"/>
      <c r="AD21" s="1623"/>
      <c r="AE21" s="2185"/>
      <c r="AF21" s="2185"/>
    </row>
    <row r="22" spans="1:35" s="2122" customFormat="1" ht="14.25">
      <c r="A22" s="2070">
        <v>1</v>
      </c>
      <c r="B22" s="2069" t="s">
        <v>2603</v>
      </c>
      <c r="C22" s="2069" t="s">
        <v>2604</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9"/>
      <c r="L22" s="3049"/>
      <c r="M22" s="3049"/>
      <c r="N22" s="2210" t="s">
        <v>2605</v>
      </c>
      <c r="O22" s="2211"/>
      <c r="P22" s="2212">
        <f>SUMPRODUCT((地价!A3:A34=YEAR(G19)&amp;"-"&amp;ROUNDUP(MONTH(G19)/3,0))*(地价!AD2:AH2=N22)*(地价!AD3:AH34))</f>
        <v>1.09E-2</v>
      </c>
      <c r="Q22" s="3049"/>
      <c r="R22" s="3047"/>
      <c r="S22" s="3047"/>
      <c r="T22" s="3047"/>
      <c r="U22" s="3047"/>
      <c r="V22" s="3047"/>
      <c r="W22" s="3047"/>
      <c r="X22" s="1623"/>
      <c r="Y22" s="1623"/>
      <c r="Z22" s="1623"/>
      <c r="AA22" s="1623"/>
      <c r="AB22" s="1623"/>
      <c r="AC22" s="1623"/>
      <c r="AD22" s="1623"/>
      <c r="AE22" s="2185"/>
      <c r="AF22" s="2185"/>
    </row>
    <row r="23" spans="1:35" ht="27">
      <c r="A23" s="2070">
        <v>2</v>
      </c>
      <c r="B23" s="2069" t="s">
        <v>2606</v>
      </c>
      <c r="C23" s="2214" t="e">
        <f>ROUND(IF(G3&gt;1,IF(I3&lt;7,SUMPRODUCT((B93:B98=I3)*(C92:N92=G2)*(C93:N98)),SUMIF(C92:N92,G2,C100:N100)),IF(I3&lt;7,SUMPRODUCT((B102:B107=I3)*(C92:N92=G2)*(C102:N107)),SUMIF(C92:N92,G2,C109:N109))),4)</f>
        <v>#DIV/0!</v>
      </c>
      <c r="D23" s="2166"/>
      <c r="E23" s="2166"/>
      <c r="F23" s="2215"/>
      <c r="G23" s="2216"/>
      <c r="H23" s="1620"/>
      <c r="I23" s="2069"/>
      <c r="J23" s="2213"/>
      <c r="K23" s="3047"/>
      <c r="L23" s="3047"/>
      <c r="M23" s="3047"/>
      <c r="N23" s="2210" t="s">
        <v>2607</v>
      </c>
      <c r="O23" s="2211"/>
      <c r="P23" s="2212">
        <f>SUMPRODUCT((地价!A3:A34=YEAR(G19)&amp;"-"&amp;ROUNDUP(MONTH(G19)/3,0))*(地价!AD2:AH2=N23)*(地价!AD3:AH34))</f>
        <v>1.9E-2</v>
      </c>
      <c r="Q23" s="3047"/>
      <c r="R23" s="3047"/>
      <c r="S23" s="3047"/>
      <c r="T23" s="3047"/>
      <c r="U23" s="3047"/>
      <c r="V23" s="3047"/>
      <c r="W23" s="3047"/>
      <c r="X23" s="1623"/>
      <c r="Y23" s="1623"/>
      <c r="Z23" s="1623"/>
      <c r="AA23" s="1623"/>
      <c r="AB23" s="1623"/>
      <c r="AC23" s="1623"/>
      <c r="AD23" s="1623"/>
      <c r="AE23" s="1623"/>
      <c r="AF23" s="1623"/>
    </row>
    <row r="24" spans="1:35" s="2122" customFormat="1" ht="15.75" thickBot="1">
      <c r="A24" s="2217" t="s">
        <v>2608</v>
      </c>
      <c r="B24" s="1617" t="s">
        <v>2609</v>
      </c>
      <c r="C24" s="2218">
        <f>SUMIF(A46:A88,E2,B46:B88)</f>
        <v>1</v>
      </c>
      <c r="D24" s="2219"/>
      <c r="E24" s="2220"/>
      <c r="F24" s="2220"/>
      <c r="G24" s="2220"/>
      <c r="H24" s="2220"/>
      <c r="I24" s="2220"/>
      <c r="J24" s="2221"/>
      <c r="K24" s="3049"/>
      <c r="L24" s="3049"/>
      <c r="M24" s="3049"/>
      <c r="N24" s="2222" t="s">
        <v>2610</v>
      </c>
      <c r="O24" s="2223"/>
      <c r="P24" s="2224">
        <f>SUMPRODUCT((地价!A3:A34=YEAR(G19)&amp;"-"&amp;ROUNDUP(MONTH(G19)/3,0))*(地价!AD2:AH2=N24)*(地价!AD3:AH34))</f>
        <v>1.2500000000000001E-2</v>
      </c>
      <c r="Q24" s="3049"/>
      <c r="R24" s="3047"/>
      <c r="S24" s="3047"/>
      <c r="T24" s="3047"/>
      <c r="U24" s="3047"/>
      <c r="V24" s="3047"/>
      <c r="W24" s="3047"/>
      <c r="X24" s="1623"/>
      <c r="Y24" s="1623"/>
      <c r="Z24" s="1623"/>
      <c r="AA24" s="1623"/>
      <c r="AB24" s="1623"/>
      <c r="AC24" s="1623"/>
      <c r="AD24" s="1623"/>
      <c r="AE24" s="2185"/>
      <c r="AF24" s="2185"/>
    </row>
    <row r="25" spans="1:35" ht="15" thickBot="1">
      <c r="A25" s="1718" t="s">
        <v>2611</v>
      </c>
      <c r="B25" s="1618" t="s">
        <v>2612</v>
      </c>
      <c r="C25" s="2225"/>
      <c r="D25" s="2131"/>
      <c r="E25" s="2131"/>
      <c r="F25" s="2226"/>
      <c r="G25" s="2131"/>
      <c r="H25" s="2131"/>
      <c r="I25" s="2131"/>
      <c r="J25" s="2132"/>
      <c r="K25" s="3047"/>
      <c r="L25" s="3047"/>
      <c r="M25" s="3047"/>
      <c r="N25" s="3050" t="s">
        <v>2613</v>
      </c>
      <c r="O25" s="3051"/>
      <c r="P25" s="3052">
        <f>SUMPRODUCT((地价!A3:A34=YEAR(G19)&amp;"-"&amp;ROUNDUP(MONTH(G19)/3,0))*(地价!AD2:AH2=N25)*(地价!AD3:AH34))</f>
        <v>1.7299999999999999E-2</v>
      </c>
      <c r="Q25" s="3047"/>
      <c r="R25" s="3047"/>
      <c r="S25" s="3047"/>
      <c r="T25" s="3047"/>
      <c r="U25" s="3047"/>
      <c r="V25" s="3047"/>
      <c r="W25" s="3047"/>
      <c r="X25" s="1623"/>
      <c r="Y25" s="1623"/>
      <c r="Z25" s="1623"/>
      <c r="AA25" s="1623"/>
      <c r="AB25" s="1623"/>
      <c r="AC25" s="1623"/>
      <c r="AD25" s="1623"/>
      <c r="AE25" s="1623"/>
      <c r="AF25" s="1623"/>
    </row>
    <row r="26" spans="1:35" ht="15">
      <c r="A26" s="1703"/>
      <c r="B26" s="2069" t="s">
        <v>2614</v>
      </c>
      <c r="C26" s="2887">
        <f>IF(B21="容积率修正",E29+SUM(E33:E39),SUM(V2:V16)+SUM(E33:E39))</f>
        <v>0</v>
      </c>
      <c r="D26" s="2227"/>
      <c r="E26" s="2166"/>
      <c r="F26" s="1478"/>
      <c r="G26" s="2166"/>
      <c r="H26" s="2166"/>
      <c r="I26" s="2166"/>
      <c r="J26" s="2228"/>
      <c r="K26" s="3047"/>
      <c r="L26" s="3053" t="s">
        <v>2573</v>
      </c>
      <c r="M26" s="2129" t="s">
        <v>2574</v>
      </c>
      <c r="N26" s="2129" t="s">
        <v>2575</v>
      </c>
      <c r="O26" s="2129" t="s">
        <v>2576</v>
      </c>
      <c r="P26" s="3054" t="s">
        <v>2577</v>
      </c>
      <c r="Q26" s="3047"/>
      <c r="R26" s="3047"/>
      <c r="S26" s="3047"/>
      <c r="T26" s="3047"/>
      <c r="U26" s="3047"/>
      <c r="V26" s="3047"/>
      <c r="W26" s="3047"/>
      <c r="X26" s="1623"/>
      <c r="Y26" s="1623"/>
      <c r="Z26" s="1623"/>
      <c r="AA26" s="1623"/>
      <c r="AB26" s="1623"/>
      <c r="AC26" s="1623"/>
      <c r="AD26" s="1623"/>
      <c r="AE26" s="1623"/>
      <c r="AF26" s="1623"/>
    </row>
    <row r="27" spans="1:35" ht="15.75" thickBot="1">
      <c r="A27" s="1703"/>
      <c r="B27" s="1619" t="s">
        <v>2615</v>
      </c>
      <c r="C27" s="2229">
        <f>E30+SUM(I33:I39)</f>
        <v>0</v>
      </c>
      <c r="D27" s="2178"/>
      <c r="E27" s="2230"/>
      <c r="F27" s="2231"/>
      <c r="G27" s="2230"/>
      <c r="H27" s="2230"/>
      <c r="I27" s="2230"/>
      <c r="J27" s="2232"/>
      <c r="K27" s="3047"/>
      <c r="L27" s="2233" t="s">
        <v>2580</v>
      </c>
      <c r="M27" s="2142">
        <v>0.25</v>
      </c>
      <c r="N27" s="2142">
        <v>0.2</v>
      </c>
      <c r="O27" s="2142">
        <v>0.15</v>
      </c>
      <c r="P27" s="2234">
        <v>0.1</v>
      </c>
      <c r="Q27" s="3047"/>
      <c r="R27" s="3047"/>
      <c r="S27" s="3047"/>
      <c r="T27" s="3047"/>
      <c r="U27" s="3047"/>
      <c r="V27" s="3047"/>
      <c r="W27" s="3047"/>
      <c r="X27" s="1623"/>
      <c r="Y27" s="1623"/>
      <c r="Z27" s="1623"/>
      <c r="AA27" s="1623"/>
      <c r="AB27" s="1623"/>
      <c r="AC27" s="1623"/>
      <c r="AD27" s="1623"/>
      <c r="AE27" s="1623"/>
      <c r="AF27" s="1623"/>
    </row>
    <row r="28" spans="1:35" ht="15.75" thickBot="1">
      <c r="A28" s="1718"/>
      <c r="B28" s="2235" t="s">
        <v>2616</v>
      </c>
      <c r="C28" s="2236" t="s">
        <v>2617</v>
      </c>
      <c r="D28" s="2236" t="s">
        <v>2618</v>
      </c>
      <c r="E28" s="1618" t="s">
        <v>2619</v>
      </c>
      <c r="F28" s="2237"/>
      <c r="G28" s="2153"/>
      <c r="H28" s="2153"/>
      <c r="I28" s="2153"/>
      <c r="J28" s="2154"/>
      <c r="K28" s="3047"/>
      <c r="L28" s="2238" t="s">
        <v>2583</v>
      </c>
      <c r="M28" s="2239">
        <f>ROUND($E$20*(1+M27),3)</f>
        <v>5.3999999999999999E-2</v>
      </c>
      <c r="N28" s="2239">
        <f>ROUND($E$20*(1+N27),3)</f>
        <v>5.1999999999999998E-2</v>
      </c>
      <c r="O28" s="2239">
        <f>ROUND($E$20*(1+O27),3)</f>
        <v>0.05</v>
      </c>
      <c r="P28" s="2157">
        <f>ROUND($E$20*(1+P27),3)</f>
        <v>4.8000000000000001E-2</v>
      </c>
      <c r="Q28" s="3047"/>
      <c r="R28" s="3047"/>
      <c r="S28" s="3047"/>
      <c r="T28" s="3047"/>
      <c r="U28" s="3047"/>
      <c r="V28" s="3047"/>
      <c r="W28" s="3047"/>
      <c r="X28" s="1623"/>
      <c r="Y28" s="1623"/>
      <c r="Z28" s="1623"/>
      <c r="AA28" s="1623"/>
      <c r="AB28" s="1623"/>
      <c r="AC28" s="1623"/>
      <c r="AD28" s="1623"/>
      <c r="AE28" s="1623"/>
      <c r="AF28" s="1623"/>
    </row>
    <row r="29" spans="1:35">
      <c r="A29" s="2240"/>
      <c r="B29" s="1620" t="s">
        <v>2620</v>
      </c>
      <c r="C29" s="54">
        <f>ROUND(C5*C18*C19*C20*C21*C24,0)</f>
        <v>0</v>
      </c>
      <c r="D29" s="2241">
        <f>项目基本情况!C12</f>
        <v>353.61</v>
      </c>
      <c r="E29" s="2028">
        <f>ROUND(C29*D29,0)</f>
        <v>0</v>
      </c>
      <c r="F29" s="2242" t="s">
        <v>2621</v>
      </c>
      <c r="G29" s="2243"/>
      <c r="H29" s="2243"/>
      <c r="I29" s="2243"/>
      <c r="J29" s="2244"/>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5"/>
      <c r="B30" s="1621" t="s">
        <v>2622</v>
      </c>
      <c r="C30" s="2169">
        <f>ROUND(IF(E2="工业",C29*M39,C29*M38),0)</f>
        <v>0</v>
      </c>
      <c r="D30" s="2246"/>
      <c r="E30" s="2028">
        <f>ROUND(C30*D30,0)</f>
        <v>0</v>
      </c>
      <c r="F30" s="2247" t="s">
        <v>2623</v>
      </c>
      <c r="G30" s="2248"/>
      <c r="H30" s="2248"/>
      <c r="I30" s="2248"/>
      <c r="J30" s="2249"/>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0"/>
      <c r="B31" s="1622" t="s">
        <v>2624</v>
      </c>
      <c r="C31" s="2251" t="s">
        <v>2625</v>
      </c>
      <c r="D31" s="2153"/>
      <c r="E31" s="2251"/>
      <c r="F31" s="2251"/>
      <c r="G31" s="2152" t="s">
        <v>2626</v>
      </c>
      <c r="H31" s="2153"/>
      <c r="I31" s="2252"/>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0"/>
      <c r="B32" s="2253"/>
      <c r="C32" s="1808" t="s">
        <v>2617</v>
      </c>
      <c r="D32" s="1805" t="s">
        <v>2618</v>
      </c>
      <c r="E32" s="1805" t="s">
        <v>2619</v>
      </c>
      <c r="F32" s="50" t="s">
        <v>2627</v>
      </c>
      <c r="G32" s="2214" t="s">
        <v>2617</v>
      </c>
      <c r="H32" s="2214" t="s">
        <v>2618</v>
      </c>
      <c r="I32" s="2214" t="s">
        <v>2619</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44" t="s">
        <v>2628</v>
      </c>
      <c r="B33" s="2254" t="s">
        <v>2629</v>
      </c>
      <c r="C33" s="54">
        <f>ROUND(D5*C19*C20*C24*F33,0)</f>
        <v>5348</v>
      </c>
      <c r="D33" s="2241"/>
      <c r="E33" s="50">
        <f t="shared" ref="E33:E39" si="6">ROUND(C33*D33,0)</f>
        <v>0</v>
      </c>
      <c r="F33" s="50">
        <f>SUMIF(修正!A45:A56,G2,修正!B45:B56)</f>
        <v>0.6</v>
      </c>
      <c r="G33" s="50">
        <f t="shared" ref="G33" si="7">ROUND(IF(E2="工业",C33*$M$39,C33*$M$38),0)</f>
        <v>1337</v>
      </c>
      <c r="H33" s="50">
        <f>D33</f>
        <v>0</v>
      </c>
      <c r="I33" s="50">
        <f t="shared" ref="I33:I39" si="8">ROUND(G33*H33,0)</f>
        <v>0</v>
      </c>
      <c r="J33" s="2228"/>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45"/>
      <c r="B34" s="2159" t="s">
        <v>2630</v>
      </c>
      <c r="C34" s="54">
        <f>ROUND(D5*C19*C20*C24*F34,0)</f>
        <v>2674</v>
      </c>
      <c r="D34" s="2241"/>
      <c r="E34" s="50">
        <f t="shared" si="6"/>
        <v>0</v>
      </c>
      <c r="F34" s="50">
        <f>SUMIF(修正!A45:A56,G2,修正!C45:C56)</f>
        <v>0.3</v>
      </c>
      <c r="G34" s="50">
        <f>ROUND(IF(E2="工业",C34*$M$39,C34*$M$38),0)</f>
        <v>669</v>
      </c>
      <c r="H34" s="50">
        <f t="shared" ref="H34:H39" si="9">D34</f>
        <v>0</v>
      </c>
      <c r="I34" s="50">
        <f t="shared" si="8"/>
        <v>0</v>
      </c>
      <c r="J34" s="2228"/>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45"/>
      <c r="B35" s="2159" t="s">
        <v>2631</v>
      </c>
      <c r="C35" s="54">
        <f>ROUND(D5*C19*C20*C24*F35,0)</f>
        <v>1783</v>
      </c>
      <c r="D35" s="2241"/>
      <c r="E35" s="50">
        <f t="shared" si="6"/>
        <v>0</v>
      </c>
      <c r="F35" s="50">
        <f>SUMIF(修正!A45:A56,G2,修正!D45:D56)</f>
        <v>0.2</v>
      </c>
      <c r="G35" s="50">
        <f>ROUND(IF(E2="工业",C35*$M$39,C35*$M$38),0)</f>
        <v>446</v>
      </c>
      <c r="H35" s="50">
        <f t="shared" si="9"/>
        <v>0</v>
      </c>
      <c r="I35" s="50">
        <f t="shared" si="8"/>
        <v>0</v>
      </c>
      <c r="J35" s="2228"/>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546"/>
      <c r="B36" s="2159" t="s">
        <v>2632</v>
      </c>
      <c r="C36" s="54">
        <f>ROUND(D5*C19*C20*C24*F36,0)</f>
        <v>1783</v>
      </c>
      <c r="D36" s="2241"/>
      <c r="E36" s="50">
        <f t="shared" si="6"/>
        <v>0</v>
      </c>
      <c r="F36" s="50">
        <f>SUMIF(修正!A45:A56,G2,修正!E45:E56)</f>
        <v>0.2</v>
      </c>
      <c r="G36" s="50">
        <f>ROUND(IF(E2="工业",C36*$M$39,C36*$M$38),0)</f>
        <v>446</v>
      </c>
      <c r="H36" s="50">
        <f t="shared" si="9"/>
        <v>0</v>
      </c>
      <c r="I36" s="50">
        <f t="shared" si="8"/>
        <v>0</v>
      </c>
      <c r="J36" s="2228"/>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5"/>
      <c r="B37" s="2159" t="s">
        <v>2633</v>
      </c>
      <c r="C37" s="50">
        <f>ROUND(D5*C19*C20*C24*F37,0)</f>
        <v>1783</v>
      </c>
      <c r="D37" s="2241"/>
      <c r="E37" s="50">
        <f t="shared" si="6"/>
        <v>0</v>
      </c>
      <c r="F37" s="54">
        <f>SUMIF(修正!A45:A56,G2,修正!F45:F56)</f>
        <v>0.2</v>
      </c>
      <c r="G37" s="50">
        <f>ROUND(IF(E2="工业",C37*$M$39,C37*$M$38),0)</f>
        <v>446</v>
      </c>
      <c r="H37" s="50">
        <f t="shared" si="9"/>
        <v>0</v>
      </c>
      <c r="I37" s="50">
        <f t="shared" si="8"/>
        <v>0</v>
      </c>
      <c r="J37" s="2228"/>
      <c r="K37" s="3047"/>
      <c r="L37" s="2256" t="s">
        <v>2634</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5"/>
      <c r="B38" s="2159" t="s">
        <v>2635</v>
      </c>
      <c r="C38" s="50">
        <f>ROUND(D5*C19*C41*C24*F38,0)</f>
        <v>0</v>
      </c>
      <c r="D38" s="2241"/>
      <c r="E38" s="50">
        <f t="shared" si="6"/>
        <v>0</v>
      </c>
      <c r="F38" s="54">
        <f>SUMIF(修正!A45:A56,G2,修正!G45:G56)</f>
        <v>0.2</v>
      </c>
      <c r="G38" s="50">
        <f>ROUND(IF(E2="工业",C38*$M$39,C38*$M$38),0)</f>
        <v>0</v>
      </c>
      <c r="H38" s="50">
        <f t="shared" si="9"/>
        <v>0</v>
      </c>
      <c r="I38" s="50">
        <f t="shared" si="8"/>
        <v>0</v>
      </c>
      <c r="J38" s="2228"/>
      <c r="K38" s="3047"/>
      <c r="L38" s="2257" t="s">
        <v>2636</v>
      </c>
      <c r="M38" s="2258">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5"/>
      <c r="B39" s="2259" t="s">
        <v>2637</v>
      </c>
      <c r="C39" s="2169">
        <f>ROUND(D5*C19*C41*C24*F39,0)</f>
        <v>0</v>
      </c>
      <c r="D39" s="2246"/>
      <c r="E39" s="2169">
        <f t="shared" si="6"/>
        <v>0</v>
      </c>
      <c r="F39" s="56">
        <f>SUMIF(修正!A45:A56,G2,修正!H45:H56)</f>
        <v>0.15</v>
      </c>
      <c r="G39" s="2169">
        <f>ROUND(IF(E2="工业",C39*$M$39,C39*$M$38),0)</f>
        <v>0</v>
      </c>
      <c r="H39" s="2169">
        <f t="shared" si="9"/>
        <v>0</v>
      </c>
      <c r="I39" s="2169">
        <f t="shared" si="8"/>
        <v>0</v>
      </c>
      <c r="J39" s="2232"/>
      <c r="K39" s="3047"/>
      <c r="L39" s="2260" t="s">
        <v>2577</v>
      </c>
      <c r="M39" s="2261">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2"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2" customFormat="1">
      <c r="A41" s="1623"/>
      <c r="B41" s="2263" t="s">
        <v>2717</v>
      </c>
      <c r="C41" s="50">
        <f>ROUND(POWER(1+E41,H41-G41)*(POWER(1+E41,G41)-1)/(POWER(1+E41,H41)-1),4)</f>
        <v>0</v>
      </c>
      <c r="D41" s="50" t="s">
        <v>2715</v>
      </c>
      <c r="E41" s="2264">
        <f>G20</f>
        <v>0.05</v>
      </c>
      <c r="F41" s="50" t="s">
        <v>2716</v>
      </c>
      <c r="G41" s="2265"/>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2" customFormat="1" ht="15.75" thickBot="1">
      <c r="A45" s="2266" t="s">
        <v>2638</v>
      </c>
      <c r="B45" s="2267"/>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2" customFormat="1" ht="15">
      <c r="A46" s="2268" t="s">
        <v>2639</v>
      </c>
      <c r="B46" s="2269">
        <f>1+E48</f>
        <v>1</v>
      </c>
      <c r="C46" s="2270"/>
      <c r="D46" s="2271"/>
      <c r="E46" s="2272"/>
      <c r="F46" s="2273"/>
      <c r="G46" s="608"/>
      <c r="H46" s="608"/>
      <c r="I46" s="608"/>
      <c r="J46" s="608"/>
      <c r="K46" s="608"/>
      <c r="L46" s="608"/>
      <c r="M46" s="2097"/>
      <c r="N46" s="2274"/>
      <c r="O46" s="1623"/>
      <c r="P46" s="1623"/>
      <c r="Q46" s="3047"/>
      <c r="R46" s="3047"/>
      <c r="S46" s="3047"/>
      <c r="T46" s="3047"/>
      <c r="U46" s="3047"/>
      <c r="V46" s="3047"/>
      <c r="W46" s="3047"/>
      <c r="X46" s="1623"/>
      <c r="Y46" s="1623"/>
      <c r="Z46" s="1623"/>
      <c r="AA46" s="1623"/>
      <c r="AB46" s="1623"/>
      <c r="AC46" s="1623"/>
      <c r="AD46" s="1623"/>
      <c r="AE46" s="1623"/>
    </row>
    <row r="47" spans="1:33" s="2262" customFormat="1" ht="24.75">
      <c r="A47" s="2275" t="s">
        <v>2640</v>
      </c>
      <c r="B47" s="2276" t="s">
        <v>2641</v>
      </c>
      <c r="C47" s="2276" t="s">
        <v>2642</v>
      </c>
      <c r="D47" s="2276" t="s">
        <v>2643</v>
      </c>
      <c r="E47" s="2277" t="s">
        <v>2644</v>
      </c>
      <c r="F47" s="2227" t="s">
        <v>2645</v>
      </c>
      <c r="G47" s="2276" t="s">
        <v>2646</v>
      </c>
      <c r="H47" s="2278" t="s">
        <v>2647</v>
      </c>
      <c r="I47" s="2276" t="s">
        <v>2648</v>
      </c>
      <c r="J47" s="1903" t="s">
        <v>2649</v>
      </c>
      <c r="K47" s="1903" t="s">
        <v>2650</v>
      </c>
      <c r="L47" s="1903" t="s">
        <v>2651</v>
      </c>
      <c r="M47" s="1903" t="s">
        <v>2652</v>
      </c>
      <c r="N47" s="1903" t="s">
        <v>2653</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2" customFormat="1" ht="38.25">
      <c r="A48" s="2275" t="s">
        <v>2654</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2" customFormat="1" ht="51">
      <c r="A49" s="2275" t="s">
        <v>2655</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2" customFormat="1" ht="24">
      <c r="A50" s="2275" t="s">
        <v>2656</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2" customFormat="1" ht="36.75">
      <c r="A51" s="2275" t="s">
        <v>2657</v>
      </c>
      <c r="B51" s="2289" t="s">
        <v>2658</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2" customFormat="1" ht="24">
      <c r="A52" s="2275" t="s">
        <v>2659</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2" customFormat="1" ht="24">
      <c r="A53" s="2275" t="s">
        <v>2660</v>
      </c>
      <c r="B53" s="2290" t="s">
        <v>2661</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2" customFormat="1" ht="25.5">
      <c r="A54" s="2291" t="s">
        <v>2662</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2" customFormat="1" ht="25.5">
      <c r="A55" s="2291" t="s">
        <v>2663</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2" customFormat="1" ht="39" thickBot="1">
      <c r="A56" s="2293" t="s">
        <v>2664</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2" customFormat="1" ht="15">
      <c r="A57" s="2268" t="s">
        <v>2665</v>
      </c>
      <c r="B57" s="2297">
        <f>1+E59</f>
        <v>1</v>
      </c>
      <c r="C57" s="2271"/>
      <c r="D57" s="2271"/>
      <c r="E57" s="2272"/>
      <c r="F57" s="2273"/>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2" customFormat="1" ht="24.75">
      <c r="A58" s="2275" t="s">
        <v>2640</v>
      </c>
      <c r="B58" s="2287"/>
      <c r="C58" s="2276" t="s">
        <v>2642</v>
      </c>
      <c r="D58" s="2276" t="s">
        <v>2643</v>
      </c>
      <c r="E58" s="2277" t="s">
        <v>2644</v>
      </c>
      <c r="F58" s="2227" t="s">
        <v>2645</v>
      </c>
      <c r="G58" s="2276" t="s">
        <v>2666</v>
      </c>
      <c r="H58" s="2278" t="s">
        <v>2667</v>
      </c>
      <c r="I58" s="2276" t="s">
        <v>2668</v>
      </c>
      <c r="J58" s="1903" t="s">
        <v>2308</v>
      </c>
      <c r="K58" s="1903" t="s">
        <v>2309</v>
      </c>
      <c r="L58" s="1903" t="s">
        <v>2310</v>
      </c>
      <c r="M58" s="1903" t="s">
        <v>2311</v>
      </c>
      <c r="N58" s="1903"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2" customFormat="1" ht="38.25">
      <c r="A59" s="2275" t="s">
        <v>2669</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2" customFormat="1" ht="51">
      <c r="A60" s="2275" t="s">
        <v>2655</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2" customFormat="1" ht="24">
      <c r="A61" s="2275" t="s">
        <v>2656</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2" customFormat="1" ht="36.75">
      <c r="A62" s="2275" t="s">
        <v>2657</v>
      </c>
      <c r="B62" s="2289" t="s">
        <v>2658</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2" customFormat="1" ht="24">
      <c r="A63" s="2275" t="s">
        <v>2659</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2" customFormat="1" ht="24">
      <c r="A64" s="2275" t="s">
        <v>2660</v>
      </c>
      <c r="B64" s="2290" t="s">
        <v>2661</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2" customFormat="1" ht="25.5">
      <c r="A65" s="2275" t="s">
        <v>2662</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2" customFormat="1" ht="25.5">
      <c r="A66" s="2275" t="s">
        <v>2663</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2" customFormat="1" ht="39" thickBot="1">
      <c r="A67" s="2293" t="s">
        <v>2664</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2" customFormat="1" ht="15">
      <c r="A68" s="2268" t="s">
        <v>2670</v>
      </c>
      <c r="B68" s="2297">
        <f>1+E70</f>
        <v>1</v>
      </c>
      <c r="C68" s="2271"/>
      <c r="D68" s="2271"/>
      <c r="E68" s="2272"/>
      <c r="F68" s="2273"/>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2" customFormat="1" ht="24.75">
      <c r="A69" s="2275" t="s">
        <v>2640</v>
      </c>
      <c r="B69" s="2287"/>
      <c r="C69" s="2276" t="s">
        <v>2642</v>
      </c>
      <c r="D69" s="2276" t="s">
        <v>2643</v>
      </c>
      <c r="E69" s="2277" t="s">
        <v>2644</v>
      </c>
      <c r="F69" s="2227" t="s">
        <v>2645</v>
      </c>
      <c r="G69" s="2276" t="s">
        <v>2666</v>
      </c>
      <c r="H69" s="2278" t="s">
        <v>2667</v>
      </c>
      <c r="I69" s="2276" t="s">
        <v>2668</v>
      </c>
      <c r="J69" s="1903" t="s">
        <v>2308</v>
      </c>
      <c r="K69" s="1903" t="s">
        <v>2309</v>
      </c>
      <c r="L69" s="1903" t="s">
        <v>2310</v>
      </c>
      <c r="M69" s="1903" t="s">
        <v>2311</v>
      </c>
      <c r="N69" s="1903"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2" customFormat="1" ht="51">
      <c r="A70" s="2275" t="s">
        <v>2671</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0.15</v>
      </c>
      <c r="G70" s="2283"/>
      <c r="H70" s="2284">
        <f t="shared" ref="H70:H78" si="21">IFERROR(ROUNDDOWN($F$70*I70/2,4),"——")</f>
        <v>1.0500000000000001E-2</v>
      </c>
      <c r="I70" s="2285">
        <v>0.14000000000000001</v>
      </c>
      <c r="J70" s="2286">
        <f t="shared" ref="J70:J78" si="22">K70+$G70</f>
        <v>0</v>
      </c>
      <c r="K70" s="2286">
        <f t="shared" ref="K70:K78" si="23">$L70+$G70</f>
        <v>0</v>
      </c>
      <c r="L70" s="2286">
        <v>0</v>
      </c>
      <c r="M70" s="2286">
        <f t="shared" ref="M70:N78" si="24">L70-$G70</f>
        <v>0</v>
      </c>
      <c r="N70" s="2286">
        <f t="shared" si="24"/>
        <v>0</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2" customFormat="1" ht="51">
      <c r="A71" s="2275" t="s">
        <v>2655</v>
      </c>
      <c r="B71" s="2287" t="str">
        <f>估价对象房地状况!C18</f>
        <v>估价对象周边道路状况、公共交通通达情况、停车便捷程度，综合评价交通便捷度较好</v>
      </c>
      <c r="C71" s="2163"/>
      <c r="D71" s="2280">
        <f t="shared" si="20"/>
        <v>0</v>
      </c>
      <c r="E71" s="2288"/>
      <c r="F71" s="2282"/>
      <c r="G71" s="2283"/>
      <c r="H71" s="2284">
        <f t="shared" si="21"/>
        <v>2.2499999999999999E-2</v>
      </c>
      <c r="I71" s="2285">
        <v>0.3</v>
      </c>
      <c r="J71" s="2286">
        <f t="shared" si="22"/>
        <v>0</v>
      </c>
      <c r="K71" s="2286">
        <f t="shared" si="23"/>
        <v>0</v>
      </c>
      <c r="L71" s="2286">
        <v>0</v>
      </c>
      <c r="M71" s="2286">
        <f t="shared" si="24"/>
        <v>0</v>
      </c>
      <c r="N71" s="2286">
        <f t="shared" si="24"/>
        <v>0</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2" customFormat="1" ht="24">
      <c r="A72" s="2275" t="s">
        <v>2656</v>
      </c>
      <c r="B72" s="2287">
        <f>估价对象房地状况!C19</f>
        <v>0</v>
      </c>
      <c r="C72" s="2163"/>
      <c r="D72" s="2280">
        <f t="shared" si="20"/>
        <v>0</v>
      </c>
      <c r="E72" s="2288"/>
      <c r="F72" s="2282"/>
      <c r="G72" s="2283"/>
      <c r="H72" s="2284">
        <f t="shared" si="21"/>
        <v>6.0000000000000001E-3</v>
      </c>
      <c r="I72" s="2285">
        <v>0.08</v>
      </c>
      <c r="J72" s="2286">
        <f t="shared" si="22"/>
        <v>0</v>
      </c>
      <c r="K72" s="2286">
        <f t="shared" si="23"/>
        <v>0</v>
      </c>
      <c r="L72" s="2286">
        <v>0</v>
      </c>
      <c r="M72" s="2286">
        <f t="shared" si="24"/>
        <v>0</v>
      </c>
      <c r="N72" s="2286">
        <f t="shared" si="24"/>
        <v>0</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2" customFormat="1" ht="14.25">
      <c r="A73" s="2275" t="s">
        <v>2672</v>
      </c>
      <c r="B73" s="2287">
        <f>估价对象房地状况!C24</f>
        <v>0</v>
      </c>
      <c r="C73" s="2163"/>
      <c r="D73" s="2280">
        <f t="shared" si="20"/>
        <v>0</v>
      </c>
      <c r="E73" s="2288"/>
      <c r="F73" s="2282"/>
      <c r="G73" s="2283"/>
      <c r="H73" s="2284">
        <f t="shared" si="21"/>
        <v>3.0000000000000001E-3</v>
      </c>
      <c r="I73" s="2285">
        <v>0.04</v>
      </c>
      <c r="J73" s="2286">
        <f t="shared" si="22"/>
        <v>0</v>
      </c>
      <c r="K73" s="2286">
        <f t="shared" si="23"/>
        <v>0</v>
      </c>
      <c r="L73" s="2286">
        <v>0</v>
      </c>
      <c r="M73" s="2286">
        <f t="shared" si="24"/>
        <v>0</v>
      </c>
      <c r="N73" s="2286">
        <f t="shared" si="24"/>
        <v>0</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2" customFormat="1" ht="25.5">
      <c r="A74" s="2275" t="s">
        <v>2662</v>
      </c>
      <c r="B74" s="2292" t="str">
        <f>估价对象房地状况!C21</f>
        <v>估价对象所在区域公共配套设施齐备情况</v>
      </c>
      <c r="C74" s="2163"/>
      <c r="D74" s="2280">
        <f t="shared" si="20"/>
        <v>0</v>
      </c>
      <c r="E74" s="2288"/>
      <c r="F74" s="2282"/>
      <c r="G74" s="2283"/>
      <c r="H74" s="2284">
        <f t="shared" si="21"/>
        <v>6.0000000000000001E-3</v>
      </c>
      <c r="I74" s="2285">
        <v>0.08</v>
      </c>
      <c r="J74" s="2286">
        <f t="shared" si="22"/>
        <v>0</v>
      </c>
      <c r="K74" s="2286">
        <f t="shared" si="23"/>
        <v>0</v>
      </c>
      <c r="L74" s="2286">
        <v>0</v>
      </c>
      <c r="M74" s="2286">
        <f t="shared" si="24"/>
        <v>0</v>
      </c>
      <c r="N74" s="2286">
        <f t="shared" si="24"/>
        <v>0</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2" customFormat="1" ht="25.5">
      <c r="A75" s="2275" t="s">
        <v>2663</v>
      </c>
      <c r="B75" s="2292" t="str">
        <f>估价对象房地状况!C22</f>
        <v>估价对象所在区域基础设施水平</v>
      </c>
      <c r="C75" s="2163"/>
      <c r="D75" s="2280">
        <f t="shared" si="20"/>
        <v>0</v>
      </c>
      <c r="E75" s="2288"/>
      <c r="F75" s="2282"/>
      <c r="G75" s="2283"/>
      <c r="H75" s="2284">
        <f t="shared" si="21"/>
        <v>8.9999999999999993E-3</v>
      </c>
      <c r="I75" s="2285">
        <v>0.12</v>
      </c>
      <c r="J75" s="2286">
        <f t="shared" si="22"/>
        <v>0</v>
      </c>
      <c r="K75" s="2286">
        <f t="shared" si="23"/>
        <v>0</v>
      </c>
      <c r="L75" s="2286">
        <v>0</v>
      </c>
      <c r="M75" s="2286">
        <f t="shared" si="24"/>
        <v>0</v>
      </c>
      <c r="N75" s="2286">
        <f t="shared" si="24"/>
        <v>0</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5" t="s">
        <v>2660</v>
      </c>
      <c r="B76" s="2290" t="s">
        <v>2661</v>
      </c>
      <c r="C76" s="2163"/>
      <c r="D76" s="2280">
        <f t="shared" si="20"/>
        <v>0</v>
      </c>
      <c r="E76" s="2288"/>
      <c r="F76" s="2282"/>
      <c r="G76" s="2283"/>
      <c r="H76" s="2284">
        <f t="shared" si="21"/>
        <v>3.7000000000000002E-3</v>
      </c>
      <c r="I76" s="2285">
        <v>0.05</v>
      </c>
      <c r="J76" s="2286">
        <f t="shared" si="22"/>
        <v>0</v>
      </c>
      <c r="K76" s="2286">
        <f t="shared" si="23"/>
        <v>0</v>
      </c>
      <c r="L76" s="2286">
        <v>0</v>
      </c>
      <c r="M76" s="2286">
        <f t="shared" si="24"/>
        <v>0</v>
      </c>
      <c r="N76" s="2286">
        <f t="shared" si="24"/>
        <v>0</v>
      </c>
      <c r="Q76" s="3055"/>
      <c r="R76" s="3055"/>
      <c r="S76" s="3055"/>
      <c r="T76" s="3055"/>
      <c r="U76" s="3055"/>
      <c r="V76" s="3055"/>
      <c r="W76" s="3055"/>
      <c r="AA76" s="1624"/>
      <c r="AG76" s="2262"/>
    </row>
    <row r="77" spans="1:33" ht="38.25">
      <c r="A77" s="2275" t="s">
        <v>2664</v>
      </c>
      <c r="B77" s="2279" t="str">
        <f>估价对象房地状况!C20</f>
        <v>区域自然环境：；人文环境；综合评价环境状况一般</v>
      </c>
      <c r="C77" s="2163"/>
      <c r="D77" s="2280">
        <f t="shared" si="20"/>
        <v>0</v>
      </c>
      <c r="E77" s="2288"/>
      <c r="F77" s="2282"/>
      <c r="G77" s="2283"/>
      <c r="H77" s="2284">
        <f t="shared" si="21"/>
        <v>1.12E-2</v>
      </c>
      <c r="I77" s="2285">
        <v>0.15</v>
      </c>
      <c r="J77" s="2286">
        <f t="shared" si="22"/>
        <v>0</v>
      </c>
      <c r="K77" s="2286">
        <f t="shared" si="23"/>
        <v>0</v>
      </c>
      <c r="L77" s="2286">
        <v>0</v>
      </c>
      <c r="M77" s="2286">
        <f t="shared" si="24"/>
        <v>0</v>
      </c>
      <c r="N77" s="2286">
        <f t="shared" si="24"/>
        <v>0</v>
      </c>
      <c r="Q77" s="3055"/>
      <c r="R77" s="3055"/>
      <c r="S77" s="3055"/>
      <c r="T77" s="3055"/>
      <c r="U77" s="3055"/>
      <c r="V77" s="3055"/>
      <c r="W77" s="3055"/>
      <c r="AA77" s="1624"/>
      <c r="AG77" s="2262"/>
    </row>
    <row r="78" spans="1:33" ht="24.75" thickBot="1">
      <c r="A78" s="2293" t="s">
        <v>2673</v>
      </c>
      <c r="B78" s="2299"/>
      <c r="C78" s="2163"/>
      <c r="D78" s="2280">
        <f t="shared" si="20"/>
        <v>0</v>
      </c>
      <c r="E78" s="2295"/>
      <c r="F78" s="2282"/>
      <c r="G78" s="2283"/>
      <c r="H78" s="2284">
        <f t="shared" si="21"/>
        <v>3.0000000000000001E-3</v>
      </c>
      <c r="I78" s="2296">
        <v>0.04</v>
      </c>
      <c r="J78" s="2286">
        <f t="shared" si="22"/>
        <v>0</v>
      </c>
      <c r="K78" s="2286">
        <f t="shared" si="23"/>
        <v>0</v>
      </c>
      <c r="L78" s="2286">
        <v>0</v>
      </c>
      <c r="M78" s="2286">
        <f t="shared" si="24"/>
        <v>0</v>
      </c>
      <c r="N78" s="2286">
        <f t="shared" si="24"/>
        <v>0</v>
      </c>
      <c r="Q78" s="3055"/>
      <c r="R78" s="3055"/>
      <c r="S78" s="3055"/>
      <c r="T78" s="3055"/>
      <c r="U78" s="3055"/>
      <c r="V78" s="3055"/>
      <c r="W78" s="3055"/>
      <c r="AA78" s="1624"/>
      <c r="AG78" s="2262"/>
    </row>
    <row r="79" spans="1:33" ht="15">
      <c r="A79" s="2268" t="s">
        <v>2674</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4"/>
      <c r="AG79" s="2262"/>
    </row>
    <row r="80" spans="1:33" ht="24.75">
      <c r="A80" s="2275" t="s">
        <v>2640</v>
      </c>
      <c r="B80" s="2287"/>
      <c r="C80" s="2276" t="s">
        <v>2642</v>
      </c>
      <c r="D80" s="2276" t="s">
        <v>2643</v>
      </c>
      <c r="E80" s="2277" t="s">
        <v>2644</v>
      </c>
      <c r="F80" s="2227" t="s">
        <v>2645</v>
      </c>
      <c r="G80" s="2276" t="s">
        <v>2666</v>
      </c>
      <c r="H80" s="2278" t="s">
        <v>2667</v>
      </c>
      <c r="I80" s="2276" t="s">
        <v>2668</v>
      </c>
      <c r="J80" s="1903" t="s">
        <v>2308</v>
      </c>
      <c r="K80" s="1903" t="s">
        <v>2309</v>
      </c>
      <c r="L80" s="1903" t="s">
        <v>2310</v>
      </c>
      <c r="M80" s="1903" t="s">
        <v>2311</v>
      </c>
      <c r="N80" s="1903" t="s">
        <v>2312</v>
      </c>
      <c r="Q80" s="3055"/>
      <c r="R80" s="3055"/>
      <c r="S80" s="3055"/>
      <c r="T80" s="3055"/>
      <c r="U80" s="3055"/>
      <c r="V80" s="3055"/>
      <c r="W80" s="3055"/>
      <c r="AA80" s="1624"/>
      <c r="AG80" s="2262"/>
    </row>
    <row r="81" spans="1:33" ht="38.25">
      <c r="A81" s="2275" t="s">
        <v>2675</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4"/>
      <c r="AG81" s="2262"/>
    </row>
    <row r="82" spans="1:33" ht="51">
      <c r="A82" s="2275" t="s">
        <v>2655</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4"/>
      <c r="AG82" s="2262"/>
    </row>
    <row r="83" spans="1:33" ht="24">
      <c r="A83" s="2275" t="s">
        <v>2656</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4"/>
      <c r="AG83" s="2262"/>
    </row>
    <row r="84" spans="1:33" ht="14.25">
      <c r="A84" s="2275" t="s">
        <v>2672</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4"/>
      <c r="AG84" s="2262"/>
    </row>
    <row r="85" spans="1:33" ht="25.5">
      <c r="A85" s="2275" t="s">
        <v>2662</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4"/>
      <c r="AG85" s="2262"/>
    </row>
    <row r="86" spans="1:33" ht="25.5">
      <c r="A86" s="2275" t="s">
        <v>2663</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4"/>
      <c r="AG86" s="2262"/>
    </row>
    <row r="87" spans="1:33" ht="24">
      <c r="A87" s="2275" t="s">
        <v>2660</v>
      </c>
      <c r="B87" s="2290" t="s">
        <v>2661</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4"/>
      <c r="AG87" s="2262"/>
    </row>
    <row r="88" spans="1:33" ht="39" thickBot="1">
      <c r="A88" s="2293" t="s">
        <v>2676</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4"/>
      <c r="AG88" s="2262"/>
    </row>
    <row r="89" spans="1:33">
      <c r="Q89" s="3055"/>
      <c r="R89" s="3055"/>
      <c r="S89" s="3055"/>
      <c r="T89" s="3055"/>
      <c r="U89" s="3055"/>
      <c r="V89" s="3055"/>
      <c r="W89" s="3055"/>
    </row>
    <row r="90" spans="1:33">
      <c r="A90" s="3536" t="s">
        <v>2677</v>
      </c>
      <c r="B90" s="3536"/>
      <c r="C90" s="3536"/>
      <c r="D90" s="3536"/>
      <c r="E90" s="3536"/>
      <c r="F90" s="3536"/>
      <c r="G90" s="3536"/>
      <c r="H90" s="3536"/>
      <c r="I90" s="3536"/>
      <c r="J90" s="3536"/>
      <c r="K90" s="2303"/>
      <c r="L90" s="2303"/>
      <c r="M90" s="2303"/>
      <c r="N90" s="2303"/>
      <c r="Q90" s="3055"/>
      <c r="R90" s="3055"/>
      <c r="S90" s="3055"/>
      <c r="T90" s="3055"/>
      <c r="U90" s="3055"/>
      <c r="V90" s="3055"/>
      <c r="W90" s="3055"/>
    </row>
    <row r="91" spans="1:33">
      <c r="A91" s="3538" t="s">
        <v>2678</v>
      </c>
      <c r="B91" s="3538" t="s">
        <v>2679</v>
      </c>
      <c r="C91" s="2242" t="s">
        <v>2680</v>
      </c>
      <c r="D91" s="2243"/>
      <c r="E91" s="2243"/>
      <c r="F91" s="2243"/>
      <c r="G91" s="2243"/>
      <c r="H91" s="2243"/>
      <c r="I91" s="2243"/>
      <c r="J91" s="2305"/>
      <c r="K91" s="2065"/>
      <c r="L91" s="2065"/>
      <c r="M91" s="2065"/>
      <c r="N91" s="2065"/>
      <c r="Q91" s="3055"/>
      <c r="R91" s="3055"/>
      <c r="S91" s="3055"/>
      <c r="T91" s="3055"/>
      <c r="U91" s="3055"/>
      <c r="V91" s="3055"/>
      <c r="W91" s="3055"/>
    </row>
    <row r="92" spans="1:33">
      <c r="A92" s="3538"/>
      <c r="B92" s="3538"/>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39" t="s">
        <v>2681</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40"/>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40"/>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40"/>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40"/>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40"/>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40"/>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41"/>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39" t="s">
        <v>2682</v>
      </c>
      <c r="B101" s="2310" t="s">
        <v>2683</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5"/>
      <c r="R101" s="3055"/>
      <c r="S101" s="3055"/>
      <c r="T101" s="3055"/>
      <c r="U101" s="3055"/>
      <c r="V101" s="3055"/>
      <c r="W101" s="3055"/>
    </row>
    <row r="102" spans="1:23">
      <c r="A102" s="3540"/>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5"/>
      <c r="R102" s="3055"/>
      <c r="S102" s="3055"/>
      <c r="T102" s="3055"/>
      <c r="U102" s="3055"/>
      <c r="V102" s="3055"/>
      <c r="W102" s="3055"/>
    </row>
    <row r="103" spans="1:23">
      <c r="A103" s="3540"/>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5"/>
      <c r="R103" s="3055"/>
      <c r="S103" s="3055"/>
      <c r="T103" s="3055"/>
      <c r="U103" s="3055"/>
      <c r="V103" s="3055"/>
      <c r="W103" s="3055"/>
    </row>
    <row r="104" spans="1:23">
      <c r="A104" s="3540"/>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5"/>
      <c r="R104" s="3055"/>
      <c r="S104" s="3055"/>
      <c r="T104" s="3055"/>
      <c r="U104" s="3055"/>
      <c r="V104" s="3055"/>
      <c r="W104" s="3055"/>
    </row>
    <row r="105" spans="1:23">
      <c r="A105" s="3540"/>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5"/>
      <c r="R105" s="3055"/>
      <c r="S105" s="3055"/>
      <c r="T105" s="3055"/>
      <c r="U105" s="3055"/>
      <c r="V105" s="3055"/>
      <c r="W105" s="3055"/>
    </row>
    <row r="106" spans="1:23">
      <c r="A106" s="3540"/>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5"/>
      <c r="R106" s="3055"/>
      <c r="S106" s="3055"/>
      <c r="T106" s="3055"/>
      <c r="U106" s="3055"/>
      <c r="V106" s="3055"/>
      <c r="W106" s="3055"/>
    </row>
    <row r="107" spans="1:23">
      <c r="A107" s="3540"/>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5"/>
      <c r="R107" s="3055"/>
      <c r="S107" s="3055"/>
      <c r="T107" s="3055"/>
      <c r="U107" s="3055"/>
      <c r="V107" s="3055"/>
      <c r="W107" s="3055"/>
    </row>
    <row r="108" spans="1:23">
      <c r="A108" s="3540"/>
      <c r="B108" s="3542" t="s">
        <v>2684</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41"/>
      <c r="B109" s="3543"/>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5"/>
      <c r="R109" s="3055"/>
      <c r="S109" s="3055"/>
      <c r="T109" s="3055"/>
      <c r="U109" s="3055"/>
      <c r="V109" s="3055"/>
      <c r="W109" s="3055"/>
    </row>
    <row r="110" spans="1:23">
      <c r="A110" s="3537" t="s">
        <v>2685</v>
      </c>
      <c r="B110" s="3537"/>
      <c r="C110" s="3537"/>
      <c r="D110" s="3537"/>
      <c r="E110" s="3537"/>
      <c r="F110" s="3537"/>
      <c r="G110" s="3537"/>
      <c r="H110" s="3537"/>
      <c r="I110" s="3537"/>
      <c r="J110" s="3537"/>
      <c r="K110" s="2077"/>
      <c r="L110" s="2077"/>
      <c r="M110" s="2077"/>
      <c r="N110" s="2077"/>
      <c r="Q110" s="3055"/>
      <c r="R110" s="3055"/>
      <c r="S110" s="3055"/>
      <c r="T110" s="3055"/>
      <c r="U110" s="3055"/>
      <c r="V110" s="3055"/>
      <c r="W110" s="3055"/>
    </row>
    <row r="112" spans="1:23" ht="13.5" thickBot="1"/>
    <row r="113" spans="1:13" ht="25.5" thickBot="1">
      <c r="A113" s="2312" t="s">
        <v>2686</v>
      </c>
      <c r="B113" s="2313">
        <f>G3</f>
        <v>0</v>
      </c>
      <c r="C113" s="2314" t="s">
        <v>2687</v>
      </c>
      <c r="D113" s="2315">
        <f>SUMPRODUCT((A115:A118=F113)*(B114:M114=H113)*B115:M118)</f>
        <v>0.74119999999999997</v>
      </c>
      <c r="E113" s="1602" t="s">
        <v>2573</v>
      </c>
      <c r="F113" s="2316" t="str">
        <f>E2</f>
        <v>住宅</v>
      </c>
      <c r="G113" s="1602" t="s">
        <v>2507</v>
      </c>
      <c r="H113" s="2316" t="str">
        <f>G2</f>
        <v>八级</v>
      </c>
      <c r="I113" s="1602"/>
      <c r="J113" s="2317"/>
      <c r="K113" s="2317"/>
      <c r="L113" s="2317"/>
      <c r="M113" s="2317"/>
    </row>
    <row r="114" spans="1:13">
      <c r="A114" s="2318"/>
      <c r="B114" s="2319" t="s">
        <v>2688</v>
      </c>
      <c r="C114" s="2319" t="s">
        <v>2689</v>
      </c>
      <c r="D114" s="2319" t="s">
        <v>2690</v>
      </c>
      <c r="E114" s="2320" t="s">
        <v>2691</v>
      </c>
      <c r="F114" s="2320" t="s">
        <v>2692</v>
      </c>
      <c r="G114" s="2320" t="s">
        <v>2693</v>
      </c>
      <c r="H114" s="2321" t="s">
        <v>2694</v>
      </c>
      <c r="I114" s="2321" t="s">
        <v>2695</v>
      </c>
      <c r="J114" s="2322" t="s">
        <v>2696</v>
      </c>
      <c r="K114" s="2322" t="s">
        <v>2697</v>
      </c>
      <c r="L114" s="2322" t="s">
        <v>2698</v>
      </c>
      <c r="M114" s="2323" t="s">
        <v>2699</v>
      </c>
    </row>
    <row r="115" spans="1:13">
      <c r="A115" s="2324" t="s">
        <v>2574</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2575</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2576</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2577</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5510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48" sqref="K48"/>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69" t="s">
        <v>1020</v>
      </c>
      <c r="C1" s="3569"/>
      <c r="D1" s="3569"/>
      <c r="E1" s="3569"/>
      <c r="F1" s="3569"/>
      <c r="G1" s="3568" t="s">
        <v>1021</v>
      </c>
      <c r="H1" s="3568"/>
      <c r="I1" s="3568"/>
      <c r="J1" s="3568"/>
      <c r="K1" s="3568"/>
      <c r="L1" s="3568"/>
      <c r="N1" s="3568" t="s">
        <v>1022</v>
      </c>
      <c r="O1" s="3568"/>
      <c r="P1" s="3568"/>
      <c r="Q1" s="3568"/>
      <c r="S1" s="3568" t="s">
        <v>1023</v>
      </c>
      <c r="T1" s="3568"/>
      <c r="U1" s="3568"/>
      <c r="V1" s="3568"/>
      <c r="X1" s="3567" t="s">
        <v>1024</v>
      </c>
      <c r="Y1" s="3568"/>
      <c r="Z1" s="3568"/>
      <c r="AA1" s="3568"/>
      <c r="AB1" s="3568"/>
      <c r="AD1" s="3567" t="s">
        <v>1025</v>
      </c>
      <c r="AE1" s="3568"/>
      <c r="AF1" s="3568"/>
      <c r="AG1" s="3568"/>
      <c r="AH1" s="3568"/>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2705</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2893</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56">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2704</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2892</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56">
        <v>2021</v>
      </c>
      <c r="H6" s="2368">
        <v>1</v>
      </c>
      <c r="I6" s="3157">
        <v>0.97</v>
      </c>
      <c r="J6" s="3157">
        <v>0.16</v>
      </c>
      <c r="K6" s="3157">
        <v>1.1100000000000001</v>
      </c>
      <c r="L6" s="3158">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2886</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7">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2885</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46">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2737</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2734</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2732</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2729</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2723</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2724</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2718</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65">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2713</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65"/>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2712</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65"/>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2709</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574"/>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2706</v>
      </c>
      <c r="B19" s="2376">
        <v>439</v>
      </c>
      <c r="C19" s="2376">
        <v>327</v>
      </c>
      <c r="D19" s="2376">
        <f t="shared" si="136"/>
        <v>327</v>
      </c>
      <c r="E19" s="2376">
        <v>627</v>
      </c>
      <c r="F19" s="2377">
        <v>283</v>
      </c>
      <c r="G19" s="3570">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2703</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65"/>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65"/>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574"/>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70">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65"/>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65"/>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66"/>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64">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65"/>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65"/>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66"/>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64">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65"/>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65"/>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66"/>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571">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572"/>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572"/>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573"/>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64">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65"/>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65"/>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66"/>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64">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65">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65">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66">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64">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65">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65">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66">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64">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65">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65">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66">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64">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65">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65">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66">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64">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65">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65">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66">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64">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65">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65">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66">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64">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65">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65">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66">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64">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65">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65">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66">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64">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65">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65">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66">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64">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65">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65">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66">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44342</v>
      </c>
      <c r="D1" s="1293" t="s">
        <v>1173</v>
      </c>
      <c r="E1" s="1299">
        <f>'数据-取费表'!B24</f>
        <v>1</v>
      </c>
      <c r="F1" s="1293" t="s">
        <v>1174</v>
      </c>
      <c r="G1" s="1300">
        <f ca="1">INDIRECT("d"&amp;$K$1)/100</f>
        <v>3.85E-2</v>
      </c>
      <c r="H1" s="1293" t="s">
        <v>1204</v>
      </c>
      <c r="I1" s="1300">
        <f ca="1">F4/100</f>
        <v>1.4999999999999999E-2</v>
      </c>
      <c r="J1" s="1294">
        <f>IF(C1&gt;C13,0,MATCH(C1,C$13:C$105,-1))+IF(SUMIF(C13:C105,C1,D13:D105)=0,13,12)</f>
        <v>13</v>
      </c>
      <c r="K1" s="1294">
        <f ca="1">MATCH(E1,C3:C7,1)+IF(SUMIF(C3:C7,E1,D3:D7)=0,2,1)</f>
        <v>4</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2887</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353.61</v>
      </c>
      <c r="D6" s="3184"/>
      <c r="E6" s="1359"/>
    </row>
    <row r="7" spans="1:5" ht="14.25">
      <c r="A7" s="1359"/>
      <c r="B7" s="3178" t="s">
        <v>776</v>
      </c>
      <c r="C7" s="1365" t="str">
        <f>IF('数据-取费表'!B3="万元","总价（万元）","总价（元）")</f>
        <v>总价（元）</v>
      </c>
      <c r="D7" s="1366">
        <f ca="1">IF('数据-取费表'!E3="否",结果表!I102,'结果表 (1修多)'!I104)</f>
        <v>16412455</v>
      </c>
      <c r="E7" s="1359"/>
    </row>
    <row r="8" spans="1:5" ht="28.5">
      <c r="A8" s="1359"/>
      <c r="B8" s="3178"/>
      <c r="C8" s="1367" t="s">
        <v>1162</v>
      </c>
      <c r="D8" s="1368" t="str">
        <f ca="1">IF('数据-取费表'!B3="万元",NUMBERSTRING(INT(D7*10000),2)&amp;"元整",NUMBERSTRING(INT(D7),2)&amp;"元整")</f>
        <v>壹仟陆佰肆拾壹万贰仟肆佰伍拾伍元整</v>
      </c>
      <c r="E8" s="1359"/>
    </row>
    <row r="9" spans="1:5" ht="14.25">
      <c r="A9" s="1359"/>
      <c r="B9" s="3178"/>
      <c r="C9" s="1369" t="s">
        <v>1259</v>
      </c>
      <c r="D9" s="1366">
        <f ca="1">IF('数据-取费表'!E3="否",结果表!I103,'结果表 (1修多)'!I105)</f>
        <v>46414</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16412455</v>
      </c>
      <c r="E15" s="1359"/>
    </row>
    <row r="16" spans="1:5" ht="28.5">
      <c r="A16" s="1359"/>
      <c r="B16" s="3185"/>
      <c r="C16" s="1367" t="s">
        <v>1162</v>
      </c>
      <c r="D16" s="1366" t="str">
        <f ca="1">IF('数据-取费表'!B3="万元",NUMBERSTRING(INT(D15*10000),2)&amp;"元整",NUMBERSTRING(INT(D15),2)&amp;"元整")</f>
        <v>壹仟陆佰肆拾壹万贰仟肆佰伍拾伍元整</v>
      </c>
      <c r="E16" s="1359"/>
    </row>
    <row r="17" spans="1:5" ht="14.25">
      <c r="A17" s="1359"/>
      <c r="B17" s="3185"/>
      <c r="C17" s="1369" t="s">
        <v>1259</v>
      </c>
      <c r="D17" s="1366">
        <f ca="1">IF('数据-取费表'!E3="否",结果表!I111,'结果表 (1修多)'!I113)</f>
        <v>46414</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16412455</v>
      </c>
      <c r="E28" s="1359"/>
    </row>
    <row r="29" spans="1:5" ht="28.5">
      <c r="A29" s="1359"/>
      <c r="B29" s="3187"/>
      <c r="C29" s="1378" t="s">
        <v>1162</v>
      </c>
      <c r="D29" s="1379" t="str">
        <f ca="1">IF('数据-取费表'!B3="万元",NUMBERSTRING(INT(D28*10000),2)&amp;"元整",NUMBERSTRING(INT(D28),2)&amp;"元整")</f>
        <v>壹仟陆佰肆拾壹万贰仟肆佰伍拾伍元整</v>
      </c>
      <c r="E29" s="1359"/>
    </row>
    <row r="30" spans="1:5" ht="14.25">
      <c r="A30" s="1359"/>
      <c r="B30" s="3188"/>
      <c r="C30" s="1369" t="s">
        <v>1165</v>
      </c>
      <c r="D30" s="1380">
        <f ca="1">IF('数据-取费表'!E3="否",结果表!I103,'结果表 (1修多)'!I105)</f>
        <v>46414</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16412455</v>
      </c>
      <c r="E36" s="1359"/>
    </row>
    <row r="37" spans="1:5" ht="28.5">
      <c r="A37" s="1359"/>
      <c r="B37" s="3189"/>
      <c r="C37" s="1378" t="s">
        <v>1162</v>
      </c>
      <c r="D37" s="1383" t="str">
        <f ca="1">IF('数据-取费表'!B3="万元",NUMBERSTRING(INT(D36*10000),2)&amp;"元整",NUMBERSTRING(INT(D36),2)&amp;"元整")</f>
        <v>壹仟陆佰肆拾壹万贰仟肆佰伍拾伍元整</v>
      </c>
      <c r="E37" s="1359"/>
    </row>
    <row r="38" spans="1:5" ht="14.25">
      <c r="A38" s="1359"/>
      <c r="B38" s="3189"/>
      <c r="C38" s="1369" t="s">
        <v>1166</v>
      </c>
      <c r="D38" s="1380">
        <f ca="1">IF('数据-取费表'!E3="否",结果表!D113,'结果表 (1修多)'!D117)</f>
        <v>46414</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353.61</v>
      </c>
      <c r="C4" s="818">
        <f>结果表!C121</f>
        <v>0</v>
      </c>
      <c r="D4" s="818">
        <f ca="1">IF('数据-取费表'!E3="否",结果表!D121,'结果表 (1修多)'!D125)</f>
        <v>10192101</v>
      </c>
      <c r="E4" s="818">
        <f ca="1">IF('数据-取费表'!E3="否",结果表!E121,'结果表 (1修多)'!E125)</f>
        <v>28823</v>
      </c>
      <c r="F4" s="818">
        <f ca="1">IF('数据-取费表'!E3="否",结果表!F121,'结果表 (1修多)'!F125)</f>
        <v>6220354</v>
      </c>
      <c r="G4" s="818">
        <f ca="1">IF('数据-取费表'!E3="否",结果表!G121,'结果表 (1修多)'!G125)</f>
        <v>17591</v>
      </c>
      <c r="H4" s="818">
        <f ca="1">IF('数据-取费表'!E3="否",结果表!H121,'结果表 (1修多)'!H125)</f>
        <v>16412455</v>
      </c>
      <c r="I4" s="818">
        <f ca="1">IF('数据-取费表'!E3="否",结果表!I121,'结果表 (1修多)'!I125)</f>
        <v>46414</v>
      </c>
    </row>
    <row r="5" spans="1:9" ht="15">
      <c r="A5" s="3203" t="s">
        <v>1269</v>
      </c>
      <c r="B5" s="3203"/>
      <c r="C5" s="3203"/>
      <c r="D5" s="3201" t="str">
        <f ca="1">IF('数据-取费表'!E3="否",结果表!D122,'结果表 (1修多)'!D126)</f>
        <v>壹仟零壹拾玖万贰仟壹佰零壹元整</v>
      </c>
      <c r="E5" s="3201"/>
      <c r="F5" s="3201" t="str">
        <f ca="1">IF('数据-取费表'!E3="否",结果表!F122,'结果表 (1修多)'!F126)</f>
        <v>陆佰贰拾贰万零叁佰伍拾肆元整</v>
      </c>
      <c r="G5" s="3201"/>
      <c r="H5" s="3201" t="str">
        <f ca="1">IF('数据-取费表'!E3="否",结果表!H122,'结果表 (1修多)'!H126)</f>
        <v>壹仟陆佰肆拾壹万贰仟肆佰伍拾伍元整</v>
      </c>
      <c r="I5" s="3201"/>
    </row>
    <row r="6" spans="1:9" ht="15.75">
      <c r="A6" s="3202" t="str">
        <f>IF('数据-取费表'!E3="否",结果表!A123,'结果表 (1修多)'!A127)</f>
        <v>估价师所知悉的法定优先受偿款</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房地产抵押价值</v>
      </c>
      <c r="B8" s="3202"/>
      <c r="C8" s="3202"/>
      <c r="D8" s="3202">
        <f ca="1">IF('数据-取费表'!E3="否",结果表!D125,'结果表 (1修多)'!D129)</f>
        <v>16412455</v>
      </c>
      <c r="E8" s="3202"/>
      <c r="F8" s="3202"/>
      <c r="G8" s="3202"/>
      <c r="H8" s="3202"/>
      <c r="I8" s="3202"/>
    </row>
    <row r="9" spans="1:9" ht="15">
      <c r="A9" s="3203" t="s">
        <v>1269</v>
      </c>
      <c r="B9" s="3203"/>
      <c r="C9" s="3203"/>
      <c r="D9" s="3201">
        <f ca="1">IF('数据-取费表'!E3="否",结果表!D126,'结果表 (1修多)'!D130)</f>
        <v>46414</v>
      </c>
      <c r="E9" s="3201"/>
      <c r="F9" s="3201"/>
      <c r="G9" s="3201"/>
      <c r="H9" s="3201"/>
      <c r="I9" s="3201"/>
    </row>
    <row r="10" spans="1:9" ht="15.75">
      <c r="A10" s="3202" t="str">
        <f>IF('数据-取费表'!E3="否",结果表!A127,'结果表 (1修多)'!A131)</f>
        <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2738</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4"/>
      <c r="C13" s="3214"/>
      <c r="D13" s="3214"/>
    </row>
    <row r="14" spans="1:4" ht="30" customHeight="1">
      <c r="A14" s="321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4"/>
      <c r="C14" s="3214"/>
      <c r="D14" s="3214"/>
    </row>
    <row r="15" spans="1:4" ht="15.75" customHeight="1">
      <c r="A15" s="3212" t="str">
        <f>IF(项目基本情况!D4="抵押","4.本次评估估价师所知悉的法定优先受偿款情况说明如下：","——")</f>
        <v>4.本次评估估价师所知悉的法定优先受偿款情况说明如下：</v>
      </c>
      <c r="B15" s="3214"/>
      <c r="C15" s="3214"/>
      <c r="D15" s="3214"/>
    </row>
    <row r="16" spans="1:4" ht="75" customHeight="1">
      <c r="A16" s="3212" t="str">
        <f>IF(项目基本情况!D4="抵押",CONCATENATE(项目基本情况!J13,项目基本情况!J14,项目基本情况!J15),"——")</f>
        <v>根据估价对象《不动产权证书》原件，截至价值时点，估价对象抵押权未见登记。</v>
      </c>
      <c r="B16" s="3212"/>
      <c r="C16" s="3212"/>
      <c r="D16" s="3212"/>
    </row>
    <row r="17" spans="1:4" ht="63.75" customHeight="1">
      <c r="A17" s="3213" t="s">
        <v>1284</v>
      </c>
      <c r="B17" s="3213"/>
      <c r="C17" s="3213"/>
      <c r="D17" s="3213"/>
    </row>
    <row r="18" spans="1:4" ht="15.75" customHeight="1">
      <c r="A18" s="3212" t="str">
        <f>IF(项目基本情况!D4="抵押",结果表!L106,"——")</f>
        <v>本次评估不存在估价师所知悉的法定优先受偿款。</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2739</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44355</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2714</v>
      </c>
      <c r="B12" s="1301">
        <f ca="1">IF(C12&lt;B2,"已过期",1120040230)</f>
        <v>1120040230</v>
      </c>
      <c r="C12" s="3070">
        <v>44864</v>
      </c>
      <c r="D12" s="3078" t="str">
        <f t="shared" ca="1" si="0"/>
        <v>苏海（注册号：1120040230）</v>
      </c>
      <c r="E12" s="3080" t="s">
        <v>2714</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2731</v>
      </c>
      <c r="B14" s="1301">
        <f ca="1">IF(C14&lt;B2,"已过期",1119980106)</f>
        <v>1119980106</v>
      </c>
      <c r="C14" s="3070">
        <v>44969</v>
      </c>
      <c r="D14" s="3078" t="str">
        <f t="shared" ca="1" si="0"/>
        <v>刘俊财（注册号：1119980106）</v>
      </c>
      <c r="E14" s="3080" t="s">
        <v>2831</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2835</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6"/>
      <c r="E18" s="3227" t="s">
        <v>764</v>
      </c>
      <c r="F18" s="3226"/>
      <c r="G18" s="3226"/>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2832</v>
      </c>
      <c r="B20" s="3073" t="s">
        <v>2833</v>
      </c>
      <c r="C20" s="3068">
        <v>44820</v>
      </c>
      <c r="D20" s="3081"/>
      <c r="E20" s="3083" t="s">
        <v>768</v>
      </c>
      <c r="F20" s="3073" t="s">
        <v>769</v>
      </c>
      <c r="G20" s="3074">
        <v>44377</v>
      </c>
    </row>
    <row r="21" spans="1:8" s="3056" customFormat="1" ht="24" customHeight="1">
      <c r="A21" s="3073"/>
      <c r="B21" s="3073"/>
      <c r="C21" s="3075"/>
      <c r="D21" s="3082"/>
      <c r="E21" s="3083" t="s">
        <v>770</v>
      </c>
      <c r="F21" s="3076" t="s">
        <v>2730</v>
      </c>
      <c r="G21" s="3077">
        <v>44012</v>
      </c>
    </row>
    <row r="22" spans="1:8" ht="24" customHeight="1">
      <c r="C22" s="3059"/>
      <c r="D22" s="3059"/>
      <c r="E22" s="3084"/>
      <c r="F22" s="3085"/>
      <c r="G22" s="3086"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2021-06-08T05:12:23Z</dcterms:modified>
</cp:coreProperties>
</file>